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9585" yWindow="1020" windowWidth="9570" windowHeight="1305" tabRatio="898" activeTab="3"/>
  </bookViews>
  <sheets>
    <sheet name="Deckblatt" sheetId="132" r:id="rId1"/>
    <sheet name="Fußnoten" sheetId="133" r:id="rId2"/>
    <sheet name="Inhalt" sheetId="73" r:id="rId3"/>
    <sheet name="1_1 " sheetId="134" r:id="rId4"/>
    <sheet name="1_2 " sheetId="135" r:id="rId5"/>
    <sheet name="1_3 " sheetId="136" r:id="rId6"/>
    <sheet name="2.1.1" sheetId="146" r:id="rId7"/>
    <sheet name="2.1.2" sheetId="147" r:id="rId8"/>
    <sheet name="2.1.3" sheetId="148" r:id="rId9"/>
    <sheet name="2.1.4" sheetId="149" r:id="rId10"/>
    <sheet name="2.1.5" sheetId="150" r:id="rId11"/>
    <sheet name="2.1.6" sheetId="151" r:id="rId12"/>
    <sheet name="2.1.7" sheetId="152" r:id="rId13"/>
    <sheet name="2.1.7.1" sheetId="216" r:id="rId14"/>
    <sheet name="2.1.8" sheetId="153" r:id="rId15"/>
    <sheet name="2.1.8.1" sheetId="217" r:id="rId16"/>
    <sheet name="2.1.9" sheetId="154" r:id="rId17"/>
    <sheet name="2.2.1" sheetId="155" r:id="rId18"/>
    <sheet name="2.2.2" sheetId="156" r:id="rId19"/>
    <sheet name="2.2.3" sheetId="157" r:id="rId20"/>
    <sheet name="2.2.4" sheetId="158" r:id="rId21"/>
    <sheet name="2.2.5" sheetId="159" r:id="rId22"/>
    <sheet name="2.2.6" sheetId="160" r:id="rId23"/>
    <sheet name="2.2.7" sheetId="161" r:id="rId24"/>
    <sheet name="2.2.7.1" sheetId="218" r:id="rId25"/>
    <sheet name="2.2.8" sheetId="162" r:id="rId26"/>
    <sheet name="2.3.1" sheetId="163" r:id="rId27"/>
    <sheet name="2.3.2" sheetId="164" r:id="rId28"/>
    <sheet name="2.3.3" sheetId="165" r:id="rId29"/>
    <sheet name="2.3.4" sheetId="166" r:id="rId30"/>
    <sheet name="2.3.5" sheetId="167" r:id="rId31"/>
    <sheet name="2.3.6" sheetId="168" r:id="rId32"/>
    <sheet name="2.3.7" sheetId="169" r:id="rId33"/>
    <sheet name="2.3.7.1" sheetId="219" r:id="rId34"/>
    <sheet name="2.3.8" sheetId="170" r:id="rId35"/>
    <sheet name="2.3.8.1" sheetId="220" r:id="rId36"/>
    <sheet name="2.3.9" sheetId="171" r:id="rId37"/>
    <sheet name="3.1.1" sheetId="182" r:id="rId38"/>
    <sheet name="3.1.2" sheetId="173" r:id="rId39"/>
    <sheet name="3.1.3" sheetId="174" r:id="rId40"/>
    <sheet name="3.1.4" sheetId="175" r:id="rId41"/>
    <sheet name="3.1.5" sheetId="176" r:id="rId42"/>
    <sheet name="3.1.6" sheetId="177" r:id="rId43"/>
    <sheet name="3.1.7" sheetId="178" r:id="rId44"/>
    <sheet name="3.1.8" sheetId="183" r:id="rId45"/>
    <sheet name="3.1.8.1" sheetId="222" r:id="rId46"/>
    <sheet name="3.1.9" sheetId="180" r:id="rId47"/>
    <sheet name="3.1.9.1" sheetId="223" r:id="rId48"/>
    <sheet name="3.1.10" sheetId="181" r:id="rId49"/>
    <sheet name="3.2.1" sheetId="205" r:id="rId50"/>
    <sheet name="3.2.2" sheetId="185" r:id="rId51"/>
    <sheet name="3.2.3" sheetId="186" r:id="rId52"/>
    <sheet name="3.2.4" sheetId="187" r:id="rId53"/>
    <sheet name="3.2.5" sheetId="188" r:id="rId54"/>
    <sheet name="3.2.6" sheetId="189" r:id="rId55"/>
    <sheet name="3.2.7" sheetId="190" r:id="rId56"/>
    <sheet name="3.2.8" sheetId="191" r:id="rId57"/>
    <sheet name="3.2.8.1" sheetId="224" r:id="rId58"/>
    <sheet name="3.2.9" sheetId="192" r:id="rId59"/>
    <sheet name="3.3.1" sheetId="206" r:id="rId60"/>
    <sheet name="3.3.2" sheetId="194" r:id="rId61"/>
    <sheet name="3.3.3" sheetId="195" r:id="rId62"/>
    <sheet name="3.3.4" sheetId="196" r:id="rId63"/>
    <sheet name="3.3.5" sheetId="197" r:id="rId64"/>
    <sheet name="3.3.6" sheetId="198" r:id="rId65"/>
    <sheet name="3.3.7" sheetId="199" r:id="rId66"/>
    <sheet name="3.3.8" sheetId="200" r:id="rId67"/>
    <sheet name="3.3.8.1" sheetId="225" r:id="rId68"/>
    <sheet name="3.3.9" sheetId="202" r:id="rId69"/>
    <sheet name="3.3.9.1" sheetId="226" r:id="rId70"/>
    <sheet name="3.3.10" sheetId="203" r:id="rId71"/>
    <sheet name="Plausi Schüler" sheetId="209" r:id="rId72"/>
    <sheet name="Plausi Schulen" sheetId="208" r:id="rId73"/>
    <sheet name="AW Schulen" sheetId="211" r:id="rId74"/>
    <sheet name="AW Schüler" sheetId="213" r:id="rId75"/>
    <sheet name="GtS_VE" sheetId="215"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C22b7" localSheetId="13">#REF!</definedName>
    <definedName name="_C22b7" localSheetId="15">#REF!</definedName>
    <definedName name="_C22b7" localSheetId="24">#REF!</definedName>
    <definedName name="_C22b7" localSheetId="33">#REF!</definedName>
    <definedName name="_C22b7" localSheetId="35">#REF!</definedName>
    <definedName name="_C22b7" localSheetId="45">#REF!</definedName>
    <definedName name="_C22b7" localSheetId="47">#REF!</definedName>
    <definedName name="_C22b7" localSheetId="57">#REF!</definedName>
    <definedName name="_C22b7">#REF!</definedName>
    <definedName name="_Fill" localSheetId="13" hidden="1">#REF!</definedName>
    <definedName name="_Fill" localSheetId="15" hidden="1">#REF!</definedName>
    <definedName name="_Fill" localSheetId="24" hidden="1">#REF!</definedName>
    <definedName name="_Fill" localSheetId="33" hidden="1">#REF!</definedName>
    <definedName name="_Fill" localSheetId="35" hidden="1">#REF!</definedName>
    <definedName name="_Fill" localSheetId="45" hidden="1">#REF!</definedName>
    <definedName name="_Fill" localSheetId="47" hidden="1">#REF!</definedName>
    <definedName name="_Fill" localSheetId="57" hidden="1">#REF!</definedName>
    <definedName name="_Fill" hidden="1">#REF!</definedName>
    <definedName name="DOKPROT" localSheetId="13">#REF!</definedName>
    <definedName name="DOKPROT" localSheetId="15">#REF!</definedName>
    <definedName name="DOKPROT" localSheetId="24">#REF!</definedName>
    <definedName name="DOKPROT" localSheetId="33">#REF!</definedName>
    <definedName name="DOKPROT" localSheetId="35">#REF!</definedName>
    <definedName name="DOKPROT" localSheetId="45">#REF!</definedName>
    <definedName name="DOKPROT" localSheetId="47">#REF!</definedName>
    <definedName name="DOKPROT" localSheetId="57">#REF!</definedName>
    <definedName name="DOKPROT">#REF!</definedName>
    <definedName name="DRUAU01" localSheetId="13">#REF!</definedName>
    <definedName name="DRUAU01" localSheetId="15">#REF!</definedName>
    <definedName name="DRUAU01" localSheetId="24">#REF!</definedName>
    <definedName name="DRUAU01" localSheetId="33">#REF!</definedName>
    <definedName name="DRUAU01" localSheetId="35">#REF!</definedName>
    <definedName name="DRUAU01" localSheetId="45">#REF!</definedName>
    <definedName name="DRUAU01" localSheetId="47">#REF!</definedName>
    <definedName name="DRUAU01" localSheetId="57">#REF!</definedName>
    <definedName name="DRUAU01">#REF!</definedName>
    <definedName name="DRUAU02" localSheetId="13">#REF!</definedName>
    <definedName name="DRUAU02" localSheetId="15">#REF!</definedName>
    <definedName name="DRUAU02" localSheetId="24">#REF!</definedName>
    <definedName name="DRUAU02" localSheetId="33">#REF!</definedName>
    <definedName name="DRUAU02" localSheetId="35">#REF!</definedName>
    <definedName name="DRUAU02" localSheetId="45">#REF!</definedName>
    <definedName name="DRUAU02" localSheetId="47">#REF!</definedName>
    <definedName name="DRUAU02" localSheetId="57">#REF!</definedName>
    <definedName name="DRUAU02">#REF!</definedName>
    <definedName name="DRUAU03" localSheetId="13">#REF!</definedName>
    <definedName name="DRUAU03" localSheetId="15">#REF!</definedName>
    <definedName name="DRUAU03" localSheetId="24">#REF!</definedName>
    <definedName name="DRUAU03" localSheetId="33">#REF!</definedName>
    <definedName name="DRUAU03" localSheetId="35">#REF!</definedName>
    <definedName name="DRUAU03" localSheetId="45">#REF!</definedName>
    <definedName name="DRUAU03" localSheetId="47">#REF!</definedName>
    <definedName name="DRUAU03" localSheetId="57">#REF!</definedName>
    <definedName name="DRUAU03">#REF!</definedName>
    <definedName name="DRUAU04" localSheetId="13">#REF!</definedName>
    <definedName name="DRUAU04" localSheetId="15">#REF!</definedName>
    <definedName name="DRUAU04" localSheetId="24">#REF!</definedName>
    <definedName name="DRUAU04" localSheetId="33">#REF!</definedName>
    <definedName name="DRUAU04" localSheetId="35">#REF!</definedName>
    <definedName name="DRUAU04" localSheetId="45">#REF!</definedName>
    <definedName name="DRUAU04" localSheetId="47">#REF!</definedName>
    <definedName name="DRUAU04" localSheetId="57">#REF!</definedName>
    <definedName name="DRUAU04">#REF!</definedName>
    <definedName name="DRUAU04A" localSheetId="13">#REF!</definedName>
    <definedName name="DRUAU04A" localSheetId="15">#REF!</definedName>
    <definedName name="DRUAU04A" localSheetId="24">#REF!</definedName>
    <definedName name="DRUAU04A" localSheetId="33">#REF!</definedName>
    <definedName name="DRUAU04A" localSheetId="35">#REF!</definedName>
    <definedName name="DRUAU04A" localSheetId="45">#REF!</definedName>
    <definedName name="DRUAU04A" localSheetId="47">#REF!</definedName>
    <definedName name="DRUAU04A" localSheetId="57">#REF!</definedName>
    <definedName name="DRUAU04A">#REF!</definedName>
    <definedName name="DRUAU05" localSheetId="13">#REF!</definedName>
    <definedName name="DRUAU05" localSheetId="15">#REF!</definedName>
    <definedName name="DRUAU05" localSheetId="24">#REF!</definedName>
    <definedName name="DRUAU05" localSheetId="33">#REF!</definedName>
    <definedName name="DRUAU05" localSheetId="35">#REF!</definedName>
    <definedName name="DRUAU05" localSheetId="45">#REF!</definedName>
    <definedName name="DRUAU05" localSheetId="47">#REF!</definedName>
    <definedName name="DRUAU05" localSheetId="57">#REF!</definedName>
    <definedName name="DRUAU05">#REF!</definedName>
    <definedName name="DRUAU06" localSheetId="13">#REF!</definedName>
    <definedName name="DRUAU06" localSheetId="15">#REF!</definedName>
    <definedName name="DRUAU06" localSheetId="24">#REF!</definedName>
    <definedName name="DRUAU06" localSheetId="33">#REF!</definedName>
    <definedName name="DRUAU06" localSheetId="35">#REF!</definedName>
    <definedName name="DRUAU06" localSheetId="45">#REF!</definedName>
    <definedName name="DRUAU06" localSheetId="47">#REF!</definedName>
    <definedName name="DRUAU06" localSheetId="57">#REF!</definedName>
    <definedName name="DRUAU06">#REF!</definedName>
    <definedName name="DRUAU06A" localSheetId="13">#REF!</definedName>
    <definedName name="DRUAU06A" localSheetId="15">#REF!</definedName>
    <definedName name="DRUAU06A" localSheetId="24">#REF!</definedName>
    <definedName name="DRUAU06A" localSheetId="33">#REF!</definedName>
    <definedName name="DRUAU06A" localSheetId="35">#REF!</definedName>
    <definedName name="DRUAU06A" localSheetId="45">#REF!</definedName>
    <definedName name="DRUAU06A" localSheetId="47">#REF!</definedName>
    <definedName name="DRUAU06A" localSheetId="57">#REF!</definedName>
    <definedName name="DRUAU06A">#REF!</definedName>
    <definedName name="DRUCK01" localSheetId="13">#REF!</definedName>
    <definedName name="DRUCK01" localSheetId="15">#REF!</definedName>
    <definedName name="DRUCK01" localSheetId="24">#REF!</definedName>
    <definedName name="DRUCK01" localSheetId="33">#REF!</definedName>
    <definedName name="DRUCK01" localSheetId="35">#REF!</definedName>
    <definedName name="DRUCK01" localSheetId="45">#REF!</definedName>
    <definedName name="DRUCK01" localSheetId="47">#REF!</definedName>
    <definedName name="DRUCK01" localSheetId="57">#REF!</definedName>
    <definedName name="DRUCK01">#REF!</definedName>
    <definedName name="DRUCK02" localSheetId="13">#REF!</definedName>
    <definedName name="DRUCK02" localSheetId="15">#REF!</definedName>
    <definedName name="DRUCK02" localSheetId="24">#REF!</definedName>
    <definedName name="DRUCK02" localSheetId="33">#REF!</definedName>
    <definedName name="DRUCK02" localSheetId="35">#REF!</definedName>
    <definedName name="DRUCK02" localSheetId="45">#REF!</definedName>
    <definedName name="DRUCK02" localSheetId="47">#REF!</definedName>
    <definedName name="DRUCK02" localSheetId="57">#REF!</definedName>
    <definedName name="DRUCK02">#REF!</definedName>
    <definedName name="DRUCK03" localSheetId="13">#REF!</definedName>
    <definedName name="DRUCK03" localSheetId="15">#REF!</definedName>
    <definedName name="DRUCK03" localSheetId="24">#REF!</definedName>
    <definedName name="DRUCK03" localSheetId="33">#REF!</definedName>
    <definedName name="DRUCK03" localSheetId="35">#REF!</definedName>
    <definedName name="DRUCK03" localSheetId="45">#REF!</definedName>
    <definedName name="DRUCK03" localSheetId="47">#REF!</definedName>
    <definedName name="DRUCK03" localSheetId="57">#REF!</definedName>
    <definedName name="DRUCK03">#REF!</definedName>
    <definedName name="DRUCK04" localSheetId="13">#REF!</definedName>
    <definedName name="DRUCK04" localSheetId="15">#REF!</definedName>
    <definedName name="DRUCK04" localSheetId="24">#REF!</definedName>
    <definedName name="DRUCK04" localSheetId="33">#REF!</definedName>
    <definedName name="DRUCK04" localSheetId="35">#REF!</definedName>
    <definedName name="DRUCK04" localSheetId="45">#REF!</definedName>
    <definedName name="DRUCK04" localSheetId="47">#REF!</definedName>
    <definedName name="DRUCK04" localSheetId="57">#REF!</definedName>
    <definedName name="DRUCK04">#REF!</definedName>
    <definedName name="DRUCK05" localSheetId="13">#REF!</definedName>
    <definedName name="DRUCK05" localSheetId="15">#REF!</definedName>
    <definedName name="DRUCK05" localSheetId="24">#REF!</definedName>
    <definedName name="DRUCK05" localSheetId="33">#REF!</definedName>
    <definedName name="DRUCK05" localSheetId="35">#REF!</definedName>
    <definedName name="DRUCK05" localSheetId="45">#REF!</definedName>
    <definedName name="DRUCK05" localSheetId="47">#REF!</definedName>
    <definedName name="DRUCK05" localSheetId="57">#REF!</definedName>
    <definedName name="DRUCK05">#REF!</definedName>
    <definedName name="DRUCK06" localSheetId="13">#REF!</definedName>
    <definedName name="DRUCK06" localSheetId="15">#REF!</definedName>
    <definedName name="DRUCK06" localSheetId="24">#REF!</definedName>
    <definedName name="DRUCK06" localSheetId="33">#REF!</definedName>
    <definedName name="DRUCK06" localSheetId="35">#REF!</definedName>
    <definedName name="DRUCK06" localSheetId="45">#REF!</definedName>
    <definedName name="DRUCK06" localSheetId="47">#REF!</definedName>
    <definedName name="DRUCK06" localSheetId="57">#REF!</definedName>
    <definedName name="DRUCK06">#REF!</definedName>
    <definedName name="DRUCK07" localSheetId="13">#REF!</definedName>
    <definedName name="DRUCK07" localSheetId="15">#REF!</definedName>
    <definedName name="DRUCK07" localSheetId="24">#REF!</definedName>
    <definedName name="DRUCK07" localSheetId="33">#REF!</definedName>
    <definedName name="DRUCK07" localSheetId="35">#REF!</definedName>
    <definedName name="DRUCK07" localSheetId="45">#REF!</definedName>
    <definedName name="DRUCK07" localSheetId="47">#REF!</definedName>
    <definedName name="DRUCK07" localSheetId="57">#REF!</definedName>
    <definedName name="DRUCK07">#REF!</definedName>
    <definedName name="DRUCK08" localSheetId="13">#REF!</definedName>
    <definedName name="DRUCK08" localSheetId="15">#REF!</definedName>
    <definedName name="DRUCK08" localSheetId="24">#REF!</definedName>
    <definedName name="DRUCK08" localSheetId="33">#REF!</definedName>
    <definedName name="DRUCK08" localSheetId="35">#REF!</definedName>
    <definedName name="DRUCK08" localSheetId="45">#REF!</definedName>
    <definedName name="DRUCK08" localSheetId="47">#REF!</definedName>
    <definedName name="DRUCK08" localSheetId="57">#REF!</definedName>
    <definedName name="DRUCK08">#REF!</definedName>
    <definedName name="DRUCK09" localSheetId="13">#REF!</definedName>
    <definedName name="DRUCK09" localSheetId="15">#REF!</definedName>
    <definedName name="DRUCK09" localSheetId="24">#REF!</definedName>
    <definedName name="DRUCK09" localSheetId="33">#REF!</definedName>
    <definedName name="DRUCK09" localSheetId="35">#REF!</definedName>
    <definedName name="DRUCK09" localSheetId="45">#REF!</definedName>
    <definedName name="DRUCK09" localSheetId="47">#REF!</definedName>
    <definedName name="DRUCK09" localSheetId="57">#REF!</definedName>
    <definedName name="DRUCK09">#REF!</definedName>
    <definedName name="DRUCK10" localSheetId="13">#REF!</definedName>
    <definedName name="DRUCK10" localSheetId="15">#REF!</definedName>
    <definedName name="DRUCK10" localSheetId="24">#REF!</definedName>
    <definedName name="DRUCK10" localSheetId="33">#REF!</definedName>
    <definedName name="DRUCK10" localSheetId="35">#REF!</definedName>
    <definedName name="DRUCK10" localSheetId="45">#REF!</definedName>
    <definedName name="DRUCK10" localSheetId="47">#REF!</definedName>
    <definedName name="DRUCK10" localSheetId="57">#REF!</definedName>
    <definedName name="DRUCK10">#REF!</definedName>
    <definedName name="DRUCK11" localSheetId="13">#REF!</definedName>
    <definedName name="DRUCK11" localSheetId="15">#REF!</definedName>
    <definedName name="DRUCK11" localSheetId="24">#REF!</definedName>
    <definedName name="DRUCK11" localSheetId="33">#REF!</definedName>
    <definedName name="DRUCK11" localSheetId="35">#REF!</definedName>
    <definedName name="DRUCK11" localSheetId="45">#REF!</definedName>
    <definedName name="DRUCK11" localSheetId="47">#REF!</definedName>
    <definedName name="DRUCK11" localSheetId="57">#REF!</definedName>
    <definedName name="DRUCK11">#REF!</definedName>
    <definedName name="DRUCK11A" localSheetId="13">#REF!</definedName>
    <definedName name="DRUCK11A" localSheetId="15">#REF!</definedName>
    <definedName name="DRUCK11A" localSheetId="24">#REF!</definedName>
    <definedName name="DRUCK11A" localSheetId="33">#REF!</definedName>
    <definedName name="DRUCK11A" localSheetId="35">#REF!</definedName>
    <definedName name="DRUCK11A" localSheetId="45">#REF!</definedName>
    <definedName name="DRUCK11A" localSheetId="47">#REF!</definedName>
    <definedName name="DRUCK11A" localSheetId="57">#REF!</definedName>
    <definedName name="DRUCK11A">#REF!</definedName>
    <definedName name="DRUCK11B" localSheetId="13">#REF!</definedName>
    <definedName name="DRUCK11B" localSheetId="15">#REF!</definedName>
    <definedName name="DRUCK11B" localSheetId="24">#REF!</definedName>
    <definedName name="DRUCK11B" localSheetId="33">#REF!</definedName>
    <definedName name="DRUCK11B" localSheetId="35">#REF!</definedName>
    <definedName name="DRUCK11B" localSheetId="45">#REF!</definedName>
    <definedName name="DRUCK11B" localSheetId="47">#REF!</definedName>
    <definedName name="DRUCK11B" localSheetId="57">#REF!</definedName>
    <definedName name="DRUCK11B">#REF!</definedName>
    <definedName name="DRUCK12" localSheetId="13">#REF!</definedName>
    <definedName name="DRUCK12" localSheetId="15">#REF!</definedName>
    <definedName name="DRUCK12" localSheetId="24">#REF!</definedName>
    <definedName name="DRUCK12" localSheetId="33">#REF!</definedName>
    <definedName name="DRUCK12" localSheetId="35">#REF!</definedName>
    <definedName name="DRUCK12" localSheetId="45">#REF!</definedName>
    <definedName name="DRUCK12" localSheetId="47">#REF!</definedName>
    <definedName name="DRUCK12" localSheetId="57">#REF!</definedName>
    <definedName name="DRUCK12">#REF!</definedName>
    <definedName name="DRUCK13" localSheetId="13">#REF!</definedName>
    <definedName name="DRUCK13" localSheetId="15">#REF!</definedName>
    <definedName name="DRUCK13" localSheetId="24">#REF!</definedName>
    <definedName name="DRUCK13" localSheetId="33">#REF!</definedName>
    <definedName name="DRUCK13" localSheetId="35">#REF!</definedName>
    <definedName name="DRUCK13" localSheetId="45">#REF!</definedName>
    <definedName name="DRUCK13" localSheetId="47">#REF!</definedName>
    <definedName name="DRUCK13" localSheetId="57">#REF!</definedName>
    <definedName name="DRUCK13">#REF!</definedName>
    <definedName name="DRUCK14" localSheetId="13">#REF!</definedName>
    <definedName name="DRUCK14" localSheetId="15">#REF!</definedName>
    <definedName name="DRUCK14" localSheetId="24">#REF!</definedName>
    <definedName name="DRUCK14" localSheetId="33">#REF!</definedName>
    <definedName name="DRUCK14" localSheetId="35">#REF!</definedName>
    <definedName name="DRUCK14" localSheetId="45">#REF!</definedName>
    <definedName name="DRUCK14" localSheetId="47">#REF!</definedName>
    <definedName name="DRUCK14" localSheetId="57">#REF!</definedName>
    <definedName name="DRUCK14">#REF!</definedName>
    <definedName name="DRUCK15" localSheetId="13">#REF!</definedName>
    <definedName name="DRUCK15" localSheetId="15">#REF!</definedName>
    <definedName name="DRUCK15" localSheetId="24">#REF!</definedName>
    <definedName name="DRUCK15" localSheetId="33">#REF!</definedName>
    <definedName name="DRUCK15" localSheetId="35">#REF!</definedName>
    <definedName name="DRUCK15" localSheetId="45">#REF!</definedName>
    <definedName name="DRUCK15" localSheetId="47">#REF!</definedName>
    <definedName name="DRUCK15" localSheetId="57">#REF!</definedName>
    <definedName name="DRUCK15">#REF!</definedName>
    <definedName name="DRUCK16" localSheetId="13">#REF!</definedName>
    <definedName name="DRUCK16" localSheetId="15">#REF!</definedName>
    <definedName name="DRUCK16" localSheetId="24">#REF!</definedName>
    <definedName name="DRUCK16" localSheetId="33">#REF!</definedName>
    <definedName name="DRUCK16" localSheetId="35">#REF!</definedName>
    <definedName name="DRUCK16" localSheetId="45">#REF!</definedName>
    <definedName name="DRUCK16" localSheetId="47">#REF!</definedName>
    <definedName name="DRUCK16" localSheetId="57">#REF!</definedName>
    <definedName name="DRUCK16">#REF!</definedName>
    <definedName name="DRUCK17" localSheetId="13">#REF!</definedName>
    <definedName name="DRUCK17" localSheetId="15">#REF!</definedName>
    <definedName name="DRUCK17" localSheetId="24">#REF!</definedName>
    <definedName name="DRUCK17" localSheetId="33">#REF!</definedName>
    <definedName name="DRUCK17" localSheetId="35">#REF!</definedName>
    <definedName name="DRUCK17" localSheetId="45">#REF!</definedName>
    <definedName name="DRUCK17" localSheetId="47">#REF!</definedName>
    <definedName name="DRUCK17" localSheetId="57">#REF!</definedName>
    <definedName name="DRUCK17">#REF!</definedName>
    <definedName name="DRUCK18" localSheetId="13">#REF!</definedName>
    <definedName name="DRUCK18" localSheetId="15">#REF!</definedName>
    <definedName name="DRUCK18" localSheetId="24">#REF!</definedName>
    <definedName name="DRUCK18" localSheetId="33">#REF!</definedName>
    <definedName name="DRUCK18" localSheetId="35">#REF!</definedName>
    <definedName name="DRUCK18" localSheetId="45">#REF!</definedName>
    <definedName name="DRUCK18" localSheetId="47">#REF!</definedName>
    <definedName name="DRUCK18" localSheetId="57">#REF!</definedName>
    <definedName name="DRUCK18">#REF!</definedName>
    <definedName name="DRUCK19" localSheetId="13">#REF!</definedName>
    <definedName name="DRUCK19" localSheetId="15">#REF!</definedName>
    <definedName name="DRUCK19" localSheetId="24">#REF!</definedName>
    <definedName name="DRUCK19" localSheetId="33">#REF!</definedName>
    <definedName name="DRUCK19" localSheetId="35">#REF!</definedName>
    <definedName name="DRUCK19" localSheetId="45">#REF!</definedName>
    <definedName name="DRUCK19" localSheetId="47">#REF!</definedName>
    <definedName name="DRUCK19" localSheetId="57">#REF!</definedName>
    <definedName name="DRUCK19">#REF!</definedName>
    <definedName name="DRUCK1A" localSheetId="13">#REF!</definedName>
    <definedName name="DRUCK1A" localSheetId="15">#REF!</definedName>
    <definedName name="DRUCK1A" localSheetId="24">#REF!</definedName>
    <definedName name="DRUCK1A" localSheetId="33">#REF!</definedName>
    <definedName name="DRUCK1A" localSheetId="35">#REF!</definedName>
    <definedName name="DRUCK1A" localSheetId="45">#REF!</definedName>
    <definedName name="DRUCK1A" localSheetId="47">#REF!</definedName>
    <definedName name="DRUCK1A" localSheetId="57">#REF!</definedName>
    <definedName name="DRUCK1A">#REF!</definedName>
    <definedName name="DRUCK1B" localSheetId="13">#REF!</definedName>
    <definedName name="DRUCK1B" localSheetId="15">#REF!</definedName>
    <definedName name="DRUCK1B" localSheetId="24">#REF!</definedName>
    <definedName name="DRUCK1B" localSheetId="33">#REF!</definedName>
    <definedName name="DRUCK1B" localSheetId="35">#REF!</definedName>
    <definedName name="DRUCK1B" localSheetId="45">#REF!</definedName>
    <definedName name="DRUCK1B" localSheetId="47">#REF!</definedName>
    <definedName name="DRUCK1B" localSheetId="57">#REF!</definedName>
    <definedName name="DRUCK1B">#REF!</definedName>
    <definedName name="DRUCK20" localSheetId="13">#REF!</definedName>
    <definedName name="DRUCK20" localSheetId="15">#REF!</definedName>
    <definedName name="DRUCK20" localSheetId="24">#REF!</definedName>
    <definedName name="DRUCK20" localSheetId="33">#REF!</definedName>
    <definedName name="DRUCK20" localSheetId="35">#REF!</definedName>
    <definedName name="DRUCK20" localSheetId="45">#REF!</definedName>
    <definedName name="DRUCK20" localSheetId="47">#REF!</definedName>
    <definedName name="DRUCK20" localSheetId="57">#REF!</definedName>
    <definedName name="DRUCK20">#REF!</definedName>
    <definedName name="DRUCK21" localSheetId="13">#REF!</definedName>
    <definedName name="DRUCK21" localSheetId="15">#REF!</definedName>
    <definedName name="DRUCK21" localSheetId="24">#REF!</definedName>
    <definedName name="DRUCK21" localSheetId="33">#REF!</definedName>
    <definedName name="DRUCK21" localSheetId="35">#REF!</definedName>
    <definedName name="DRUCK21" localSheetId="45">#REF!</definedName>
    <definedName name="DRUCK21" localSheetId="47">#REF!</definedName>
    <definedName name="DRUCK21" localSheetId="57">#REF!</definedName>
    <definedName name="DRUCK21">#REF!</definedName>
    <definedName name="DRUCK22" localSheetId="13">#REF!</definedName>
    <definedName name="DRUCK22" localSheetId="15">#REF!</definedName>
    <definedName name="DRUCK22" localSheetId="24">#REF!</definedName>
    <definedName name="DRUCK22" localSheetId="33">#REF!</definedName>
    <definedName name="DRUCK22" localSheetId="35">#REF!</definedName>
    <definedName name="DRUCK22" localSheetId="45">#REF!</definedName>
    <definedName name="DRUCK22" localSheetId="47">#REF!</definedName>
    <definedName name="DRUCK22" localSheetId="57">#REF!</definedName>
    <definedName name="DRUCK22">#REF!</definedName>
    <definedName name="DRUCK23" localSheetId="13">#REF!</definedName>
    <definedName name="DRUCK23" localSheetId="15">#REF!</definedName>
    <definedName name="DRUCK23" localSheetId="24">#REF!</definedName>
    <definedName name="DRUCK23" localSheetId="33">#REF!</definedName>
    <definedName name="DRUCK23" localSheetId="35">#REF!</definedName>
    <definedName name="DRUCK23" localSheetId="45">#REF!</definedName>
    <definedName name="DRUCK23" localSheetId="47">#REF!</definedName>
    <definedName name="DRUCK23" localSheetId="57">#REF!</definedName>
    <definedName name="DRUCK23">#REF!</definedName>
    <definedName name="DRUCK24" localSheetId="13">#REF!</definedName>
    <definedName name="DRUCK24" localSheetId="15">#REF!</definedName>
    <definedName name="DRUCK24" localSheetId="24">#REF!</definedName>
    <definedName name="DRUCK24" localSheetId="33">#REF!</definedName>
    <definedName name="DRUCK24" localSheetId="35">#REF!</definedName>
    <definedName name="DRUCK24" localSheetId="45">#REF!</definedName>
    <definedName name="DRUCK24" localSheetId="47">#REF!</definedName>
    <definedName name="DRUCK24" localSheetId="57">#REF!</definedName>
    <definedName name="DRUCK24">#REF!</definedName>
    <definedName name="DRUCK25" localSheetId="13">#REF!</definedName>
    <definedName name="DRUCK25" localSheetId="15">#REF!</definedName>
    <definedName name="DRUCK25" localSheetId="24">#REF!</definedName>
    <definedName name="DRUCK25" localSheetId="33">#REF!</definedName>
    <definedName name="DRUCK25" localSheetId="35">#REF!</definedName>
    <definedName name="DRUCK25" localSheetId="45">#REF!</definedName>
    <definedName name="DRUCK25" localSheetId="47">#REF!</definedName>
    <definedName name="DRUCK25" localSheetId="57">#REF!</definedName>
    <definedName name="DRUCK25">#REF!</definedName>
    <definedName name="DRUCK26" localSheetId="13">#REF!</definedName>
    <definedName name="DRUCK26" localSheetId="15">#REF!</definedName>
    <definedName name="DRUCK26" localSheetId="24">#REF!</definedName>
    <definedName name="DRUCK26" localSheetId="33">#REF!</definedName>
    <definedName name="DRUCK26" localSheetId="35">#REF!</definedName>
    <definedName name="DRUCK26" localSheetId="45">#REF!</definedName>
    <definedName name="DRUCK26" localSheetId="47">#REF!</definedName>
    <definedName name="DRUCK26" localSheetId="57">#REF!</definedName>
    <definedName name="DRUCK26">#REF!</definedName>
    <definedName name="DRUCK27" localSheetId="13">#REF!</definedName>
    <definedName name="DRUCK27" localSheetId="15">#REF!</definedName>
    <definedName name="DRUCK27" localSheetId="24">#REF!</definedName>
    <definedName name="DRUCK27" localSheetId="33">#REF!</definedName>
    <definedName name="DRUCK27" localSheetId="35">#REF!</definedName>
    <definedName name="DRUCK27" localSheetId="45">#REF!</definedName>
    <definedName name="DRUCK27" localSheetId="47">#REF!</definedName>
    <definedName name="DRUCK27" localSheetId="57">#REF!</definedName>
    <definedName name="DRUCK27">#REF!</definedName>
    <definedName name="DRUCK28" localSheetId="13">#REF!</definedName>
    <definedName name="DRUCK28" localSheetId="15">#REF!</definedName>
    <definedName name="DRUCK28" localSheetId="24">#REF!</definedName>
    <definedName name="DRUCK28" localSheetId="33">#REF!</definedName>
    <definedName name="DRUCK28" localSheetId="35">#REF!</definedName>
    <definedName name="DRUCK28" localSheetId="45">#REF!</definedName>
    <definedName name="DRUCK28" localSheetId="47">#REF!</definedName>
    <definedName name="DRUCK28" localSheetId="57">#REF!</definedName>
    <definedName name="DRUCK28">#REF!</definedName>
    <definedName name="DRUCK29" localSheetId="13">#REF!</definedName>
    <definedName name="DRUCK29" localSheetId="15">#REF!</definedName>
    <definedName name="DRUCK29" localSheetId="24">#REF!</definedName>
    <definedName name="DRUCK29" localSheetId="33">#REF!</definedName>
    <definedName name="DRUCK29" localSheetId="35">#REF!</definedName>
    <definedName name="DRUCK29" localSheetId="45">#REF!</definedName>
    <definedName name="DRUCK29" localSheetId="47">#REF!</definedName>
    <definedName name="DRUCK29" localSheetId="57">#REF!</definedName>
    <definedName name="DRUCK29">#REF!</definedName>
    <definedName name="DRUCK30" localSheetId="13">#REF!</definedName>
    <definedName name="DRUCK30" localSheetId="15">#REF!</definedName>
    <definedName name="DRUCK30" localSheetId="24">#REF!</definedName>
    <definedName name="DRUCK30" localSheetId="33">#REF!</definedName>
    <definedName name="DRUCK30" localSheetId="35">#REF!</definedName>
    <definedName name="DRUCK30" localSheetId="45">#REF!</definedName>
    <definedName name="DRUCK30" localSheetId="47">#REF!</definedName>
    <definedName name="DRUCK30" localSheetId="57">#REF!</definedName>
    <definedName name="DRUCK30">#REF!</definedName>
    <definedName name="DRUCK31" localSheetId="13">#REF!</definedName>
    <definedName name="DRUCK31" localSheetId="15">#REF!</definedName>
    <definedName name="DRUCK31" localSheetId="24">#REF!</definedName>
    <definedName name="DRUCK31" localSheetId="33">#REF!</definedName>
    <definedName name="DRUCK31" localSheetId="35">#REF!</definedName>
    <definedName name="DRUCK31" localSheetId="45">#REF!</definedName>
    <definedName name="DRUCK31" localSheetId="47">#REF!</definedName>
    <definedName name="DRUCK31" localSheetId="57">#REF!</definedName>
    <definedName name="DRUCK31">#REF!</definedName>
    <definedName name="DRUCK32" localSheetId="13">#REF!</definedName>
    <definedName name="DRUCK32" localSheetId="15">#REF!</definedName>
    <definedName name="DRUCK32" localSheetId="24">#REF!</definedName>
    <definedName name="DRUCK32" localSheetId="33">#REF!</definedName>
    <definedName name="DRUCK32" localSheetId="35">#REF!</definedName>
    <definedName name="DRUCK32" localSheetId="45">#REF!</definedName>
    <definedName name="DRUCK32" localSheetId="47">#REF!</definedName>
    <definedName name="DRUCK32" localSheetId="57">#REF!</definedName>
    <definedName name="DRUCK32">#REF!</definedName>
    <definedName name="DRUCK33" localSheetId="13">#REF!</definedName>
    <definedName name="DRUCK33" localSheetId="15">#REF!</definedName>
    <definedName name="DRUCK33" localSheetId="24">#REF!</definedName>
    <definedName name="DRUCK33" localSheetId="33">#REF!</definedName>
    <definedName name="DRUCK33" localSheetId="35">#REF!</definedName>
    <definedName name="DRUCK33" localSheetId="45">#REF!</definedName>
    <definedName name="DRUCK33" localSheetId="47">#REF!</definedName>
    <definedName name="DRUCK33" localSheetId="57">#REF!</definedName>
    <definedName name="DRUCK33">#REF!</definedName>
    <definedName name="DRUCK34" localSheetId="13">#REF!</definedName>
    <definedName name="DRUCK34" localSheetId="15">#REF!</definedName>
    <definedName name="DRUCK34" localSheetId="24">#REF!</definedName>
    <definedName name="DRUCK34" localSheetId="33">#REF!</definedName>
    <definedName name="DRUCK34" localSheetId="35">#REF!</definedName>
    <definedName name="DRUCK34" localSheetId="45">#REF!</definedName>
    <definedName name="DRUCK34" localSheetId="47">#REF!</definedName>
    <definedName name="DRUCK34" localSheetId="57">#REF!</definedName>
    <definedName name="DRUCK34">#REF!</definedName>
    <definedName name="DRUCK35" localSheetId="13">#REF!</definedName>
    <definedName name="DRUCK35" localSheetId="15">#REF!</definedName>
    <definedName name="DRUCK35" localSheetId="24">#REF!</definedName>
    <definedName name="DRUCK35" localSheetId="33">#REF!</definedName>
    <definedName name="DRUCK35" localSheetId="35">#REF!</definedName>
    <definedName name="DRUCK35" localSheetId="45">#REF!</definedName>
    <definedName name="DRUCK35" localSheetId="47">#REF!</definedName>
    <definedName name="DRUCK35" localSheetId="57">#REF!</definedName>
    <definedName name="DRUCK35">#REF!</definedName>
    <definedName name="DRUCK36" localSheetId="13">#REF!</definedName>
    <definedName name="DRUCK36" localSheetId="15">#REF!</definedName>
    <definedName name="DRUCK36" localSheetId="24">#REF!</definedName>
    <definedName name="DRUCK36" localSheetId="33">#REF!</definedName>
    <definedName name="DRUCK36" localSheetId="35">#REF!</definedName>
    <definedName name="DRUCK36" localSheetId="45">#REF!</definedName>
    <definedName name="DRUCK36" localSheetId="47">#REF!</definedName>
    <definedName name="DRUCK36" localSheetId="57">#REF!</definedName>
    <definedName name="DRUCK36">#REF!</definedName>
    <definedName name="DRUCK37" localSheetId="13">#REF!</definedName>
    <definedName name="DRUCK37" localSheetId="15">#REF!</definedName>
    <definedName name="DRUCK37" localSheetId="24">#REF!</definedName>
    <definedName name="DRUCK37" localSheetId="33">#REF!</definedName>
    <definedName name="DRUCK37" localSheetId="35">#REF!</definedName>
    <definedName name="DRUCK37" localSheetId="45">#REF!</definedName>
    <definedName name="DRUCK37" localSheetId="47">#REF!</definedName>
    <definedName name="DRUCK37" localSheetId="57">#REF!</definedName>
    <definedName name="DRUCK37">#REF!</definedName>
    <definedName name="DRUCK38" localSheetId="13">#REF!</definedName>
    <definedName name="DRUCK38" localSheetId="15">#REF!</definedName>
    <definedName name="DRUCK38" localSheetId="24">#REF!</definedName>
    <definedName name="DRUCK38" localSheetId="33">#REF!</definedName>
    <definedName name="DRUCK38" localSheetId="35">#REF!</definedName>
    <definedName name="DRUCK38" localSheetId="45">#REF!</definedName>
    <definedName name="DRUCK38" localSheetId="47">#REF!</definedName>
    <definedName name="DRUCK38" localSheetId="57">#REF!</definedName>
    <definedName name="DRUCK38">#REF!</definedName>
    <definedName name="DRUCK39" localSheetId="13">#REF!</definedName>
    <definedName name="DRUCK39" localSheetId="15">#REF!</definedName>
    <definedName name="DRUCK39" localSheetId="24">#REF!</definedName>
    <definedName name="DRUCK39" localSheetId="33">#REF!</definedName>
    <definedName name="DRUCK39" localSheetId="35">#REF!</definedName>
    <definedName name="DRUCK39" localSheetId="45">#REF!</definedName>
    <definedName name="DRUCK39" localSheetId="47">#REF!</definedName>
    <definedName name="DRUCK39" localSheetId="57">#REF!</definedName>
    <definedName name="DRUCK39">#REF!</definedName>
    <definedName name="DRUCK40" localSheetId="13">#REF!</definedName>
    <definedName name="DRUCK40" localSheetId="15">#REF!</definedName>
    <definedName name="DRUCK40" localSheetId="24">#REF!</definedName>
    <definedName name="DRUCK40" localSheetId="33">#REF!</definedName>
    <definedName name="DRUCK40" localSheetId="35">#REF!</definedName>
    <definedName name="DRUCK40" localSheetId="45">#REF!</definedName>
    <definedName name="DRUCK40" localSheetId="47">#REF!</definedName>
    <definedName name="DRUCK40" localSheetId="57">#REF!</definedName>
    <definedName name="DRUCK40">#REF!</definedName>
    <definedName name="DRUCK41" localSheetId="13">#REF!</definedName>
    <definedName name="DRUCK41" localSheetId="15">#REF!</definedName>
    <definedName name="DRUCK41" localSheetId="24">#REF!</definedName>
    <definedName name="DRUCK41" localSheetId="33">#REF!</definedName>
    <definedName name="DRUCK41" localSheetId="35">#REF!</definedName>
    <definedName name="DRUCK41" localSheetId="45">#REF!</definedName>
    <definedName name="DRUCK41" localSheetId="47">#REF!</definedName>
    <definedName name="DRUCK41" localSheetId="57">#REF!</definedName>
    <definedName name="DRUCK41">#REF!</definedName>
    <definedName name="Druck41a" localSheetId="13">#REF!</definedName>
    <definedName name="Druck41a" localSheetId="15">#REF!</definedName>
    <definedName name="Druck41a" localSheetId="24">#REF!</definedName>
    <definedName name="Druck41a" localSheetId="33">#REF!</definedName>
    <definedName name="Druck41a" localSheetId="35">#REF!</definedName>
    <definedName name="Druck41a" localSheetId="45">#REF!</definedName>
    <definedName name="Druck41a" localSheetId="47">#REF!</definedName>
    <definedName name="Druck41a" localSheetId="57">#REF!</definedName>
    <definedName name="Druck41a">#REF!</definedName>
    <definedName name="DRUCK42" localSheetId="13">#REF!</definedName>
    <definedName name="DRUCK42" localSheetId="15">#REF!</definedName>
    <definedName name="DRUCK42" localSheetId="24">#REF!</definedName>
    <definedName name="DRUCK42" localSheetId="33">#REF!</definedName>
    <definedName name="DRUCK42" localSheetId="35">#REF!</definedName>
    <definedName name="DRUCK42" localSheetId="45">#REF!</definedName>
    <definedName name="DRUCK42" localSheetId="47">#REF!</definedName>
    <definedName name="DRUCK42" localSheetId="57">#REF!</definedName>
    <definedName name="DRUCK42">#REF!</definedName>
    <definedName name="druck42a" localSheetId="13">#REF!</definedName>
    <definedName name="druck42a" localSheetId="15">#REF!</definedName>
    <definedName name="druck42a" localSheetId="24">#REF!</definedName>
    <definedName name="druck42a" localSheetId="33">#REF!</definedName>
    <definedName name="druck42a" localSheetId="35">#REF!</definedName>
    <definedName name="druck42a" localSheetId="45">#REF!</definedName>
    <definedName name="druck42a" localSheetId="47">#REF!</definedName>
    <definedName name="druck42a" localSheetId="57">#REF!</definedName>
    <definedName name="druck42a">#REF!</definedName>
    <definedName name="DRUCK43" localSheetId="13">#REF!</definedName>
    <definedName name="DRUCK43" localSheetId="15">#REF!</definedName>
    <definedName name="DRUCK43" localSheetId="24">#REF!</definedName>
    <definedName name="DRUCK43" localSheetId="33">#REF!</definedName>
    <definedName name="DRUCK43" localSheetId="35">#REF!</definedName>
    <definedName name="DRUCK43" localSheetId="45">#REF!</definedName>
    <definedName name="DRUCK43" localSheetId="47">#REF!</definedName>
    <definedName name="DRUCK43" localSheetId="57">#REF!</definedName>
    <definedName name="DRUCK43">#REF!</definedName>
    <definedName name="DRUCK44" localSheetId="13">#REF!</definedName>
    <definedName name="DRUCK44" localSheetId="15">#REF!</definedName>
    <definedName name="DRUCK44" localSheetId="24">#REF!</definedName>
    <definedName name="DRUCK44" localSheetId="33">#REF!</definedName>
    <definedName name="DRUCK44" localSheetId="35">#REF!</definedName>
    <definedName name="DRUCK44" localSheetId="45">#REF!</definedName>
    <definedName name="DRUCK44" localSheetId="47">#REF!</definedName>
    <definedName name="DRUCK44" localSheetId="57">#REF!</definedName>
    <definedName name="DRUCK44">#REF!</definedName>
    <definedName name="DRUCK45" localSheetId="13">#REF!</definedName>
    <definedName name="DRUCK45" localSheetId="15">#REF!</definedName>
    <definedName name="DRUCK45" localSheetId="24">#REF!</definedName>
    <definedName name="DRUCK45" localSheetId="33">#REF!</definedName>
    <definedName name="DRUCK45" localSheetId="35">#REF!</definedName>
    <definedName name="DRUCK45" localSheetId="45">#REF!</definedName>
    <definedName name="DRUCK45" localSheetId="47">#REF!</definedName>
    <definedName name="DRUCK45" localSheetId="57">#REF!</definedName>
    <definedName name="DRUCK45">#REF!</definedName>
    <definedName name="DRUCK46" localSheetId="13">#REF!</definedName>
    <definedName name="DRUCK46" localSheetId="15">#REF!</definedName>
    <definedName name="DRUCK46" localSheetId="24">#REF!</definedName>
    <definedName name="DRUCK46" localSheetId="33">#REF!</definedName>
    <definedName name="DRUCK46" localSheetId="35">#REF!</definedName>
    <definedName name="DRUCK46" localSheetId="45">#REF!</definedName>
    <definedName name="DRUCK46" localSheetId="47">#REF!</definedName>
    <definedName name="DRUCK46" localSheetId="57">#REF!</definedName>
    <definedName name="DRUCK46">#REF!</definedName>
    <definedName name="DRUCK47" localSheetId="13">#REF!</definedName>
    <definedName name="DRUCK47" localSheetId="15">#REF!</definedName>
    <definedName name="DRUCK47" localSheetId="24">#REF!</definedName>
    <definedName name="DRUCK47" localSheetId="33">#REF!</definedName>
    <definedName name="DRUCK47" localSheetId="35">#REF!</definedName>
    <definedName name="DRUCK47" localSheetId="45">#REF!</definedName>
    <definedName name="DRUCK47" localSheetId="47">#REF!</definedName>
    <definedName name="DRUCK47" localSheetId="57">#REF!</definedName>
    <definedName name="DRUCK47">#REF!</definedName>
    <definedName name="DRUCK48" localSheetId="13">#REF!</definedName>
    <definedName name="DRUCK48" localSheetId="15">#REF!</definedName>
    <definedName name="DRUCK48" localSheetId="24">#REF!</definedName>
    <definedName name="DRUCK48" localSheetId="33">#REF!</definedName>
    <definedName name="DRUCK48" localSheetId="35">#REF!</definedName>
    <definedName name="DRUCK48" localSheetId="45">#REF!</definedName>
    <definedName name="DRUCK48" localSheetId="47">#REF!</definedName>
    <definedName name="DRUCK48" localSheetId="57">#REF!</definedName>
    <definedName name="DRUCK48">#REF!</definedName>
    <definedName name="DRUCK49" localSheetId="13">#REF!</definedName>
    <definedName name="DRUCK49" localSheetId="15">#REF!</definedName>
    <definedName name="DRUCK49" localSheetId="24">#REF!</definedName>
    <definedName name="DRUCK49" localSheetId="33">#REF!</definedName>
    <definedName name="DRUCK49" localSheetId="35">#REF!</definedName>
    <definedName name="DRUCK49" localSheetId="45">#REF!</definedName>
    <definedName name="DRUCK49" localSheetId="47">#REF!</definedName>
    <definedName name="DRUCK49" localSheetId="57">#REF!</definedName>
    <definedName name="DRUCK49">#REF!</definedName>
    <definedName name="DRUCK50" localSheetId="13">#REF!</definedName>
    <definedName name="DRUCK50" localSheetId="15">#REF!</definedName>
    <definedName name="DRUCK50" localSheetId="24">#REF!</definedName>
    <definedName name="DRUCK50" localSheetId="33">#REF!</definedName>
    <definedName name="DRUCK50" localSheetId="35">#REF!</definedName>
    <definedName name="DRUCK50" localSheetId="45">#REF!</definedName>
    <definedName name="DRUCK50" localSheetId="47">#REF!</definedName>
    <definedName name="DRUCK50" localSheetId="57">#REF!</definedName>
    <definedName name="DRUCK50">#REF!</definedName>
    <definedName name="DRUCK51" localSheetId="13">#REF!</definedName>
    <definedName name="DRUCK51" localSheetId="15">#REF!</definedName>
    <definedName name="DRUCK51" localSheetId="24">#REF!</definedName>
    <definedName name="DRUCK51" localSheetId="33">#REF!</definedName>
    <definedName name="DRUCK51" localSheetId="35">#REF!</definedName>
    <definedName name="DRUCK51" localSheetId="45">#REF!</definedName>
    <definedName name="DRUCK51" localSheetId="47">#REF!</definedName>
    <definedName name="DRUCK51" localSheetId="57">#REF!</definedName>
    <definedName name="DRUCK51">#REF!</definedName>
    <definedName name="DRUCK52" localSheetId="13">#REF!</definedName>
    <definedName name="DRUCK52" localSheetId="15">#REF!</definedName>
    <definedName name="DRUCK52" localSheetId="24">#REF!</definedName>
    <definedName name="DRUCK52" localSheetId="33">#REF!</definedName>
    <definedName name="DRUCK52" localSheetId="35">#REF!</definedName>
    <definedName name="DRUCK52" localSheetId="45">#REF!</definedName>
    <definedName name="DRUCK52" localSheetId="47">#REF!</definedName>
    <definedName name="DRUCK52" localSheetId="57">#REF!</definedName>
    <definedName name="DRUCK52">#REF!</definedName>
    <definedName name="DRUCK53" localSheetId="13">#REF!</definedName>
    <definedName name="DRUCK53" localSheetId="15">#REF!</definedName>
    <definedName name="DRUCK53" localSheetId="24">#REF!</definedName>
    <definedName name="DRUCK53" localSheetId="33">#REF!</definedName>
    <definedName name="DRUCK53" localSheetId="35">#REF!</definedName>
    <definedName name="DRUCK53" localSheetId="45">#REF!</definedName>
    <definedName name="DRUCK53" localSheetId="47">#REF!</definedName>
    <definedName name="DRUCK53" localSheetId="57">#REF!</definedName>
    <definedName name="DRUCK53">#REF!</definedName>
    <definedName name="DRUCK54" localSheetId="13">#REF!</definedName>
    <definedName name="DRUCK54" localSheetId="15">#REF!</definedName>
    <definedName name="DRUCK54" localSheetId="24">#REF!</definedName>
    <definedName name="DRUCK54" localSheetId="33">#REF!</definedName>
    <definedName name="DRUCK54" localSheetId="35">#REF!</definedName>
    <definedName name="DRUCK54" localSheetId="45">#REF!</definedName>
    <definedName name="DRUCK54" localSheetId="47">#REF!</definedName>
    <definedName name="DRUCK54" localSheetId="57">#REF!</definedName>
    <definedName name="DRUCK54">#REF!</definedName>
    <definedName name="DRUCK61" localSheetId="13">#REF!</definedName>
    <definedName name="DRUCK61" localSheetId="15">#REF!</definedName>
    <definedName name="DRUCK61" localSheetId="24">#REF!</definedName>
    <definedName name="DRUCK61" localSheetId="33">#REF!</definedName>
    <definedName name="DRUCK61" localSheetId="35">#REF!</definedName>
    <definedName name="DRUCK61" localSheetId="45">#REF!</definedName>
    <definedName name="DRUCK61" localSheetId="47">#REF!</definedName>
    <definedName name="DRUCK61" localSheetId="57">#REF!</definedName>
    <definedName name="DRUCK61">#REF!</definedName>
    <definedName name="DRUCK62" localSheetId="13">#REF!</definedName>
    <definedName name="DRUCK62" localSheetId="15">#REF!</definedName>
    <definedName name="DRUCK62" localSheetId="24">#REF!</definedName>
    <definedName name="DRUCK62" localSheetId="33">#REF!</definedName>
    <definedName name="DRUCK62" localSheetId="35">#REF!</definedName>
    <definedName name="DRUCK62" localSheetId="45">#REF!</definedName>
    <definedName name="DRUCK62" localSheetId="47">#REF!</definedName>
    <definedName name="DRUCK62" localSheetId="57">#REF!</definedName>
    <definedName name="DRUCK62">#REF!</definedName>
    <definedName name="DRUCK63" localSheetId="13">#REF!</definedName>
    <definedName name="DRUCK63" localSheetId="15">#REF!</definedName>
    <definedName name="DRUCK63" localSheetId="24">#REF!</definedName>
    <definedName name="DRUCK63" localSheetId="33">#REF!</definedName>
    <definedName name="DRUCK63" localSheetId="35">#REF!</definedName>
    <definedName name="DRUCK63" localSheetId="45">#REF!</definedName>
    <definedName name="DRUCK63" localSheetId="47">#REF!</definedName>
    <definedName name="DRUCK63" localSheetId="57">#REF!</definedName>
    <definedName name="DRUCK63">#REF!</definedName>
    <definedName name="DRUCK64" localSheetId="13">#REF!</definedName>
    <definedName name="DRUCK64" localSheetId="15">#REF!</definedName>
    <definedName name="DRUCK64" localSheetId="24">#REF!</definedName>
    <definedName name="DRUCK64" localSheetId="33">#REF!</definedName>
    <definedName name="DRUCK64" localSheetId="35">#REF!</definedName>
    <definedName name="DRUCK64" localSheetId="45">#REF!</definedName>
    <definedName name="DRUCK64" localSheetId="47">#REF!</definedName>
    <definedName name="DRUCK64" localSheetId="57">#REF!</definedName>
    <definedName name="DRUCK64">#REF!</definedName>
    <definedName name="_xlnm.Print_Area" localSheetId="3">'1_1 '!$A$1:$L$32</definedName>
    <definedName name="_xlnm.Print_Area" localSheetId="4">'1_2 '!$A$1:$L$30</definedName>
    <definedName name="_xlnm.Print_Area" localSheetId="5">'1_3 '!$A$1:$L$31</definedName>
    <definedName name="_xlnm.Print_Area" localSheetId="6">'2.1.1'!$A$1:$L$86</definedName>
    <definedName name="_xlnm.Print_Area" localSheetId="7">'2.1.2'!$A$1:$L$85</definedName>
    <definedName name="_xlnm.Print_Area" localSheetId="8">'2.1.3'!$A$1:$L$85</definedName>
    <definedName name="_xlnm.Print_Area" localSheetId="9">'2.1.4'!$A$1:$L$86</definedName>
    <definedName name="_xlnm.Print_Area" localSheetId="10">'2.1.5'!$A$1:$L$85</definedName>
    <definedName name="_xlnm.Print_Area" localSheetId="11">'2.1.6'!$A$1:$L$88</definedName>
    <definedName name="_xlnm.Print_Area" localSheetId="12">'2.1.7'!$A$1:$L$89</definedName>
    <definedName name="_xlnm.Print_Area" localSheetId="13">'2.1.7.1'!$A$1:$L$89</definedName>
    <definedName name="_xlnm.Print_Area" localSheetId="14">'2.1.8'!$A$1:$L$86</definedName>
    <definedName name="_xlnm.Print_Area" localSheetId="15">'2.1.8.1'!$A$1:$L$87</definedName>
    <definedName name="_xlnm.Print_Area" localSheetId="16">'2.1.9'!$A$1:$L$86</definedName>
    <definedName name="_xlnm.Print_Area" localSheetId="17">'2.2.1'!$A$1:$L$84</definedName>
    <definedName name="_xlnm.Print_Area" localSheetId="18">'2.2.2'!$A$1:$L$84</definedName>
    <definedName name="_xlnm.Print_Area" localSheetId="19">'2.2.3'!$A$1:$L$84</definedName>
    <definedName name="_xlnm.Print_Area" localSheetId="20">'2.2.4'!$A$1:$L$84</definedName>
    <definedName name="_xlnm.Print_Area" localSheetId="21">'2.2.5'!$A$1:$L$84</definedName>
    <definedName name="_xlnm.Print_Area" localSheetId="22">'2.2.6'!$A$1:$L$86</definedName>
    <definedName name="_xlnm.Print_Area" localSheetId="23">'2.2.7'!$A$1:$L$87</definedName>
    <definedName name="_xlnm.Print_Area" localSheetId="24">'2.2.7.1'!$A$1:$L$87</definedName>
    <definedName name="_xlnm.Print_Area" localSheetId="25">'2.2.8'!$A$1:$L$83</definedName>
    <definedName name="_xlnm.Print_Area" localSheetId="26">'2.3.1'!$A$1:$L$86</definedName>
    <definedName name="_xlnm.Print_Area" localSheetId="27">'2.3.2'!$A$1:$L$85</definedName>
    <definedName name="_xlnm.Print_Area" localSheetId="28">'2.3.3'!$A$1:$L$85</definedName>
    <definedName name="_xlnm.Print_Area" localSheetId="29">'2.3.4'!$A$1:$L$86</definedName>
    <definedName name="_xlnm.Print_Area" localSheetId="30">'2.3.5'!$A$1:$L$85</definedName>
    <definedName name="_xlnm.Print_Area" localSheetId="31">'2.3.6'!$A$1:$L$87</definedName>
    <definedName name="_xlnm.Print_Area" localSheetId="32">'2.3.7'!$A$1:$L$89</definedName>
    <definedName name="_xlnm.Print_Area" localSheetId="33">'2.3.7.1'!$A$1:$L$89</definedName>
    <definedName name="_xlnm.Print_Area" localSheetId="34">'2.3.8'!$A$1:$L$86</definedName>
    <definedName name="_xlnm.Print_Area" localSheetId="35">'2.3.8.1'!$A$1:$L$87</definedName>
    <definedName name="_xlnm.Print_Area" localSheetId="36">'2.3.9'!$A$1:$L$85</definedName>
    <definedName name="_xlnm.Print_Area" localSheetId="37">'3.1.1'!$A$1:$L$69</definedName>
    <definedName name="_xlnm.Print_Area" localSheetId="48">'3.1.10'!$A$1:$L$68</definedName>
    <definedName name="_xlnm.Print_Area" localSheetId="38">'3.1.2'!$A$1:$L$68</definedName>
    <definedName name="_xlnm.Print_Area" localSheetId="39">'3.1.3'!$A$1:$L$67</definedName>
    <definedName name="_xlnm.Print_Area" localSheetId="40">'3.1.4'!$A$1:$L$67</definedName>
    <definedName name="_xlnm.Print_Area" localSheetId="41">'3.1.5'!$A$1:$L$68</definedName>
    <definedName name="_xlnm.Print_Area" localSheetId="42">'3.1.6'!$A$1:$L$67</definedName>
    <definedName name="_xlnm.Print_Area" localSheetId="43">'3.1.7'!$A$1:$L$68</definedName>
    <definedName name="_xlnm.Print_Area" localSheetId="44">'3.1.8'!$A$1:$L$71</definedName>
    <definedName name="_xlnm.Print_Area" localSheetId="45">'3.1.8.1'!$A$1:$L$71</definedName>
    <definedName name="_xlnm.Print_Area" localSheetId="46">'3.1.9'!$A$1:$L$69</definedName>
    <definedName name="_xlnm.Print_Area" localSheetId="47">'3.1.9.1'!$A$1:$L$70</definedName>
    <definedName name="_xlnm.Print_Area" localSheetId="49">'3.2.1'!$A$1:$L$66</definedName>
    <definedName name="_xlnm.Print_Area" localSheetId="50">'3.2.2'!$A$1:$L$66</definedName>
    <definedName name="_xlnm.Print_Area" localSheetId="51">'3.2.3'!$A$1:$L$66</definedName>
    <definedName name="_xlnm.Print_Area" localSheetId="52">'3.2.4'!$A$1:$L$66</definedName>
    <definedName name="_xlnm.Print_Area" localSheetId="53">'3.2.5'!$A$1:$L$66</definedName>
    <definedName name="_xlnm.Print_Area" localSheetId="54">'3.2.6'!$A$1:$L$67</definedName>
    <definedName name="_xlnm.Print_Area" localSheetId="55">'3.2.7'!$A$1:$L$66</definedName>
    <definedName name="_xlnm.Print_Area" localSheetId="56">'3.2.8'!$A$1:$L$69</definedName>
    <definedName name="_xlnm.Print_Area" localSheetId="57">'3.2.8.1'!$A$1:$L$69</definedName>
    <definedName name="_xlnm.Print_Area" localSheetId="58">'3.2.9'!$A$1:$L$66</definedName>
    <definedName name="_xlnm.Print_Area" localSheetId="59">'3.3.1'!$A$1:$L$68</definedName>
    <definedName name="_xlnm.Print_Area" localSheetId="70">'3.3.10'!$A$1:$L$69</definedName>
    <definedName name="_xlnm.Print_Area" localSheetId="60">'3.3.2'!$A$1:$L$69</definedName>
    <definedName name="_xlnm.Print_Area" localSheetId="61">'3.3.3'!$A$1:$L$67</definedName>
    <definedName name="_xlnm.Print_Area" localSheetId="62">'3.3.4'!$A$1:$L$67</definedName>
    <definedName name="_xlnm.Print_Area" localSheetId="63">'3.3.5'!$A$1:$L$68</definedName>
    <definedName name="_xlnm.Print_Area" localSheetId="64">'3.3.6'!$A$1:$L$67</definedName>
    <definedName name="_xlnm.Print_Area" localSheetId="65">'3.3.7'!$A$1:$L$69</definedName>
    <definedName name="_xlnm.Print_Area" localSheetId="66">'3.3.8'!$A$1:$L$71</definedName>
    <definedName name="_xlnm.Print_Area" localSheetId="67">'3.3.8.1'!$A$1:$L$70</definedName>
    <definedName name="_xlnm.Print_Area" localSheetId="68">'3.3.9'!$A$1:$L$70</definedName>
    <definedName name="_xlnm.Print_Area" localSheetId="69">'3.3.9.1'!$A$1:$L$69</definedName>
    <definedName name="_xlnm.Print_Area" localSheetId="73">'AW Schulen'!$A$1:$P$202</definedName>
    <definedName name="_xlnm.Print_Area" localSheetId="1">Fußnoten!$A$1:$I$32</definedName>
    <definedName name="DRUFS01" localSheetId="13">#REF!</definedName>
    <definedName name="DRUFS01" localSheetId="15">#REF!</definedName>
    <definedName name="DRUFS01" localSheetId="24">#REF!</definedName>
    <definedName name="DRUFS01" localSheetId="33">#REF!</definedName>
    <definedName name="DRUFS01" localSheetId="35">#REF!</definedName>
    <definedName name="DRUFS01" localSheetId="45">#REF!</definedName>
    <definedName name="DRUFS01" localSheetId="47">#REF!</definedName>
    <definedName name="DRUFS01" localSheetId="57">#REF!</definedName>
    <definedName name="DRUFS01">#REF!</definedName>
    <definedName name="DRUFS02" localSheetId="13">#REF!</definedName>
    <definedName name="DRUFS02" localSheetId="15">#REF!</definedName>
    <definedName name="DRUFS02" localSheetId="24">#REF!</definedName>
    <definedName name="DRUFS02" localSheetId="33">#REF!</definedName>
    <definedName name="DRUFS02" localSheetId="35">#REF!</definedName>
    <definedName name="DRUFS02" localSheetId="45">#REF!</definedName>
    <definedName name="DRUFS02" localSheetId="47">#REF!</definedName>
    <definedName name="DRUFS02" localSheetId="57">#REF!</definedName>
    <definedName name="DRUFS02">#REF!</definedName>
    <definedName name="DRUFS03" localSheetId="13">#REF!</definedName>
    <definedName name="DRUFS03" localSheetId="15">#REF!</definedName>
    <definedName name="DRUFS03" localSheetId="24">#REF!</definedName>
    <definedName name="DRUFS03" localSheetId="33">#REF!</definedName>
    <definedName name="DRUFS03" localSheetId="35">#REF!</definedName>
    <definedName name="DRUFS03" localSheetId="45">#REF!</definedName>
    <definedName name="DRUFS03" localSheetId="47">#REF!</definedName>
    <definedName name="DRUFS03" localSheetId="57">#REF!</definedName>
    <definedName name="DRUFS03">#REF!</definedName>
    <definedName name="DRUFS04" localSheetId="13">#REF!</definedName>
    <definedName name="DRUFS04" localSheetId="15">#REF!</definedName>
    <definedName name="DRUFS04" localSheetId="24">#REF!</definedName>
    <definedName name="DRUFS04" localSheetId="33">#REF!</definedName>
    <definedName name="DRUFS04" localSheetId="35">#REF!</definedName>
    <definedName name="DRUFS04" localSheetId="45">#REF!</definedName>
    <definedName name="DRUFS04" localSheetId="47">#REF!</definedName>
    <definedName name="DRUFS04" localSheetId="57">#REF!</definedName>
    <definedName name="DRUFS04">#REF!</definedName>
    <definedName name="DRUFS05" localSheetId="13">#REF!</definedName>
    <definedName name="DRUFS05" localSheetId="15">#REF!</definedName>
    <definedName name="DRUFS05" localSheetId="24">#REF!</definedName>
    <definedName name="DRUFS05" localSheetId="33">#REF!</definedName>
    <definedName name="DRUFS05" localSheetId="35">#REF!</definedName>
    <definedName name="DRUFS05" localSheetId="45">#REF!</definedName>
    <definedName name="DRUFS05" localSheetId="47">#REF!</definedName>
    <definedName name="DRUFS05" localSheetId="57">#REF!</definedName>
    <definedName name="DRUFS05">#REF!</definedName>
    <definedName name="DRUFS06" localSheetId="13">#REF!</definedName>
    <definedName name="DRUFS06" localSheetId="15">#REF!</definedName>
    <definedName name="DRUFS06" localSheetId="24">#REF!</definedName>
    <definedName name="DRUFS06" localSheetId="33">#REF!</definedName>
    <definedName name="DRUFS06" localSheetId="35">#REF!</definedName>
    <definedName name="DRUFS06" localSheetId="45">#REF!</definedName>
    <definedName name="DRUFS06" localSheetId="47">#REF!</definedName>
    <definedName name="DRUFS06" localSheetId="57">#REF!</definedName>
    <definedName name="DRUFS06">#REF!</definedName>
    <definedName name="DRUHI01" localSheetId="13">#REF!</definedName>
    <definedName name="DRUHI01" localSheetId="15">#REF!</definedName>
    <definedName name="DRUHI01" localSheetId="24">#REF!</definedName>
    <definedName name="DRUHI01" localSheetId="33">#REF!</definedName>
    <definedName name="DRUHI01" localSheetId="35">#REF!</definedName>
    <definedName name="DRUHI01" localSheetId="45">#REF!</definedName>
    <definedName name="DRUHI01" localSheetId="47">#REF!</definedName>
    <definedName name="DRUHI01" localSheetId="57">#REF!</definedName>
    <definedName name="DRUHI01">#REF!</definedName>
    <definedName name="DRUHI02" localSheetId="13">#REF!</definedName>
    <definedName name="DRUHI02" localSheetId="15">#REF!</definedName>
    <definedName name="DRUHI02" localSheetId="24">#REF!</definedName>
    <definedName name="DRUHI02" localSheetId="33">#REF!</definedName>
    <definedName name="DRUHI02" localSheetId="35">#REF!</definedName>
    <definedName name="DRUHI02" localSheetId="45">#REF!</definedName>
    <definedName name="DRUHI02" localSheetId="47">#REF!</definedName>
    <definedName name="DRUHI02" localSheetId="57">#REF!</definedName>
    <definedName name="DRUHI02">#REF!</definedName>
    <definedName name="DRUHI03" localSheetId="13">#REF!</definedName>
    <definedName name="DRUHI03" localSheetId="15">#REF!</definedName>
    <definedName name="DRUHI03" localSheetId="24">#REF!</definedName>
    <definedName name="DRUHI03" localSheetId="33">#REF!</definedName>
    <definedName name="DRUHI03" localSheetId="35">#REF!</definedName>
    <definedName name="DRUHI03" localSheetId="45">#REF!</definedName>
    <definedName name="DRUHI03" localSheetId="47">#REF!</definedName>
    <definedName name="DRUHI03" localSheetId="57">#REF!</definedName>
    <definedName name="DRUHI03">#REF!</definedName>
    <definedName name="DRUHI04" localSheetId="13">#REF!</definedName>
    <definedName name="DRUHI04" localSheetId="15">#REF!</definedName>
    <definedName name="DRUHI04" localSheetId="24">#REF!</definedName>
    <definedName name="DRUHI04" localSheetId="33">#REF!</definedName>
    <definedName name="DRUHI04" localSheetId="35">#REF!</definedName>
    <definedName name="DRUHI04" localSheetId="45">#REF!</definedName>
    <definedName name="DRUHI04" localSheetId="47">#REF!</definedName>
    <definedName name="DRUHI04" localSheetId="57">#REF!</definedName>
    <definedName name="DRUHI04">#REF!</definedName>
    <definedName name="DRUHI05" localSheetId="13">#REF!</definedName>
    <definedName name="DRUHI05" localSheetId="15">#REF!</definedName>
    <definedName name="DRUHI05" localSheetId="24">#REF!</definedName>
    <definedName name="DRUHI05" localSheetId="33">#REF!</definedName>
    <definedName name="DRUHI05" localSheetId="35">#REF!</definedName>
    <definedName name="DRUHI05" localSheetId="45">#REF!</definedName>
    <definedName name="DRUHI05" localSheetId="47">#REF!</definedName>
    <definedName name="DRUHI05" localSheetId="57">#REF!</definedName>
    <definedName name="DRUHI05">#REF!</definedName>
    <definedName name="DRUHI06" localSheetId="13">#REF!</definedName>
    <definedName name="DRUHI06" localSheetId="15">#REF!</definedName>
    <definedName name="DRUHI06" localSheetId="24">#REF!</definedName>
    <definedName name="DRUHI06" localSheetId="33">#REF!</definedName>
    <definedName name="DRUHI06" localSheetId="35">#REF!</definedName>
    <definedName name="DRUHI06" localSheetId="45">#REF!</definedName>
    <definedName name="DRUHI06" localSheetId="47">#REF!</definedName>
    <definedName name="DRUHI06" localSheetId="57">#REF!</definedName>
    <definedName name="DRUHI06">#REF!</definedName>
    <definedName name="DRUHI07" localSheetId="13">#REF!</definedName>
    <definedName name="DRUHI07" localSheetId="15">#REF!</definedName>
    <definedName name="DRUHI07" localSheetId="24">#REF!</definedName>
    <definedName name="DRUHI07" localSheetId="33">#REF!</definedName>
    <definedName name="DRUHI07" localSheetId="35">#REF!</definedName>
    <definedName name="DRUHI07" localSheetId="45">#REF!</definedName>
    <definedName name="DRUHI07" localSheetId="47">#REF!</definedName>
    <definedName name="DRUHI07" localSheetId="57">#REF!</definedName>
    <definedName name="DRUHI07">#REF!</definedName>
    <definedName name="MAKROER1" localSheetId="13">#REF!</definedName>
    <definedName name="MAKROER1" localSheetId="15">#REF!</definedName>
    <definedName name="MAKROER1" localSheetId="24">#REF!</definedName>
    <definedName name="MAKROER1" localSheetId="33">#REF!</definedName>
    <definedName name="MAKROER1" localSheetId="35">#REF!</definedName>
    <definedName name="MAKROER1" localSheetId="45">#REF!</definedName>
    <definedName name="MAKROER1" localSheetId="47">#REF!</definedName>
    <definedName name="MAKROER1" localSheetId="57">#REF!</definedName>
    <definedName name="MAKROER1">#REF!</definedName>
    <definedName name="MAKROER2" localSheetId="13">#REF!</definedName>
    <definedName name="MAKROER2" localSheetId="15">#REF!</definedName>
    <definedName name="MAKROER2" localSheetId="24">#REF!</definedName>
    <definedName name="MAKROER2" localSheetId="33">#REF!</definedName>
    <definedName name="MAKROER2" localSheetId="35">#REF!</definedName>
    <definedName name="MAKROER2" localSheetId="45">#REF!</definedName>
    <definedName name="MAKROER2" localSheetId="47">#REF!</definedName>
    <definedName name="MAKROER2" localSheetId="57">#REF!</definedName>
    <definedName name="MAKROER2">#REF!</definedName>
    <definedName name="PROT01VK" localSheetId="13">#REF!</definedName>
    <definedName name="PROT01VK" localSheetId="15">#REF!</definedName>
    <definedName name="PROT01VK" localSheetId="24">#REF!</definedName>
    <definedName name="PROT01VK" localSheetId="33">#REF!</definedName>
    <definedName name="PROT01VK" localSheetId="35">#REF!</definedName>
    <definedName name="PROT01VK" localSheetId="45">#REF!</definedName>
    <definedName name="PROT01VK" localSheetId="47">#REF!</definedName>
    <definedName name="PROT01VK" localSheetId="57">#REF!</definedName>
    <definedName name="PROT01VK">#REF!</definedName>
  </definedNames>
  <calcPr calcId="145621"/>
</workbook>
</file>

<file path=xl/calcChain.xml><?xml version="1.0" encoding="utf-8"?>
<calcChain xmlns="http://schemas.openxmlformats.org/spreadsheetml/2006/main">
  <c r="P201" i="213" l="1"/>
  <c r="O201" i="213"/>
  <c r="P183" i="213"/>
  <c r="O183" i="213"/>
  <c r="P165" i="213"/>
  <c r="O165" i="213"/>
  <c r="P147" i="213"/>
  <c r="O147" i="213"/>
  <c r="P129" i="213"/>
  <c r="O129" i="213"/>
  <c r="P111" i="213"/>
  <c r="O111" i="213"/>
  <c r="P93" i="213"/>
  <c r="O93" i="213"/>
  <c r="L27" i="198" s="1"/>
  <c r="P75" i="213"/>
  <c r="O75" i="213"/>
  <c r="P57" i="213"/>
  <c r="O57" i="213"/>
  <c r="P39" i="213"/>
  <c r="O39" i="213"/>
  <c r="P21" i="213"/>
  <c r="O21" i="213"/>
  <c r="R68" i="208"/>
  <c r="R67" i="208"/>
  <c r="R66" i="208"/>
  <c r="R65" i="208"/>
  <c r="R64" i="208"/>
  <c r="R63" i="208"/>
  <c r="R62" i="208"/>
  <c r="R61" i="208"/>
  <c r="R60" i="208"/>
  <c r="R59" i="208"/>
  <c r="R58" i="208"/>
  <c r="R57" i="208"/>
  <c r="R56" i="208"/>
  <c r="R55" i="208"/>
  <c r="R54" i="208"/>
  <c r="R53" i="208"/>
  <c r="R52" i="208"/>
  <c r="R51" i="208"/>
  <c r="R50" i="208"/>
  <c r="R49" i="208"/>
  <c r="R48" i="208"/>
  <c r="R47" i="208"/>
  <c r="R46" i="208"/>
  <c r="R45" i="208"/>
  <c r="R44" i="208"/>
  <c r="R43" i="208"/>
  <c r="R42" i="208"/>
  <c r="R68" i="209"/>
  <c r="R67" i="209"/>
  <c r="R66" i="209"/>
  <c r="R65" i="209"/>
  <c r="R64" i="209"/>
  <c r="R63" i="209"/>
  <c r="R62" i="209"/>
  <c r="R61" i="209"/>
  <c r="R60" i="209"/>
  <c r="R59" i="209"/>
  <c r="R58" i="209"/>
  <c r="R57" i="209"/>
  <c r="R56" i="209"/>
  <c r="R55" i="209"/>
  <c r="R54" i="209"/>
  <c r="R53" i="209"/>
  <c r="R52" i="209"/>
  <c r="R51" i="209"/>
  <c r="R50" i="209"/>
  <c r="R49" i="209"/>
  <c r="R48" i="209"/>
  <c r="R47" i="209"/>
  <c r="R46" i="209"/>
  <c r="R45" i="209"/>
  <c r="R44" i="209"/>
  <c r="R43" i="209"/>
  <c r="R42" i="209"/>
  <c r="O201" i="211"/>
  <c r="N201" i="211"/>
  <c r="O183" i="211"/>
  <c r="N183" i="211"/>
  <c r="O165" i="211"/>
  <c r="N165" i="211"/>
  <c r="O147" i="211"/>
  <c r="N147" i="211"/>
  <c r="O129" i="211"/>
  <c r="N129" i="211"/>
  <c r="O111" i="211"/>
  <c r="N111" i="211"/>
  <c r="O93" i="211"/>
  <c r="N93" i="211"/>
  <c r="L63" i="159" s="1"/>
  <c r="O75" i="211"/>
  <c r="N75" i="211"/>
  <c r="O57" i="211"/>
  <c r="N57" i="211"/>
  <c r="L63" i="157" s="1"/>
  <c r="O39" i="211"/>
  <c r="N39" i="211"/>
  <c r="L27" i="156" s="1"/>
  <c r="O21" i="211"/>
  <c r="N21" i="211"/>
  <c r="G63" i="203"/>
  <c r="G45" i="203"/>
  <c r="G63" i="226"/>
  <c r="G45" i="226"/>
  <c r="G63" i="202"/>
  <c r="G45" i="202"/>
  <c r="G63" i="225"/>
  <c r="G45" i="225"/>
  <c r="G63" i="200"/>
  <c r="G45" i="200"/>
  <c r="G63" i="199"/>
  <c r="G45" i="199"/>
  <c r="G63" i="198"/>
  <c r="G45" i="198"/>
  <c r="G63" i="197"/>
  <c r="G45" i="197"/>
  <c r="G63" i="196"/>
  <c r="G45" i="196"/>
  <c r="G63" i="195"/>
  <c r="G45" i="195"/>
  <c r="G63" i="194"/>
  <c r="G45" i="194"/>
  <c r="G63" i="192"/>
  <c r="G45" i="192"/>
  <c r="G63" i="224"/>
  <c r="G45" i="224"/>
  <c r="G63" i="191"/>
  <c r="G45" i="191"/>
  <c r="G63" i="190"/>
  <c r="G45" i="190"/>
  <c r="G63" i="189"/>
  <c r="G45" i="189"/>
  <c r="G63" i="188"/>
  <c r="G45" i="188"/>
  <c r="G63" i="187"/>
  <c r="G45" i="187"/>
  <c r="G63" i="186"/>
  <c r="G45" i="186"/>
  <c r="G63" i="185"/>
  <c r="G45" i="185"/>
  <c r="G81" i="171"/>
  <c r="G63" i="171"/>
  <c r="G45" i="171"/>
  <c r="G81" i="220"/>
  <c r="G63" i="220"/>
  <c r="G45" i="220"/>
  <c r="G81" i="170"/>
  <c r="G63" i="170"/>
  <c r="G45" i="170"/>
  <c r="G81" i="219"/>
  <c r="G63" i="219"/>
  <c r="G45" i="219"/>
  <c r="G81" i="169"/>
  <c r="G63" i="169"/>
  <c r="G45" i="169"/>
  <c r="G81" i="168"/>
  <c r="G63" i="168"/>
  <c r="G45" i="168"/>
  <c r="G81" i="167"/>
  <c r="G63" i="167"/>
  <c r="G45" i="167"/>
  <c r="G81" i="166"/>
  <c r="G63" i="166"/>
  <c r="G45" i="166"/>
  <c r="G81" i="165"/>
  <c r="G63" i="165"/>
  <c r="G45" i="165"/>
  <c r="G81" i="164"/>
  <c r="G63" i="164"/>
  <c r="G45" i="164"/>
  <c r="G81" i="163"/>
  <c r="G63" i="163"/>
  <c r="G45" i="163"/>
  <c r="G81" i="162"/>
  <c r="G63" i="162"/>
  <c r="G45" i="162"/>
  <c r="G81" i="218"/>
  <c r="G63" i="218"/>
  <c r="G45" i="218"/>
  <c r="G81" i="161"/>
  <c r="G63" i="161"/>
  <c r="G45" i="161"/>
  <c r="G81" i="160"/>
  <c r="G63" i="160"/>
  <c r="G45" i="160"/>
  <c r="G81" i="159"/>
  <c r="G63" i="159"/>
  <c r="G45" i="159"/>
  <c r="G81" i="158"/>
  <c r="G63" i="158"/>
  <c r="G45" i="158"/>
  <c r="G81" i="157"/>
  <c r="G63" i="157"/>
  <c r="G45" i="157"/>
  <c r="G81" i="156"/>
  <c r="G63" i="156"/>
  <c r="G45" i="156"/>
  <c r="G81" i="155"/>
  <c r="G63" i="155"/>
  <c r="G45" i="155"/>
  <c r="E7" i="215"/>
  <c r="D7" i="215"/>
  <c r="E6" i="215"/>
  <c r="D6" i="215"/>
  <c r="L27" i="136"/>
  <c r="G27" i="136"/>
  <c r="L27" i="135"/>
  <c r="G27" i="135"/>
  <c r="L27" i="134"/>
  <c r="P200" i="213"/>
  <c r="O200" i="213"/>
  <c r="P182" i="213"/>
  <c r="O182" i="213"/>
  <c r="P164" i="213"/>
  <c r="O164" i="213"/>
  <c r="P146" i="213"/>
  <c r="O146" i="213"/>
  <c r="P128" i="213"/>
  <c r="O128" i="213"/>
  <c r="P110" i="213"/>
  <c r="O110" i="213"/>
  <c r="P92" i="213"/>
  <c r="O92" i="213"/>
  <c r="P74" i="213"/>
  <c r="O74" i="213"/>
  <c r="P56" i="213"/>
  <c r="L62" i="175" s="1"/>
  <c r="O56" i="213"/>
  <c r="P38" i="213"/>
  <c r="O38" i="213"/>
  <c r="P20" i="213"/>
  <c r="O20" i="213"/>
  <c r="Q68" i="208"/>
  <c r="Q67" i="208"/>
  <c r="Q66" i="208"/>
  <c r="Q65" i="208"/>
  <c r="Q64" i="208"/>
  <c r="Q63" i="208"/>
  <c r="Q62" i="208"/>
  <c r="Q61" i="208"/>
  <c r="Q60" i="208"/>
  <c r="Q59" i="208"/>
  <c r="Q58" i="208"/>
  <c r="Q57" i="208"/>
  <c r="Q56" i="208"/>
  <c r="Q55" i="208"/>
  <c r="Q54" i="208"/>
  <c r="Q53" i="208"/>
  <c r="Q52" i="208"/>
  <c r="Q51" i="208"/>
  <c r="Q50" i="208"/>
  <c r="Q49" i="208"/>
  <c r="Q48" i="208"/>
  <c r="Q47" i="208"/>
  <c r="Q46" i="208"/>
  <c r="Q45" i="208"/>
  <c r="Q44" i="208"/>
  <c r="Q43" i="208"/>
  <c r="Q42" i="208"/>
  <c r="Q68" i="209"/>
  <c r="Q67" i="209"/>
  <c r="Q66" i="209"/>
  <c r="Q65" i="209"/>
  <c r="Q64" i="209"/>
  <c r="Q63" i="209"/>
  <c r="Q62" i="209"/>
  <c r="Q61" i="209"/>
  <c r="Q60" i="209"/>
  <c r="Q59" i="209"/>
  <c r="Q58" i="209"/>
  <c r="Q57" i="209"/>
  <c r="Q56" i="209"/>
  <c r="Q55" i="209"/>
  <c r="Q54" i="209"/>
  <c r="Q53" i="209"/>
  <c r="Q52" i="209"/>
  <c r="Q51" i="209"/>
  <c r="Q50" i="209"/>
  <c r="Q49" i="209"/>
  <c r="Q48" i="209"/>
  <c r="Q47" i="209"/>
  <c r="Q46" i="209"/>
  <c r="Q45" i="209"/>
  <c r="Q44" i="209"/>
  <c r="Q43" i="209"/>
  <c r="Q42" i="209"/>
  <c r="O200" i="211"/>
  <c r="N200" i="211"/>
  <c r="O182" i="211"/>
  <c r="N182" i="211"/>
  <c r="O164" i="211"/>
  <c r="N164" i="211"/>
  <c r="O146" i="211"/>
  <c r="N146" i="211"/>
  <c r="O128" i="211"/>
  <c r="N128" i="211"/>
  <c r="O110" i="211"/>
  <c r="N110" i="211"/>
  <c r="O92" i="211"/>
  <c r="N92" i="211"/>
  <c r="O74" i="211"/>
  <c r="N74" i="211"/>
  <c r="O56" i="211"/>
  <c r="N56" i="211"/>
  <c r="O38" i="211"/>
  <c r="N38" i="211"/>
  <c r="O20" i="211"/>
  <c r="N20" i="211"/>
  <c r="G62" i="203"/>
  <c r="G44" i="203"/>
  <c r="G62" i="226"/>
  <c r="G44" i="226"/>
  <c r="G62" i="202"/>
  <c r="G44" i="202"/>
  <c r="G62" i="225"/>
  <c r="G44" i="225"/>
  <c r="G62" i="200"/>
  <c r="G44" i="200"/>
  <c r="G62" i="199"/>
  <c r="G44" i="199"/>
  <c r="G62" i="198"/>
  <c r="G44" i="198"/>
  <c r="G62" i="197"/>
  <c r="G44" i="197"/>
  <c r="G62" i="196"/>
  <c r="G44" i="196"/>
  <c r="G62" i="195"/>
  <c r="G44" i="195"/>
  <c r="G62" i="194"/>
  <c r="G44" i="194"/>
  <c r="G62" i="192"/>
  <c r="G44" i="192"/>
  <c r="G62" i="224"/>
  <c r="G44" i="224"/>
  <c r="G62" i="191"/>
  <c r="G44" i="191"/>
  <c r="G62" i="190"/>
  <c r="G44" i="190"/>
  <c r="G62" i="189"/>
  <c r="G44" i="189"/>
  <c r="G62" i="188"/>
  <c r="G44" i="188"/>
  <c r="G62" i="187"/>
  <c r="G44" i="187"/>
  <c r="G62" i="186"/>
  <c r="G44" i="186"/>
  <c r="G62" i="185"/>
  <c r="G44" i="185"/>
  <c r="G80" i="171"/>
  <c r="G62" i="171"/>
  <c r="G44" i="171"/>
  <c r="G80" i="220"/>
  <c r="G62" i="220"/>
  <c r="G44" i="220"/>
  <c r="G80" i="170"/>
  <c r="G62" i="170"/>
  <c r="G44" i="170"/>
  <c r="G80" i="219"/>
  <c r="G62" i="219"/>
  <c r="G44" i="219"/>
  <c r="G80" i="169"/>
  <c r="G62" i="169"/>
  <c r="G44" i="169"/>
  <c r="G80" i="168"/>
  <c r="G62" i="168"/>
  <c r="G44" i="168"/>
  <c r="G80" i="167"/>
  <c r="G62" i="167"/>
  <c r="G44" i="167"/>
  <c r="G80" i="166"/>
  <c r="G62" i="166"/>
  <c r="G44" i="166"/>
  <c r="G80" i="165"/>
  <c r="G62" i="165"/>
  <c r="G44" i="165"/>
  <c r="G80" i="164"/>
  <c r="G62" i="164"/>
  <c r="G44" i="164"/>
  <c r="G80" i="163"/>
  <c r="G62" i="163"/>
  <c r="G44" i="163"/>
  <c r="G80" i="162"/>
  <c r="G62" i="162"/>
  <c r="G44" i="162"/>
  <c r="G80" i="218"/>
  <c r="G62" i="218"/>
  <c r="G44" i="218"/>
  <c r="G80" i="161"/>
  <c r="G62" i="161"/>
  <c r="G44" i="161"/>
  <c r="G80" i="160"/>
  <c r="L80" i="160" s="1"/>
  <c r="G62" i="160"/>
  <c r="G44" i="160"/>
  <c r="G80" i="159"/>
  <c r="G62" i="159"/>
  <c r="G44" i="159"/>
  <c r="G80" i="158"/>
  <c r="G62" i="158"/>
  <c r="G44" i="158"/>
  <c r="G80" i="157"/>
  <c r="G62" i="157"/>
  <c r="G44" i="157"/>
  <c r="G80" i="156"/>
  <c r="G62" i="156"/>
  <c r="G44" i="156"/>
  <c r="G80" i="155"/>
  <c r="G62" i="155"/>
  <c r="G44" i="155"/>
  <c r="L26" i="136"/>
  <c r="G26" i="136"/>
  <c r="L26" i="135"/>
  <c r="G26" i="135"/>
  <c r="L26" i="134"/>
  <c r="P198" i="213"/>
  <c r="O198" i="213"/>
  <c r="P180" i="213"/>
  <c r="O180" i="213"/>
  <c r="P162" i="213"/>
  <c r="O162" i="213"/>
  <c r="P144" i="213"/>
  <c r="O144" i="213"/>
  <c r="P126" i="213"/>
  <c r="O126" i="213"/>
  <c r="P108" i="213"/>
  <c r="O108" i="213"/>
  <c r="P90" i="213"/>
  <c r="O90" i="213"/>
  <c r="P72" i="213"/>
  <c r="O72" i="213"/>
  <c r="P54" i="213"/>
  <c r="O54" i="213"/>
  <c r="P36" i="213"/>
  <c r="O36" i="213"/>
  <c r="L24" i="195" s="1"/>
  <c r="P18" i="213"/>
  <c r="O18" i="213"/>
  <c r="O68" i="208"/>
  <c r="O67" i="208"/>
  <c r="O66" i="208"/>
  <c r="O65" i="208"/>
  <c r="O64" i="208"/>
  <c r="O63" i="208"/>
  <c r="O62" i="208"/>
  <c r="O61" i="208"/>
  <c r="O60" i="208"/>
  <c r="O59" i="208"/>
  <c r="O58" i="208"/>
  <c r="O57" i="208"/>
  <c r="O56" i="208"/>
  <c r="O55" i="208"/>
  <c r="O54" i="208"/>
  <c r="O53" i="208"/>
  <c r="O52" i="208"/>
  <c r="O51" i="208"/>
  <c r="O50" i="208"/>
  <c r="O49" i="208"/>
  <c r="O48" i="208"/>
  <c r="O47" i="208"/>
  <c r="O46" i="208"/>
  <c r="O45" i="208"/>
  <c r="O44" i="208"/>
  <c r="O43" i="208"/>
  <c r="O42" i="208"/>
  <c r="O68" i="209"/>
  <c r="O67" i="209"/>
  <c r="O66" i="209"/>
  <c r="O65" i="209"/>
  <c r="O64" i="209"/>
  <c r="O63" i="209"/>
  <c r="O62" i="209"/>
  <c r="O61" i="209"/>
  <c r="O60" i="209"/>
  <c r="O59" i="209"/>
  <c r="O58" i="209"/>
  <c r="O57" i="209"/>
  <c r="O56" i="209"/>
  <c r="O55" i="209"/>
  <c r="O54" i="209"/>
  <c r="O53" i="209"/>
  <c r="O52" i="209"/>
  <c r="O51" i="209"/>
  <c r="O50" i="209"/>
  <c r="O49" i="209"/>
  <c r="O48" i="209"/>
  <c r="O47" i="209"/>
  <c r="O46" i="209"/>
  <c r="O45" i="209"/>
  <c r="O44" i="209"/>
  <c r="O43" i="209"/>
  <c r="O42" i="209"/>
  <c r="O198" i="211"/>
  <c r="N198" i="211"/>
  <c r="O180" i="211"/>
  <c r="N180" i="211"/>
  <c r="O162" i="211"/>
  <c r="N162" i="211"/>
  <c r="O144" i="211"/>
  <c r="N144" i="211"/>
  <c r="O126" i="211"/>
  <c r="N126" i="211"/>
  <c r="L78" i="161" s="1"/>
  <c r="O108" i="211"/>
  <c r="N108" i="211"/>
  <c r="O90" i="211"/>
  <c r="N90" i="211"/>
  <c r="L78" i="159" s="1"/>
  <c r="O72" i="211"/>
  <c r="N72" i="211"/>
  <c r="O54" i="211"/>
  <c r="N54" i="211"/>
  <c r="L78" i="157" s="1"/>
  <c r="O36" i="211"/>
  <c r="N36" i="211"/>
  <c r="L78" i="156" s="1"/>
  <c r="O18" i="211"/>
  <c r="N18" i="211"/>
  <c r="G60" i="203"/>
  <c r="G42" i="203"/>
  <c r="G60" i="226"/>
  <c r="G42" i="226"/>
  <c r="G60" i="202"/>
  <c r="G42" i="202"/>
  <c r="G60" i="225"/>
  <c r="G42" i="225"/>
  <c r="G60" i="200"/>
  <c r="G42" i="200"/>
  <c r="G60" i="199"/>
  <c r="G42" i="199"/>
  <c r="G60" i="198"/>
  <c r="G42" i="198"/>
  <c r="G60" i="197"/>
  <c r="G42" i="197"/>
  <c r="G60" i="196"/>
  <c r="G42" i="196"/>
  <c r="G60" i="195"/>
  <c r="G42" i="195"/>
  <c r="G60" i="194"/>
  <c r="G42" i="194"/>
  <c r="G60" i="192"/>
  <c r="G42" i="192"/>
  <c r="G60" i="224"/>
  <c r="G42" i="224"/>
  <c r="G60" i="191"/>
  <c r="G42" i="191"/>
  <c r="G60" i="190"/>
  <c r="G42" i="190"/>
  <c r="G60" i="189"/>
  <c r="G42" i="189"/>
  <c r="G60" i="188"/>
  <c r="G42" i="188"/>
  <c r="G60" i="187"/>
  <c r="G42" i="187"/>
  <c r="G60" i="186"/>
  <c r="G42" i="186"/>
  <c r="G60" i="185"/>
  <c r="G42" i="185"/>
  <c r="G78" i="171"/>
  <c r="G60" i="171"/>
  <c r="G42" i="171"/>
  <c r="G78" i="220"/>
  <c r="G60" i="220"/>
  <c r="G42" i="220"/>
  <c r="G78" i="170"/>
  <c r="G60" i="170"/>
  <c r="G42" i="170"/>
  <c r="G78" i="219"/>
  <c r="G60" i="219"/>
  <c r="G42" i="219"/>
  <c r="G78" i="169"/>
  <c r="G60" i="169"/>
  <c r="G42" i="169"/>
  <c r="G78" i="168"/>
  <c r="G60" i="168"/>
  <c r="G42" i="168"/>
  <c r="G78" i="167"/>
  <c r="G60" i="167"/>
  <c r="G42" i="167"/>
  <c r="G78" i="166"/>
  <c r="G60" i="166"/>
  <c r="G42" i="166"/>
  <c r="G78" i="165"/>
  <c r="G60" i="165"/>
  <c r="G42" i="165"/>
  <c r="G78" i="164"/>
  <c r="G60" i="164"/>
  <c r="G42" i="164"/>
  <c r="G78" i="163"/>
  <c r="G60" i="163"/>
  <c r="G42" i="163"/>
  <c r="G78" i="162"/>
  <c r="G60" i="162"/>
  <c r="G42" i="162"/>
  <c r="G78" i="218"/>
  <c r="G60" i="218"/>
  <c r="G42" i="218"/>
  <c r="G78" i="161"/>
  <c r="G60" i="161"/>
  <c r="G42" i="161"/>
  <c r="G78" i="160"/>
  <c r="G60" i="160"/>
  <c r="G42" i="160"/>
  <c r="G78" i="159"/>
  <c r="G60" i="159"/>
  <c r="G42" i="159"/>
  <c r="G78" i="158"/>
  <c r="G60" i="158"/>
  <c r="G42" i="158"/>
  <c r="G78" i="157"/>
  <c r="G60" i="157"/>
  <c r="G42" i="157"/>
  <c r="G78" i="156"/>
  <c r="G60" i="156"/>
  <c r="G42" i="156"/>
  <c r="G78" i="155"/>
  <c r="G60" i="155"/>
  <c r="G42" i="155"/>
  <c r="L24" i="136"/>
  <c r="G24" i="136"/>
  <c r="L24" i="135"/>
  <c r="G24" i="135"/>
  <c r="L24" i="134"/>
  <c r="P197" i="213"/>
  <c r="O197" i="213"/>
  <c r="P179" i="213"/>
  <c r="O179" i="213"/>
  <c r="P161" i="213"/>
  <c r="O161" i="213"/>
  <c r="P143" i="213"/>
  <c r="O143" i="213"/>
  <c r="P125" i="213"/>
  <c r="O125" i="213"/>
  <c r="P107" i="213"/>
  <c r="O107" i="213"/>
  <c r="P89" i="213"/>
  <c r="O89" i="213"/>
  <c r="P71" i="213"/>
  <c r="O71" i="213"/>
  <c r="P53" i="213"/>
  <c r="O53" i="213"/>
  <c r="P35" i="213"/>
  <c r="O35" i="213"/>
  <c r="P17" i="213"/>
  <c r="O17" i="213"/>
  <c r="N68" i="208"/>
  <c r="N67" i="208"/>
  <c r="N66" i="208"/>
  <c r="N65" i="208"/>
  <c r="N64" i="208"/>
  <c r="N63" i="208"/>
  <c r="N62" i="208"/>
  <c r="N61" i="208"/>
  <c r="N60" i="208"/>
  <c r="N59" i="208"/>
  <c r="N58" i="208"/>
  <c r="N57" i="208"/>
  <c r="N56" i="208"/>
  <c r="N55" i="208"/>
  <c r="N54" i="208"/>
  <c r="N53" i="208"/>
  <c r="N52" i="208"/>
  <c r="N51" i="208"/>
  <c r="N50" i="208"/>
  <c r="N49" i="208"/>
  <c r="N48" i="208"/>
  <c r="N47" i="208"/>
  <c r="N46" i="208"/>
  <c r="N45" i="208"/>
  <c r="N44" i="208"/>
  <c r="N43" i="208"/>
  <c r="N42" i="208"/>
  <c r="N68" i="209"/>
  <c r="N67" i="209"/>
  <c r="N66" i="209"/>
  <c r="N65" i="209"/>
  <c r="N64" i="209"/>
  <c r="N63" i="209"/>
  <c r="N62" i="209"/>
  <c r="N61" i="209"/>
  <c r="N60" i="209"/>
  <c r="N59" i="209"/>
  <c r="N58" i="209"/>
  <c r="N57" i="209"/>
  <c r="N56" i="209"/>
  <c r="N55" i="209"/>
  <c r="N54" i="209"/>
  <c r="N53" i="209"/>
  <c r="N52" i="209"/>
  <c r="N51" i="209"/>
  <c r="N50" i="209"/>
  <c r="N49" i="209"/>
  <c r="N48" i="209"/>
  <c r="N47" i="209"/>
  <c r="N46" i="209"/>
  <c r="N45" i="209"/>
  <c r="N44" i="209"/>
  <c r="N43" i="209"/>
  <c r="N42" i="209"/>
  <c r="O197" i="211"/>
  <c r="N197" i="211"/>
  <c r="O179" i="211"/>
  <c r="N179" i="211"/>
  <c r="O161" i="211"/>
  <c r="N161" i="211"/>
  <c r="O143" i="211"/>
  <c r="N143" i="211"/>
  <c r="O125" i="211"/>
  <c r="N125" i="211"/>
  <c r="O107" i="211"/>
  <c r="N107" i="211"/>
  <c r="O89" i="211"/>
  <c r="N89" i="211"/>
  <c r="O71" i="211"/>
  <c r="N71" i="211"/>
  <c r="O53" i="211"/>
  <c r="N53" i="211"/>
  <c r="O35" i="211"/>
  <c r="N35" i="211"/>
  <c r="O17" i="211"/>
  <c r="N17" i="211"/>
  <c r="G59" i="203"/>
  <c r="L59" i="203" s="1"/>
  <c r="G41" i="203"/>
  <c r="G59" i="226"/>
  <c r="G41" i="226"/>
  <c r="G59" i="202"/>
  <c r="G41" i="202"/>
  <c r="G59" i="225"/>
  <c r="G41" i="225"/>
  <c r="G59" i="200"/>
  <c r="G41" i="200"/>
  <c r="G59" i="199"/>
  <c r="G41" i="199"/>
  <c r="G59" i="198"/>
  <c r="G41" i="198"/>
  <c r="G59" i="197"/>
  <c r="G41" i="197"/>
  <c r="G59" i="196"/>
  <c r="G41" i="196"/>
  <c r="G59" i="195"/>
  <c r="G41" i="195"/>
  <c r="G59" i="194"/>
  <c r="G41" i="194"/>
  <c r="G59" i="192"/>
  <c r="G41" i="192"/>
  <c r="G59" i="224"/>
  <c r="G41" i="224"/>
  <c r="G59" i="191"/>
  <c r="G41" i="191"/>
  <c r="G59" i="190"/>
  <c r="G41" i="190"/>
  <c r="G59" i="189"/>
  <c r="G41" i="189"/>
  <c r="G59" i="188"/>
  <c r="G41" i="188"/>
  <c r="G59" i="187"/>
  <c r="G41" i="187"/>
  <c r="G59" i="186"/>
  <c r="G41" i="186"/>
  <c r="G59" i="185"/>
  <c r="G41" i="185"/>
  <c r="G77" i="171"/>
  <c r="G59" i="171"/>
  <c r="G41" i="171"/>
  <c r="G77" i="220"/>
  <c r="G59" i="220"/>
  <c r="G41" i="220"/>
  <c r="G77" i="170"/>
  <c r="G59" i="170"/>
  <c r="G41" i="170"/>
  <c r="G77" i="219"/>
  <c r="G59" i="219"/>
  <c r="G41" i="219"/>
  <c r="G77" i="169"/>
  <c r="G59" i="169"/>
  <c r="G41" i="169"/>
  <c r="G77" i="168"/>
  <c r="G59" i="168"/>
  <c r="G41" i="168"/>
  <c r="G77" i="167"/>
  <c r="G59" i="167"/>
  <c r="G41" i="167"/>
  <c r="G77" i="166"/>
  <c r="G59" i="166"/>
  <c r="G41" i="166"/>
  <c r="G77" i="165"/>
  <c r="G59" i="165"/>
  <c r="G41" i="165"/>
  <c r="G77" i="164"/>
  <c r="G59" i="164"/>
  <c r="G41" i="164"/>
  <c r="G77" i="163"/>
  <c r="G59" i="163"/>
  <c r="G41" i="163"/>
  <c r="G77" i="162"/>
  <c r="G59" i="162"/>
  <c r="G41" i="162"/>
  <c r="G77" i="218"/>
  <c r="G59" i="218"/>
  <c r="G41" i="218"/>
  <c r="G77" i="161"/>
  <c r="G59" i="161"/>
  <c r="L59" i="161" s="1"/>
  <c r="G41" i="161"/>
  <c r="G77" i="160"/>
  <c r="G59" i="160"/>
  <c r="G41" i="160"/>
  <c r="L41" i="160" s="1"/>
  <c r="G77" i="159"/>
  <c r="G59" i="159"/>
  <c r="G41" i="159"/>
  <c r="G77" i="158"/>
  <c r="G59" i="158"/>
  <c r="G41" i="158"/>
  <c r="G77" i="157"/>
  <c r="G59" i="157"/>
  <c r="G41" i="157"/>
  <c r="G77" i="156"/>
  <c r="G59" i="156"/>
  <c r="G41" i="156"/>
  <c r="G77" i="155"/>
  <c r="G59" i="155"/>
  <c r="G41" i="155"/>
  <c r="L23" i="136"/>
  <c r="G23" i="136"/>
  <c r="L23" i="135"/>
  <c r="G23" i="135"/>
  <c r="L23" i="134"/>
  <c r="P196" i="213"/>
  <c r="O196" i="213"/>
  <c r="P178" i="213"/>
  <c r="O178" i="213"/>
  <c r="P160" i="213"/>
  <c r="O160" i="213"/>
  <c r="P142" i="213"/>
  <c r="O142" i="213"/>
  <c r="P124" i="213"/>
  <c r="O124" i="213"/>
  <c r="P106" i="213"/>
  <c r="O106" i="213"/>
  <c r="P88" i="213"/>
  <c r="O88" i="213"/>
  <c r="P70" i="213"/>
  <c r="O70" i="213"/>
  <c r="P52" i="213"/>
  <c r="O52" i="213"/>
  <c r="P34" i="213"/>
  <c r="O34" i="213"/>
  <c r="L22" i="195" s="1"/>
  <c r="P16" i="213"/>
  <c r="O16" i="213"/>
  <c r="M68" i="208"/>
  <c r="M67" i="208"/>
  <c r="M66" i="208"/>
  <c r="M65" i="208"/>
  <c r="M64" i="208"/>
  <c r="M63" i="208"/>
  <c r="M62" i="208"/>
  <c r="M61" i="208"/>
  <c r="M60" i="208"/>
  <c r="M59" i="208"/>
  <c r="M58" i="208"/>
  <c r="M57" i="208"/>
  <c r="M56" i="208"/>
  <c r="M55" i="208"/>
  <c r="M54" i="208"/>
  <c r="M53" i="208"/>
  <c r="M52" i="208"/>
  <c r="M51" i="208"/>
  <c r="M50" i="208"/>
  <c r="M49" i="208"/>
  <c r="M48" i="208"/>
  <c r="M47" i="208"/>
  <c r="M46" i="208"/>
  <c r="M45" i="208"/>
  <c r="M44" i="208"/>
  <c r="M43" i="208"/>
  <c r="M42" i="208"/>
  <c r="M68" i="209"/>
  <c r="M67" i="209"/>
  <c r="M66" i="209"/>
  <c r="M65" i="209"/>
  <c r="M64" i="209"/>
  <c r="M63" i="209"/>
  <c r="M62" i="209"/>
  <c r="M61" i="209"/>
  <c r="M60" i="209"/>
  <c r="M59" i="209"/>
  <c r="M58" i="209"/>
  <c r="M57" i="209"/>
  <c r="M56" i="209"/>
  <c r="M55" i="209"/>
  <c r="M54" i="209"/>
  <c r="M53" i="209"/>
  <c r="M52" i="209"/>
  <c r="M51" i="209"/>
  <c r="M50" i="209"/>
  <c r="M49" i="209"/>
  <c r="M48" i="209"/>
  <c r="M47" i="209"/>
  <c r="M46" i="209"/>
  <c r="M45" i="209"/>
  <c r="M44" i="209"/>
  <c r="M43" i="209"/>
  <c r="M42" i="209"/>
  <c r="O196" i="211"/>
  <c r="N196" i="211"/>
  <c r="O178" i="211"/>
  <c r="N178" i="211"/>
  <c r="O160" i="211"/>
  <c r="N160" i="211"/>
  <c r="O142" i="211"/>
  <c r="N142" i="211"/>
  <c r="O124" i="211"/>
  <c r="N124" i="211"/>
  <c r="L76" i="218" s="1"/>
  <c r="O106" i="211"/>
  <c r="N106" i="211"/>
  <c r="O88" i="211"/>
  <c r="N88" i="211"/>
  <c r="L76" i="159" s="1"/>
  <c r="O70" i="211"/>
  <c r="N70" i="211"/>
  <c r="O52" i="211"/>
  <c r="N52" i="211"/>
  <c r="L76" i="157" s="1"/>
  <c r="O34" i="211"/>
  <c r="N34" i="211"/>
  <c r="L76" i="156" s="1"/>
  <c r="O16" i="211"/>
  <c r="N16" i="211"/>
  <c r="G58" i="203"/>
  <c r="G40" i="203"/>
  <c r="G58" i="226"/>
  <c r="G40" i="226"/>
  <c r="G58" i="202"/>
  <c r="G40" i="202"/>
  <c r="G58" i="225"/>
  <c r="G40" i="225"/>
  <c r="G58" i="200"/>
  <c r="G40" i="200"/>
  <c r="G58" i="199"/>
  <c r="G40" i="199"/>
  <c r="G58" i="198"/>
  <c r="G40" i="198"/>
  <c r="G58" i="197"/>
  <c r="G40" i="197"/>
  <c r="G58" i="196"/>
  <c r="G40" i="196"/>
  <c r="G58" i="195"/>
  <c r="G40" i="195"/>
  <c r="G58" i="194"/>
  <c r="G40" i="194"/>
  <c r="G58" i="192"/>
  <c r="G40" i="192"/>
  <c r="G58" i="224"/>
  <c r="G40" i="224"/>
  <c r="G58" i="191"/>
  <c r="G40" i="191"/>
  <c r="G58" i="190"/>
  <c r="G40" i="190"/>
  <c r="G58" i="189"/>
  <c r="G40" i="189"/>
  <c r="G58" i="188"/>
  <c r="G40" i="188"/>
  <c r="G58" i="187"/>
  <c r="G40" i="187"/>
  <c r="G58" i="186"/>
  <c r="G40" i="186"/>
  <c r="G58" i="185"/>
  <c r="G40" i="185"/>
  <c r="G76" i="171"/>
  <c r="G58" i="171"/>
  <c r="G40" i="171"/>
  <c r="G76" i="220"/>
  <c r="G58" i="220"/>
  <c r="G40" i="220"/>
  <c r="G76" i="170"/>
  <c r="G58" i="170"/>
  <c r="G40" i="170"/>
  <c r="G76" i="219"/>
  <c r="G58" i="219"/>
  <c r="G40" i="219"/>
  <c r="G76" i="169"/>
  <c r="G58" i="169"/>
  <c r="G40" i="169"/>
  <c r="G76" i="168"/>
  <c r="L76" i="168" s="1"/>
  <c r="G58" i="168"/>
  <c r="G40" i="168"/>
  <c r="G76" i="167"/>
  <c r="G58" i="167"/>
  <c r="G40" i="167"/>
  <c r="G76" i="166"/>
  <c r="G58" i="166"/>
  <c r="G40" i="166"/>
  <c r="G76" i="165"/>
  <c r="G58" i="165"/>
  <c r="G40" i="165"/>
  <c r="G76" i="164"/>
  <c r="G58" i="164"/>
  <c r="G40" i="164"/>
  <c r="G76" i="163"/>
  <c r="G58" i="163"/>
  <c r="L58" i="163" s="1"/>
  <c r="G40" i="163"/>
  <c r="G76" i="162"/>
  <c r="G58" i="162"/>
  <c r="G40" i="162"/>
  <c r="G76" i="218"/>
  <c r="G58" i="218"/>
  <c r="G40" i="218"/>
  <c r="G76" i="161"/>
  <c r="G58" i="161"/>
  <c r="G40" i="161"/>
  <c r="G76" i="160"/>
  <c r="G58" i="160"/>
  <c r="G40" i="160"/>
  <c r="G76" i="159"/>
  <c r="G58" i="159"/>
  <c r="G40" i="159"/>
  <c r="G76" i="158"/>
  <c r="G58" i="158"/>
  <c r="G40" i="158"/>
  <c r="G76" i="157"/>
  <c r="G58" i="157"/>
  <c r="G40" i="157"/>
  <c r="G76" i="156"/>
  <c r="G58" i="156"/>
  <c r="G40" i="156"/>
  <c r="G76" i="155"/>
  <c r="G58" i="155"/>
  <c r="G40" i="155"/>
  <c r="L22" i="136"/>
  <c r="G22" i="136"/>
  <c r="L22" i="135"/>
  <c r="G22" i="135"/>
  <c r="L22" i="134"/>
  <c r="P195" i="213"/>
  <c r="O195" i="213"/>
  <c r="P177" i="213"/>
  <c r="O177" i="213"/>
  <c r="P159" i="213"/>
  <c r="O159" i="213"/>
  <c r="P141" i="213"/>
  <c r="O141" i="213"/>
  <c r="P123" i="213"/>
  <c r="O123" i="213"/>
  <c r="P105" i="213"/>
  <c r="O105" i="213"/>
  <c r="P87" i="213"/>
  <c r="O87" i="213"/>
  <c r="P69" i="213"/>
  <c r="O69" i="213"/>
  <c r="P51" i="213"/>
  <c r="O51" i="213"/>
  <c r="P33" i="213"/>
  <c r="O33" i="213"/>
  <c r="P15" i="213"/>
  <c r="O15" i="213"/>
  <c r="L68" i="208"/>
  <c r="L67" i="208"/>
  <c r="L66" i="208"/>
  <c r="L65" i="208"/>
  <c r="L64" i="208"/>
  <c r="L63" i="208"/>
  <c r="L62" i="208"/>
  <c r="L61" i="208"/>
  <c r="L60" i="208"/>
  <c r="L59" i="208"/>
  <c r="L58" i="208"/>
  <c r="L57" i="208"/>
  <c r="L56" i="208"/>
  <c r="L55" i="208"/>
  <c r="L54" i="208"/>
  <c r="L53" i="208"/>
  <c r="L52" i="208"/>
  <c r="L51" i="208"/>
  <c r="L50" i="208"/>
  <c r="L49" i="208"/>
  <c r="L48" i="208"/>
  <c r="L47" i="208"/>
  <c r="L46" i="208"/>
  <c r="L45" i="208"/>
  <c r="L44" i="208"/>
  <c r="L43" i="208"/>
  <c r="L42" i="208"/>
  <c r="L68" i="209"/>
  <c r="L67" i="209"/>
  <c r="L66" i="209"/>
  <c r="L65" i="209"/>
  <c r="L64" i="209"/>
  <c r="L63" i="209"/>
  <c r="L62" i="209"/>
  <c r="L61" i="209"/>
  <c r="L60" i="209"/>
  <c r="L59" i="209"/>
  <c r="L58" i="209"/>
  <c r="L57" i="209"/>
  <c r="L56" i="209"/>
  <c r="L55" i="209"/>
  <c r="L54" i="209"/>
  <c r="L53" i="209"/>
  <c r="L52" i="209"/>
  <c r="L51" i="209"/>
  <c r="L50" i="209"/>
  <c r="L49" i="209"/>
  <c r="L48" i="209"/>
  <c r="L47" i="209"/>
  <c r="L46" i="209"/>
  <c r="L45" i="209"/>
  <c r="L44" i="209"/>
  <c r="L43" i="209"/>
  <c r="L42" i="209"/>
  <c r="O195" i="211"/>
  <c r="N195" i="211"/>
  <c r="O177" i="211"/>
  <c r="N177" i="211"/>
  <c r="O159" i="211"/>
  <c r="N159" i="211"/>
  <c r="O141" i="211"/>
  <c r="N141" i="211"/>
  <c r="O123" i="211"/>
  <c r="N123" i="211"/>
  <c r="O105" i="211"/>
  <c r="N105" i="211"/>
  <c r="O87" i="211"/>
  <c r="N87" i="211"/>
  <c r="O69" i="211"/>
  <c r="N69" i="211"/>
  <c r="O51" i="211"/>
  <c r="N51" i="211"/>
  <c r="O33" i="211"/>
  <c r="N33" i="211"/>
  <c r="O15" i="211"/>
  <c r="N15" i="211"/>
  <c r="G57" i="203"/>
  <c r="G39" i="203"/>
  <c r="G57" i="226"/>
  <c r="G39" i="226"/>
  <c r="G57" i="202"/>
  <c r="G39" i="202"/>
  <c r="G57" i="225"/>
  <c r="G39" i="225"/>
  <c r="G57" i="200"/>
  <c r="G39" i="200"/>
  <c r="G57" i="199"/>
  <c r="G39" i="199"/>
  <c r="G57" i="198"/>
  <c r="G39" i="198"/>
  <c r="G57" i="197"/>
  <c r="G39" i="197"/>
  <c r="G57" i="196"/>
  <c r="G39" i="196"/>
  <c r="G57" i="195"/>
  <c r="G39" i="195"/>
  <c r="G57" i="194"/>
  <c r="G39" i="194"/>
  <c r="G57" i="192"/>
  <c r="G39" i="192"/>
  <c r="G57" i="224"/>
  <c r="G39" i="224"/>
  <c r="G57" i="191"/>
  <c r="G39" i="191"/>
  <c r="G57" i="190"/>
  <c r="G39" i="190"/>
  <c r="G57" i="189"/>
  <c r="G39" i="189"/>
  <c r="G57" i="188"/>
  <c r="G39" i="188"/>
  <c r="G57" i="187"/>
  <c r="G39" i="187"/>
  <c r="G57" i="186"/>
  <c r="G39" i="186"/>
  <c r="G57" i="185"/>
  <c r="G39" i="185"/>
  <c r="G75" i="171"/>
  <c r="G57" i="171"/>
  <c r="G39" i="171"/>
  <c r="G75" i="220"/>
  <c r="G57" i="220"/>
  <c r="G39" i="220"/>
  <c r="G75" i="170"/>
  <c r="G57" i="170"/>
  <c r="G39" i="170"/>
  <c r="G75" i="219"/>
  <c r="G57" i="219"/>
  <c r="G39" i="219"/>
  <c r="G75" i="169"/>
  <c r="G57" i="169"/>
  <c r="G39" i="169"/>
  <c r="G75" i="168"/>
  <c r="G57" i="168"/>
  <c r="G39" i="168"/>
  <c r="G75" i="167"/>
  <c r="G57" i="167"/>
  <c r="G39" i="167"/>
  <c r="G75" i="166"/>
  <c r="G57" i="166"/>
  <c r="G39" i="166"/>
  <c r="G75" i="165"/>
  <c r="G57" i="165"/>
  <c r="G39" i="165"/>
  <c r="G75" i="164"/>
  <c r="G57" i="164"/>
  <c r="G39" i="164"/>
  <c r="G75" i="163"/>
  <c r="G57" i="163"/>
  <c r="G39" i="163"/>
  <c r="G75" i="162"/>
  <c r="G57" i="162"/>
  <c r="G39" i="162"/>
  <c r="G75" i="218"/>
  <c r="G57" i="218"/>
  <c r="G39" i="218"/>
  <c r="L39" i="218" s="1"/>
  <c r="G75" i="161"/>
  <c r="G57" i="161"/>
  <c r="G39" i="161"/>
  <c r="G75" i="160"/>
  <c r="G57" i="160"/>
  <c r="G39" i="160"/>
  <c r="G75" i="159"/>
  <c r="G57" i="159"/>
  <c r="G39" i="159"/>
  <c r="G75" i="158"/>
  <c r="G57" i="158"/>
  <c r="G39" i="158"/>
  <c r="L39" i="158" s="1"/>
  <c r="G75" i="157"/>
  <c r="G57" i="157"/>
  <c r="L57" i="157" s="1"/>
  <c r="G39" i="157"/>
  <c r="G75" i="156"/>
  <c r="G57" i="156"/>
  <c r="G39" i="156"/>
  <c r="G75" i="155"/>
  <c r="G57" i="155"/>
  <c r="G39" i="155"/>
  <c r="L21" i="136"/>
  <c r="G21" i="136"/>
  <c r="L21" i="135"/>
  <c r="G21" i="135"/>
  <c r="L21" i="134"/>
  <c r="P199" i="213"/>
  <c r="O199" i="213"/>
  <c r="P181" i="213"/>
  <c r="O181" i="213"/>
  <c r="P163" i="213"/>
  <c r="O163" i="213"/>
  <c r="P145" i="213"/>
  <c r="O145" i="213"/>
  <c r="P127" i="213"/>
  <c r="O127" i="213"/>
  <c r="P109" i="213"/>
  <c r="O109" i="213"/>
  <c r="P91" i="213"/>
  <c r="O91" i="213"/>
  <c r="L25" i="198" s="1"/>
  <c r="P73" i="213"/>
  <c r="O73" i="213"/>
  <c r="P55" i="213"/>
  <c r="O55" i="213"/>
  <c r="P37" i="213"/>
  <c r="O37" i="213"/>
  <c r="P19" i="213"/>
  <c r="O19" i="213"/>
  <c r="P68" i="208"/>
  <c r="P67" i="208"/>
  <c r="P66" i="208"/>
  <c r="P65" i="208"/>
  <c r="P64" i="208"/>
  <c r="P63" i="208"/>
  <c r="P62" i="208"/>
  <c r="P61" i="208"/>
  <c r="P60" i="208"/>
  <c r="P59" i="208"/>
  <c r="P58" i="208"/>
  <c r="P57" i="208"/>
  <c r="P56" i="208"/>
  <c r="P55" i="208"/>
  <c r="P54" i="208"/>
  <c r="P53" i="208"/>
  <c r="P52" i="208"/>
  <c r="P51" i="208"/>
  <c r="P50" i="208"/>
  <c r="P49" i="208"/>
  <c r="P48" i="208"/>
  <c r="P47" i="208"/>
  <c r="P46" i="208"/>
  <c r="P45" i="208"/>
  <c r="P44" i="208"/>
  <c r="P43" i="208"/>
  <c r="P42" i="208"/>
  <c r="P68" i="209"/>
  <c r="P67" i="209"/>
  <c r="P66" i="209"/>
  <c r="P65" i="209"/>
  <c r="P64" i="209"/>
  <c r="P63" i="209"/>
  <c r="P62" i="209"/>
  <c r="P61" i="209"/>
  <c r="P60" i="209"/>
  <c r="P59" i="209"/>
  <c r="P58" i="209"/>
  <c r="P57" i="209"/>
  <c r="P56" i="209"/>
  <c r="P55" i="209"/>
  <c r="P54" i="209"/>
  <c r="P53" i="209"/>
  <c r="P52" i="209"/>
  <c r="P51" i="209"/>
  <c r="P50" i="209"/>
  <c r="P49" i="209"/>
  <c r="P48" i="209"/>
  <c r="P47" i="209"/>
  <c r="P46" i="209"/>
  <c r="P45" i="209"/>
  <c r="P44" i="209"/>
  <c r="P43" i="209"/>
  <c r="P42" i="209"/>
  <c r="O199" i="211"/>
  <c r="N199" i="211"/>
  <c r="O181" i="211"/>
  <c r="N181" i="211"/>
  <c r="O163" i="211"/>
  <c r="N163" i="211"/>
  <c r="O145" i="211"/>
  <c r="N145" i="211"/>
  <c r="O127" i="211"/>
  <c r="N127" i="211"/>
  <c r="L79" i="218" s="1"/>
  <c r="O109" i="211"/>
  <c r="N109" i="211"/>
  <c r="O91" i="211"/>
  <c r="N91" i="211"/>
  <c r="L61" i="159" s="1"/>
  <c r="O73" i="211"/>
  <c r="N73" i="211"/>
  <c r="O55" i="211"/>
  <c r="N55" i="211"/>
  <c r="L61" i="157" s="1"/>
  <c r="O37" i="211"/>
  <c r="N37" i="211"/>
  <c r="L25" i="156" s="1"/>
  <c r="O19" i="211"/>
  <c r="N19" i="211"/>
  <c r="G61" i="203"/>
  <c r="G43" i="203"/>
  <c r="G61" i="226"/>
  <c r="G43" i="226"/>
  <c r="G61" i="202"/>
  <c r="G43" i="202"/>
  <c r="G61" i="225"/>
  <c r="G43" i="225"/>
  <c r="G61" i="200"/>
  <c r="G43" i="200"/>
  <c r="G61" i="199"/>
  <c r="G43" i="199"/>
  <c r="G61" i="198"/>
  <c r="G43" i="198"/>
  <c r="G61" i="197"/>
  <c r="G43" i="197"/>
  <c r="G61" i="196"/>
  <c r="G43" i="196"/>
  <c r="G61" i="195"/>
  <c r="G43" i="195"/>
  <c r="G61" i="194"/>
  <c r="G43" i="194"/>
  <c r="G61" i="192"/>
  <c r="G43" i="192"/>
  <c r="G61" i="224"/>
  <c r="G43" i="224"/>
  <c r="G61" i="191"/>
  <c r="G43" i="191"/>
  <c r="G61" i="190"/>
  <c r="G43" i="190"/>
  <c r="G61" i="189"/>
  <c r="G43" i="189"/>
  <c r="G61" i="188"/>
  <c r="G43" i="188"/>
  <c r="G61" i="187"/>
  <c r="G43" i="187"/>
  <c r="G61" i="186"/>
  <c r="G43" i="186"/>
  <c r="G61" i="185"/>
  <c r="G43" i="185"/>
  <c r="G79" i="171"/>
  <c r="G61" i="171"/>
  <c r="G43" i="171"/>
  <c r="G79" i="220"/>
  <c r="G61" i="220"/>
  <c r="G43" i="220"/>
  <c r="G79" i="170"/>
  <c r="G61" i="170"/>
  <c r="G43" i="170"/>
  <c r="G79" i="219"/>
  <c r="G61" i="219"/>
  <c r="G43" i="219"/>
  <c r="G79" i="169"/>
  <c r="G61" i="169"/>
  <c r="G43" i="169"/>
  <c r="G79" i="168"/>
  <c r="G61" i="168"/>
  <c r="G43" i="168"/>
  <c r="G79" i="167"/>
  <c r="G61" i="167"/>
  <c r="G43" i="167"/>
  <c r="G79" i="166"/>
  <c r="G61" i="166"/>
  <c r="G43" i="166"/>
  <c r="G79" i="165"/>
  <c r="G61" i="165"/>
  <c r="G43" i="165"/>
  <c r="G79" i="164"/>
  <c r="G61" i="164"/>
  <c r="G43" i="164"/>
  <c r="G79" i="163"/>
  <c r="G61" i="163"/>
  <c r="G43" i="163"/>
  <c r="G79" i="162"/>
  <c r="G61" i="162"/>
  <c r="G43" i="162"/>
  <c r="G79" i="218"/>
  <c r="G61" i="218"/>
  <c r="G43" i="218"/>
  <c r="G79" i="161"/>
  <c r="G61" i="161"/>
  <c r="G43" i="161"/>
  <c r="G79" i="160"/>
  <c r="G61" i="160"/>
  <c r="G43" i="160"/>
  <c r="G79" i="159"/>
  <c r="G61" i="159"/>
  <c r="G43" i="159"/>
  <c r="G79" i="158"/>
  <c r="G61" i="158"/>
  <c r="G43" i="158"/>
  <c r="G79" i="157"/>
  <c r="G61" i="157"/>
  <c r="G43" i="157"/>
  <c r="G79" i="156"/>
  <c r="G61" i="156"/>
  <c r="G43" i="156"/>
  <c r="G79" i="155"/>
  <c r="G61" i="155"/>
  <c r="G43" i="155"/>
  <c r="L25" i="136"/>
  <c r="G25" i="136"/>
  <c r="L25" i="135"/>
  <c r="G25" i="135"/>
  <c r="P194" i="213"/>
  <c r="O194" i="213"/>
  <c r="P176" i="213"/>
  <c r="O176" i="213"/>
  <c r="P158" i="213"/>
  <c r="O158" i="213"/>
  <c r="P140" i="213"/>
  <c r="O140" i="213"/>
  <c r="P122" i="213"/>
  <c r="O122" i="213"/>
  <c r="P104" i="213"/>
  <c r="O104" i="213"/>
  <c r="P86" i="213"/>
  <c r="O86" i="213"/>
  <c r="P68" i="213"/>
  <c r="O68" i="213"/>
  <c r="P50" i="213"/>
  <c r="O50" i="213"/>
  <c r="P32" i="213"/>
  <c r="O32" i="213"/>
  <c r="P14" i="213"/>
  <c r="O14" i="213"/>
  <c r="K68" i="208"/>
  <c r="K67" i="208"/>
  <c r="K66" i="208"/>
  <c r="K65" i="208"/>
  <c r="K64" i="208"/>
  <c r="K63" i="208"/>
  <c r="K62" i="208"/>
  <c r="K61" i="208"/>
  <c r="K60" i="208"/>
  <c r="K59" i="208"/>
  <c r="K58" i="208"/>
  <c r="K57" i="208"/>
  <c r="K56" i="208"/>
  <c r="K55" i="208"/>
  <c r="K54" i="208"/>
  <c r="K53" i="208"/>
  <c r="K52" i="208"/>
  <c r="K51" i="208"/>
  <c r="K50" i="208"/>
  <c r="K49" i="208"/>
  <c r="K48" i="208"/>
  <c r="K47" i="208"/>
  <c r="K46" i="208"/>
  <c r="K45" i="208"/>
  <c r="K44" i="208"/>
  <c r="K43" i="208"/>
  <c r="K42" i="208"/>
  <c r="K68" i="209"/>
  <c r="K67" i="209"/>
  <c r="K66" i="209"/>
  <c r="K65" i="209"/>
  <c r="K64" i="209"/>
  <c r="K63" i="209"/>
  <c r="K62" i="209"/>
  <c r="K61" i="209"/>
  <c r="K60" i="209"/>
  <c r="K59" i="209"/>
  <c r="K58" i="209"/>
  <c r="K57" i="209"/>
  <c r="K56" i="209"/>
  <c r="K55" i="209"/>
  <c r="K54" i="209"/>
  <c r="K53" i="209"/>
  <c r="K52" i="209"/>
  <c r="K51" i="209"/>
  <c r="K50" i="209"/>
  <c r="K49" i="209"/>
  <c r="K48" i="209"/>
  <c r="K47" i="209"/>
  <c r="K46" i="209"/>
  <c r="K45" i="209"/>
  <c r="K44" i="209"/>
  <c r="K43" i="209"/>
  <c r="K42" i="209"/>
  <c r="O194" i="211"/>
  <c r="N194" i="211"/>
  <c r="O176" i="211"/>
  <c r="N176" i="211"/>
  <c r="O158" i="211"/>
  <c r="N158" i="211"/>
  <c r="O140" i="211"/>
  <c r="N140" i="211"/>
  <c r="O122" i="211"/>
  <c r="N122" i="211"/>
  <c r="O104" i="211"/>
  <c r="N104" i="211"/>
  <c r="O86" i="211"/>
  <c r="N86" i="211"/>
  <c r="O68" i="211"/>
  <c r="N68" i="211"/>
  <c r="O50" i="211"/>
  <c r="N50" i="211"/>
  <c r="O32" i="211"/>
  <c r="N32" i="211"/>
  <c r="L74" i="156" s="1"/>
  <c r="O14" i="211"/>
  <c r="N14" i="211"/>
  <c r="G56" i="203"/>
  <c r="G38" i="203"/>
  <c r="G56" i="226"/>
  <c r="G38" i="226"/>
  <c r="G56" i="202"/>
  <c r="G38" i="202"/>
  <c r="G56" i="225"/>
  <c r="G38" i="225"/>
  <c r="G56" i="200"/>
  <c r="G38" i="200"/>
  <c r="G56" i="199"/>
  <c r="G38" i="199"/>
  <c r="G56" i="198"/>
  <c r="G38" i="198"/>
  <c r="G56" i="197"/>
  <c r="G38" i="197"/>
  <c r="G56" i="196"/>
  <c r="G38" i="196"/>
  <c r="G56" i="195"/>
  <c r="G38" i="195"/>
  <c r="G56" i="194"/>
  <c r="G38" i="194"/>
  <c r="G56" i="192"/>
  <c r="G38" i="192"/>
  <c r="G56" i="224"/>
  <c r="G38" i="224"/>
  <c r="G56" i="191"/>
  <c r="G38" i="191"/>
  <c r="G56" i="190"/>
  <c r="G38" i="190"/>
  <c r="G56" i="189"/>
  <c r="G38" i="189"/>
  <c r="G56" i="188"/>
  <c r="G38" i="188"/>
  <c r="G56" i="187"/>
  <c r="G38" i="187"/>
  <c r="G56" i="186"/>
  <c r="G38" i="186"/>
  <c r="G56" i="185"/>
  <c r="G38" i="185"/>
  <c r="G74" i="171"/>
  <c r="G56" i="171"/>
  <c r="G38" i="171"/>
  <c r="G74" i="220"/>
  <c r="G56" i="220"/>
  <c r="G38" i="220"/>
  <c r="G74" i="170"/>
  <c r="G56" i="170"/>
  <c r="G38" i="170"/>
  <c r="G74" i="219"/>
  <c r="G56" i="219"/>
  <c r="G38" i="219"/>
  <c r="G74" i="169"/>
  <c r="G56" i="169"/>
  <c r="G38" i="169"/>
  <c r="G74" i="168"/>
  <c r="G56" i="168"/>
  <c r="G38" i="168"/>
  <c r="G74" i="167"/>
  <c r="G56" i="167"/>
  <c r="G38" i="167"/>
  <c r="G74" i="166"/>
  <c r="G56" i="166"/>
  <c r="G38" i="166"/>
  <c r="G74" i="165"/>
  <c r="G56" i="165"/>
  <c r="G38" i="165"/>
  <c r="G74" i="164"/>
  <c r="G56" i="164"/>
  <c r="G38" i="164"/>
  <c r="G74" i="163"/>
  <c r="G56" i="163"/>
  <c r="G38" i="163"/>
  <c r="G74" i="162"/>
  <c r="G56" i="162"/>
  <c r="G38" i="162"/>
  <c r="G74" i="218"/>
  <c r="G56" i="218"/>
  <c r="G38" i="218"/>
  <c r="G74" i="161"/>
  <c r="G56" i="161"/>
  <c r="G38" i="161"/>
  <c r="G74" i="160"/>
  <c r="G56" i="160"/>
  <c r="G38" i="160"/>
  <c r="G74" i="159"/>
  <c r="G56" i="159"/>
  <c r="G38" i="159"/>
  <c r="G74" i="158"/>
  <c r="G56" i="158"/>
  <c r="G38" i="158"/>
  <c r="G74" i="157"/>
  <c r="G56" i="157"/>
  <c r="G38" i="157"/>
  <c r="G74" i="156"/>
  <c r="G56" i="156"/>
  <c r="G38" i="156"/>
  <c r="G74" i="155"/>
  <c r="G56" i="155"/>
  <c r="G38" i="155"/>
  <c r="L20" i="136"/>
  <c r="G20" i="136"/>
  <c r="L20" i="135"/>
  <c r="G20" i="135"/>
  <c r="P193" i="213"/>
  <c r="O193" i="213"/>
  <c r="P175" i="213"/>
  <c r="O175" i="213"/>
  <c r="P157" i="213"/>
  <c r="O157" i="213"/>
  <c r="P139" i="213"/>
  <c r="O139" i="213"/>
  <c r="P121" i="213"/>
  <c r="O121" i="213"/>
  <c r="L55" i="225" s="1"/>
  <c r="P103" i="213"/>
  <c r="O103" i="213"/>
  <c r="P85" i="213"/>
  <c r="O85" i="213"/>
  <c r="P67" i="213"/>
  <c r="O67" i="213"/>
  <c r="P49" i="213"/>
  <c r="O49" i="213"/>
  <c r="L55" i="196" s="1"/>
  <c r="P31" i="213"/>
  <c r="O31" i="213"/>
  <c r="L55" i="195" s="1"/>
  <c r="P13" i="213"/>
  <c r="O13" i="213"/>
  <c r="J68" i="208"/>
  <c r="J67" i="208"/>
  <c r="J66" i="208"/>
  <c r="J65" i="208"/>
  <c r="J64" i="208"/>
  <c r="J63" i="208"/>
  <c r="J62" i="208"/>
  <c r="J61" i="208"/>
  <c r="J60" i="208"/>
  <c r="J59" i="208"/>
  <c r="J58" i="208"/>
  <c r="J57" i="208"/>
  <c r="J56" i="208"/>
  <c r="J55" i="208"/>
  <c r="J54" i="208"/>
  <c r="J53" i="208"/>
  <c r="J52" i="208"/>
  <c r="J51" i="208"/>
  <c r="J50" i="208"/>
  <c r="J49" i="208"/>
  <c r="J48" i="208"/>
  <c r="J47" i="208"/>
  <c r="J46" i="208"/>
  <c r="J45" i="208"/>
  <c r="J44" i="208"/>
  <c r="J43" i="208"/>
  <c r="J42" i="208"/>
  <c r="J68" i="209"/>
  <c r="J67" i="209"/>
  <c r="J66" i="209"/>
  <c r="J65" i="209"/>
  <c r="J64" i="209"/>
  <c r="J63" i="209"/>
  <c r="J62" i="209"/>
  <c r="J61" i="209"/>
  <c r="J60" i="209"/>
  <c r="J59" i="209"/>
  <c r="J58" i="209"/>
  <c r="J57" i="209"/>
  <c r="J56" i="209"/>
  <c r="J55" i="209"/>
  <c r="J54" i="209"/>
  <c r="J53" i="209"/>
  <c r="J52" i="209"/>
  <c r="J51" i="209"/>
  <c r="J50" i="209"/>
  <c r="J49" i="209"/>
  <c r="J48" i="209"/>
  <c r="J47" i="209"/>
  <c r="J46" i="209"/>
  <c r="J45" i="209"/>
  <c r="J44" i="209"/>
  <c r="J43" i="209"/>
  <c r="J42" i="209"/>
  <c r="O193" i="211"/>
  <c r="N193" i="211"/>
  <c r="O175" i="211"/>
  <c r="N175" i="211"/>
  <c r="O157" i="211"/>
  <c r="N157" i="211"/>
  <c r="O139" i="211"/>
  <c r="N139" i="211"/>
  <c r="O121" i="211"/>
  <c r="N121" i="211"/>
  <c r="L73" i="218" s="1"/>
  <c r="O103" i="211"/>
  <c r="N103" i="211"/>
  <c r="O85" i="211"/>
  <c r="N85" i="211"/>
  <c r="L55" i="159" s="1"/>
  <c r="O67" i="211"/>
  <c r="N67" i="211"/>
  <c r="O49" i="211"/>
  <c r="N49" i="211"/>
  <c r="O31" i="211"/>
  <c r="N31" i="211"/>
  <c r="O13" i="211"/>
  <c r="N13" i="211"/>
  <c r="G55" i="203"/>
  <c r="G37" i="203"/>
  <c r="G55" i="226"/>
  <c r="G37" i="226"/>
  <c r="G55" i="202"/>
  <c r="G37" i="202"/>
  <c r="G55" i="225"/>
  <c r="G37" i="225"/>
  <c r="G55" i="200"/>
  <c r="G37" i="200"/>
  <c r="G55" i="199"/>
  <c r="G37" i="199"/>
  <c r="G55" i="198"/>
  <c r="G37" i="198"/>
  <c r="G55" i="197"/>
  <c r="G37" i="197"/>
  <c r="G55" i="196"/>
  <c r="G37" i="196"/>
  <c r="G55" i="195"/>
  <c r="G37" i="195"/>
  <c r="G55" i="194"/>
  <c r="G37" i="194"/>
  <c r="G55" i="192"/>
  <c r="G37" i="192"/>
  <c r="G55" i="224"/>
  <c r="G37" i="224"/>
  <c r="G55" i="191"/>
  <c r="G37" i="191"/>
  <c r="G55" i="190"/>
  <c r="G37" i="190"/>
  <c r="G55" i="189"/>
  <c r="G37" i="189"/>
  <c r="G55" i="188"/>
  <c r="G37" i="188"/>
  <c r="G55" i="187"/>
  <c r="G37" i="187"/>
  <c r="G55" i="186"/>
  <c r="G37" i="186"/>
  <c r="G55" i="185"/>
  <c r="G37" i="185"/>
  <c r="G73" i="171"/>
  <c r="G55" i="171"/>
  <c r="G37" i="171"/>
  <c r="G73" i="170"/>
  <c r="G55" i="170"/>
  <c r="G37" i="170"/>
  <c r="G73" i="219"/>
  <c r="G55" i="219"/>
  <c r="G37" i="219"/>
  <c r="G73" i="169"/>
  <c r="G55" i="169"/>
  <c r="G37" i="169"/>
  <c r="G73" i="168"/>
  <c r="G55" i="168"/>
  <c r="G37" i="168"/>
  <c r="G73" i="167"/>
  <c r="G55" i="167"/>
  <c r="G37" i="167"/>
  <c r="G73" i="166"/>
  <c r="G55" i="166"/>
  <c r="G37" i="166"/>
  <c r="G73" i="165"/>
  <c r="G55" i="165"/>
  <c r="G37" i="165"/>
  <c r="G73" i="164"/>
  <c r="G55" i="164"/>
  <c r="G37" i="164"/>
  <c r="G73" i="163"/>
  <c r="G55" i="163"/>
  <c r="G37" i="163"/>
  <c r="G73" i="162"/>
  <c r="G55" i="162"/>
  <c r="G37" i="162"/>
  <c r="G73" i="218"/>
  <c r="G55" i="218"/>
  <c r="G37" i="218"/>
  <c r="G73" i="161"/>
  <c r="G55" i="161"/>
  <c r="G37" i="161"/>
  <c r="G73" i="160"/>
  <c r="G55" i="160"/>
  <c r="G37" i="160"/>
  <c r="G73" i="159"/>
  <c r="G55" i="159"/>
  <c r="G37" i="159"/>
  <c r="G73" i="158"/>
  <c r="G55" i="158"/>
  <c r="G37" i="158"/>
  <c r="G73" i="157"/>
  <c r="G55" i="157"/>
  <c r="G37" i="157"/>
  <c r="G73" i="156"/>
  <c r="G55" i="156"/>
  <c r="G37" i="156"/>
  <c r="G73" i="155"/>
  <c r="G55" i="155"/>
  <c r="G37" i="155"/>
  <c r="L19" i="136"/>
  <c r="G19" i="136"/>
  <c r="L19" i="135"/>
  <c r="G19" i="135"/>
  <c r="L19" i="134"/>
  <c r="P191" i="213"/>
  <c r="O191" i="213"/>
  <c r="P173" i="213"/>
  <c r="O173" i="213"/>
  <c r="P155" i="213"/>
  <c r="O155" i="213"/>
  <c r="P137" i="213"/>
  <c r="O137" i="213"/>
  <c r="P119" i="213"/>
  <c r="O119" i="213"/>
  <c r="P101" i="213"/>
  <c r="O101" i="213"/>
  <c r="P83" i="213"/>
  <c r="O83" i="213"/>
  <c r="P65" i="213"/>
  <c r="O65" i="213"/>
  <c r="P47" i="213"/>
  <c r="O47" i="213"/>
  <c r="P29" i="213"/>
  <c r="O29" i="213"/>
  <c r="P11" i="213"/>
  <c r="O11" i="213"/>
  <c r="H68" i="208"/>
  <c r="H67" i="208"/>
  <c r="H66" i="208"/>
  <c r="H65" i="208"/>
  <c r="H64" i="208"/>
  <c r="H63" i="208"/>
  <c r="H62" i="208"/>
  <c r="H61" i="208"/>
  <c r="H60" i="208"/>
  <c r="H59" i="208"/>
  <c r="H58" i="208"/>
  <c r="H57" i="208"/>
  <c r="H56" i="208"/>
  <c r="H55" i="208"/>
  <c r="H54" i="208"/>
  <c r="H53" i="208"/>
  <c r="H52" i="208"/>
  <c r="H51" i="208"/>
  <c r="H50" i="208"/>
  <c r="H49" i="208"/>
  <c r="H48" i="208"/>
  <c r="H47" i="208"/>
  <c r="H46" i="208"/>
  <c r="H45" i="208"/>
  <c r="H44" i="208"/>
  <c r="H43" i="208"/>
  <c r="H42" i="208"/>
  <c r="H68" i="209"/>
  <c r="H67" i="209"/>
  <c r="H66" i="209"/>
  <c r="H65" i="209"/>
  <c r="H64" i="209"/>
  <c r="H63" i="209"/>
  <c r="H62" i="209"/>
  <c r="H61" i="209"/>
  <c r="H60" i="209"/>
  <c r="H59" i="209"/>
  <c r="H58" i="209"/>
  <c r="H57" i="209"/>
  <c r="H56" i="209"/>
  <c r="H55" i="209"/>
  <c r="H54" i="209"/>
  <c r="H53" i="209"/>
  <c r="H52" i="209"/>
  <c r="H51" i="209"/>
  <c r="H50" i="209"/>
  <c r="H49" i="209"/>
  <c r="H48" i="209"/>
  <c r="H47" i="209"/>
  <c r="H46" i="209"/>
  <c r="H45" i="209"/>
  <c r="H44" i="209"/>
  <c r="H43" i="209"/>
  <c r="H42" i="209"/>
  <c r="O191" i="211"/>
  <c r="N191" i="211"/>
  <c r="O173" i="211"/>
  <c r="N173" i="211"/>
  <c r="O155" i="211"/>
  <c r="N155" i="211"/>
  <c r="O137" i="211"/>
  <c r="N137" i="211"/>
  <c r="O119" i="211"/>
  <c r="N119" i="211"/>
  <c r="O101" i="211"/>
  <c r="N101" i="211"/>
  <c r="O83" i="211"/>
  <c r="N83" i="211"/>
  <c r="L71" i="159" s="1"/>
  <c r="O65" i="211"/>
  <c r="N65" i="211"/>
  <c r="L17" i="158" s="1"/>
  <c r="O47" i="211"/>
  <c r="N47" i="211"/>
  <c r="L71" i="157" s="1"/>
  <c r="O29" i="211"/>
  <c r="N29" i="211"/>
  <c r="O11" i="211"/>
  <c r="N11" i="211"/>
  <c r="G53" i="203"/>
  <c r="G35" i="203"/>
  <c r="G53" i="226"/>
  <c r="G35" i="226"/>
  <c r="G53" i="202"/>
  <c r="G35" i="202"/>
  <c r="G53" i="225"/>
  <c r="G35" i="225"/>
  <c r="G53" i="200"/>
  <c r="G35" i="200"/>
  <c r="G53" i="199"/>
  <c r="G35" i="199"/>
  <c r="G53" i="198"/>
  <c r="G35" i="198"/>
  <c r="G53" i="197"/>
  <c r="G35" i="197"/>
  <c r="G53" i="196"/>
  <c r="G35" i="196"/>
  <c r="G53" i="195"/>
  <c r="G35" i="195"/>
  <c r="L35" i="195" s="1"/>
  <c r="G53" i="194"/>
  <c r="G35" i="194"/>
  <c r="G53" i="192"/>
  <c r="G35" i="192"/>
  <c r="G53" i="224"/>
  <c r="G35" i="224"/>
  <c r="G53" i="191"/>
  <c r="G35" i="191"/>
  <c r="G53" i="190"/>
  <c r="G35" i="190"/>
  <c r="G53" i="189"/>
  <c r="G35" i="189"/>
  <c r="G53" i="188"/>
  <c r="G35" i="188"/>
  <c r="G53" i="187"/>
  <c r="G35" i="187"/>
  <c r="G53" i="186"/>
  <c r="G35" i="186"/>
  <c r="G53" i="185"/>
  <c r="G35" i="185"/>
  <c r="G71" i="171"/>
  <c r="G53" i="171"/>
  <c r="G35" i="171"/>
  <c r="G71" i="220"/>
  <c r="L71" i="220" s="1"/>
  <c r="G53" i="220"/>
  <c r="G35" i="220"/>
  <c r="L35" i="220" s="1"/>
  <c r="G71" i="170"/>
  <c r="G53" i="170"/>
  <c r="G35" i="170"/>
  <c r="G71" i="219"/>
  <c r="G53" i="219"/>
  <c r="G35" i="219"/>
  <c r="G71" i="169"/>
  <c r="G53" i="169"/>
  <c r="G35" i="169"/>
  <c r="G71" i="168"/>
  <c r="G53" i="168"/>
  <c r="G35" i="168"/>
  <c r="G71" i="167"/>
  <c r="G53" i="167"/>
  <c r="G35" i="167"/>
  <c r="G71" i="166"/>
  <c r="G53" i="166"/>
  <c r="G35" i="166"/>
  <c r="G71" i="165"/>
  <c r="G53" i="165"/>
  <c r="G35" i="165"/>
  <c r="G71" i="164"/>
  <c r="G53" i="164"/>
  <c r="G35" i="164"/>
  <c r="G71" i="163"/>
  <c r="G53" i="163"/>
  <c r="G35" i="163"/>
  <c r="G71" i="162"/>
  <c r="G53" i="162"/>
  <c r="G35" i="162"/>
  <c r="G71" i="218"/>
  <c r="G53" i="218"/>
  <c r="G35" i="218"/>
  <c r="G71" i="161"/>
  <c r="G53" i="161"/>
  <c r="G35" i="161"/>
  <c r="L35" i="161" s="1"/>
  <c r="G71" i="160"/>
  <c r="G53" i="160"/>
  <c r="G35" i="160"/>
  <c r="G71" i="159"/>
  <c r="G53" i="159"/>
  <c r="G35" i="159"/>
  <c r="G71" i="158"/>
  <c r="G53" i="158"/>
  <c r="G35" i="158"/>
  <c r="G71" i="157"/>
  <c r="G53" i="157"/>
  <c r="G35" i="157"/>
  <c r="G71" i="156"/>
  <c r="G53" i="156"/>
  <c r="G35" i="156"/>
  <c r="G71" i="155"/>
  <c r="G53" i="155"/>
  <c r="G35" i="155"/>
  <c r="L17" i="136"/>
  <c r="G17" i="136"/>
  <c r="L17" i="135"/>
  <c r="G17" i="135"/>
  <c r="L17" i="134"/>
  <c r="P192" i="213"/>
  <c r="O192" i="213"/>
  <c r="P174" i="213"/>
  <c r="O174" i="213"/>
  <c r="P156" i="213"/>
  <c r="O156" i="213"/>
  <c r="P138" i="213"/>
  <c r="O138" i="213"/>
  <c r="P120" i="213"/>
  <c r="O120" i="213"/>
  <c r="P102" i="213"/>
  <c r="O102" i="213"/>
  <c r="P84" i="213"/>
  <c r="O84" i="213"/>
  <c r="P66" i="213"/>
  <c r="O66" i="213"/>
  <c r="P48" i="213"/>
  <c r="O48" i="213"/>
  <c r="P30" i="213"/>
  <c r="O30" i="213"/>
  <c r="P12" i="213"/>
  <c r="O12" i="213"/>
  <c r="I68" i="208"/>
  <c r="I67" i="208"/>
  <c r="I66" i="208"/>
  <c r="I65" i="208"/>
  <c r="I64" i="208"/>
  <c r="I63" i="208"/>
  <c r="I62" i="208"/>
  <c r="I61" i="208"/>
  <c r="I60" i="208"/>
  <c r="I59" i="208"/>
  <c r="I58" i="208"/>
  <c r="I57" i="208"/>
  <c r="I56" i="208"/>
  <c r="I55" i="208"/>
  <c r="I54" i="208"/>
  <c r="I53" i="208"/>
  <c r="I52" i="208"/>
  <c r="I51" i="208"/>
  <c r="I50" i="208"/>
  <c r="I49" i="208"/>
  <c r="I48" i="208"/>
  <c r="I47" i="208"/>
  <c r="I46" i="208"/>
  <c r="I45" i="208"/>
  <c r="I44" i="208"/>
  <c r="I43" i="208"/>
  <c r="I42" i="208"/>
  <c r="I68" i="209"/>
  <c r="I67" i="209"/>
  <c r="I66" i="209"/>
  <c r="I65" i="209"/>
  <c r="I64" i="209"/>
  <c r="I63" i="209"/>
  <c r="I62" i="209"/>
  <c r="I61" i="209"/>
  <c r="I60" i="209"/>
  <c r="I59" i="209"/>
  <c r="I58" i="209"/>
  <c r="I57" i="209"/>
  <c r="I56" i="209"/>
  <c r="I55" i="209"/>
  <c r="I54" i="209"/>
  <c r="I53" i="209"/>
  <c r="I52" i="209"/>
  <c r="I51" i="209"/>
  <c r="I50" i="209"/>
  <c r="I49" i="209"/>
  <c r="I48" i="209"/>
  <c r="I47" i="209"/>
  <c r="I46" i="209"/>
  <c r="I45" i="209"/>
  <c r="I44" i="209"/>
  <c r="I43" i="209"/>
  <c r="I42" i="209"/>
  <c r="O192" i="211"/>
  <c r="L54" i="170" s="1"/>
  <c r="N192" i="211"/>
  <c r="O174" i="211"/>
  <c r="N174" i="211"/>
  <c r="O156" i="211"/>
  <c r="L36" i="170" s="1"/>
  <c r="N156" i="211"/>
  <c r="O138" i="211"/>
  <c r="L18" i="170" s="1"/>
  <c r="N138" i="211"/>
  <c r="O120" i="211"/>
  <c r="N120" i="211"/>
  <c r="O102" i="211"/>
  <c r="L18" i="168" s="1"/>
  <c r="N102" i="211"/>
  <c r="O84" i="211"/>
  <c r="N84" i="211"/>
  <c r="O66" i="211"/>
  <c r="N66" i="211"/>
  <c r="O48" i="211"/>
  <c r="N48" i="211"/>
  <c r="O30" i="211"/>
  <c r="N30" i="211"/>
  <c r="O12" i="211"/>
  <c r="N12" i="211"/>
  <c r="G54" i="203"/>
  <c r="G36" i="203"/>
  <c r="G54" i="226"/>
  <c r="G36" i="226"/>
  <c r="G54" i="202"/>
  <c r="G36" i="202"/>
  <c r="G54" i="225"/>
  <c r="G36" i="225"/>
  <c r="G54" i="200"/>
  <c r="G36" i="200"/>
  <c r="G54" i="199"/>
  <c r="G36" i="199"/>
  <c r="G54" i="198"/>
  <c r="G36" i="198"/>
  <c r="G54" i="197"/>
  <c r="G36" i="197"/>
  <c r="G54" i="196"/>
  <c r="G36" i="196"/>
  <c r="G54" i="195"/>
  <c r="G36" i="195"/>
  <c r="G54" i="194"/>
  <c r="G36" i="194"/>
  <c r="G54" i="192"/>
  <c r="G36" i="192"/>
  <c r="G54" i="224"/>
  <c r="G36" i="224"/>
  <c r="G54" i="191"/>
  <c r="G36" i="191"/>
  <c r="G54" i="190"/>
  <c r="G36" i="190"/>
  <c r="G54" i="189"/>
  <c r="G36" i="189"/>
  <c r="G54" i="188"/>
  <c r="G36" i="188"/>
  <c r="G54" i="187"/>
  <c r="G36" i="187"/>
  <c r="G54" i="186"/>
  <c r="G36" i="186"/>
  <c r="G54" i="185"/>
  <c r="G36" i="185"/>
  <c r="G72" i="171"/>
  <c r="G54" i="171"/>
  <c r="G36" i="171"/>
  <c r="G72" i="220"/>
  <c r="G54" i="220"/>
  <c r="G36" i="220"/>
  <c r="G72" i="170"/>
  <c r="G54" i="170"/>
  <c r="G36" i="170"/>
  <c r="G72" i="219"/>
  <c r="G54" i="219"/>
  <c r="G36" i="219"/>
  <c r="G72" i="169"/>
  <c r="G54" i="169"/>
  <c r="G36" i="169"/>
  <c r="G72" i="168"/>
  <c r="G54" i="168"/>
  <c r="G36" i="168"/>
  <c r="G72" i="167"/>
  <c r="G54" i="167"/>
  <c r="G36" i="167"/>
  <c r="G72" i="166"/>
  <c r="G54" i="166"/>
  <c r="G36" i="166"/>
  <c r="G72" i="165"/>
  <c r="G54" i="165"/>
  <c r="G36" i="165"/>
  <c r="G72" i="164"/>
  <c r="G54" i="164"/>
  <c r="G36" i="164"/>
  <c r="G72" i="163"/>
  <c r="G54" i="163"/>
  <c r="G36" i="163"/>
  <c r="G72" i="162"/>
  <c r="G54" i="162"/>
  <c r="G36" i="162"/>
  <c r="G72" i="218"/>
  <c r="G54" i="218"/>
  <c r="G36" i="218"/>
  <c r="G72" i="161"/>
  <c r="G54" i="161"/>
  <c r="G36" i="161"/>
  <c r="G72" i="160"/>
  <c r="G54" i="160"/>
  <c r="G36" i="160"/>
  <c r="G72" i="159"/>
  <c r="G54" i="159"/>
  <c r="G36" i="159"/>
  <c r="G72" i="158"/>
  <c r="G54" i="158"/>
  <c r="G36" i="158"/>
  <c r="G72" i="157"/>
  <c r="G54" i="157"/>
  <c r="G36" i="157"/>
  <c r="G72" i="156"/>
  <c r="G54" i="156"/>
  <c r="G36" i="156"/>
  <c r="G72" i="155"/>
  <c r="G54" i="155"/>
  <c r="G36" i="155"/>
  <c r="L18" i="136"/>
  <c r="G18" i="136"/>
  <c r="L18" i="135"/>
  <c r="G18" i="135"/>
  <c r="P189" i="213"/>
  <c r="O189" i="213"/>
  <c r="P171" i="213"/>
  <c r="O171" i="213"/>
  <c r="P153" i="213"/>
  <c r="O153" i="213"/>
  <c r="P135" i="213"/>
  <c r="O135" i="213"/>
  <c r="P117" i="213"/>
  <c r="O117" i="213"/>
  <c r="P99" i="213"/>
  <c r="O99" i="213"/>
  <c r="P81" i="213"/>
  <c r="O81" i="213"/>
  <c r="P63" i="213"/>
  <c r="O63" i="213"/>
  <c r="P45" i="213"/>
  <c r="O45" i="213"/>
  <c r="L33" i="196" s="1"/>
  <c r="P27" i="213"/>
  <c r="O27" i="213"/>
  <c r="P9" i="213"/>
  <c r="O9" i="213"/>
  <c r="F68" i="208"/>
  <c r="F67" i="208"/>
  <c r="F66" i="208"/>
  <c r="F65" i="208"/>
  <c r="F64" i="208"/>
  <c r="F63" i="208"/>
  <c r="F62" i="208"/>
  <c r="F61" i="208"/>
  <c r="F60" i="208"/>
  <c r="F59" i="208"/>
  <c r="F58" i="208"/>
  <c r="F57" i="208"/>
  <c r="F56" i="208"/>
  <c r="F55" i="208"/>
  <c r="F54" i="208"/>
  <c r="F53" i="208"/>
  <c r="F52" i="208"/>
  <c r="F51" i="208"/>
  <c r="F50" i="208"/>
  <c r="F49" i="208"/>
  <c r="F48" i="208"/>
  <c r="F47" i="208"/>
  <c r="F46" i="208"/>
  <c r="F45" i="208"/>
  <c r="F44" i="208"/>
  <c r="F43" i="208"/>
  <c r="F42" i="208"/>
  <c r="F68" i="209"/>
  <c r="F67" i="209"/>
  <c r="F66" i="209"/>
  <c r="F65" i="209"/>
  <c r="F64" i="209"/>
  <c r="F63" i="209"/>
  <c r="F62" i="209"/>
  <c r="F61" i="209"/>
  <c r="F60" i="209"/>
  <c r="F59" i="209"/>
  <c r="F58" i="209"/>
  <c r="F57" i="209"/>
  <c r="F56" i="209"/>
  <c r="F55" i="209"/>
  <c r="F54" i="209"/>
  <c r="F53" i="209"/>
  <c r="F52" i="209"/>
  <c r="F51" i="209"/>
  <c r="F50" i="209"/>
  <c r="F49" i="209"/>
  <c r="F48" i="209"/>
  <c r="F47" i="209"/>
  <c r="F46" i="209"/>
  <c r="F45" i="209"/>
  <c r="F44" i="209"/>
  <c r="F43" i="209"/>
  <c r="F42" i="209"/>
  <c r="O189" i="211"/>
  <c r="N189" i="211"/>
  <c r="O171" i="211"/>
  <c r="N171" i="211"/>
  <c r="O153" i="211"/>
  <c r="N153" i="211"/>
  <c r="O135" i="211"/>
  <c r="N135" i="211"/>
  <c r="O117" i="211"/>
  <c r="L33" i="219" s="1"/>
  <c r="N117" i="211"/>
  <c r="O99" i="211"/>
  <c r="N99" i="211"/>
  <c r="O81" i="211"/>
  <c r="L69" i="167" s="1"/>
  <c r="N81" i="211"/>
  <c r="O63" i="211"/>
  <c r="N63" i="211"/>
  <c r="O45" i="211"/>
  <c r="L51" i="165" s="1"/>
  <c r="N45" i="211"/>
  <c r="O27" i="211"/>
  <c r="N27" i="211"/>
  <c r="O9" i="211"/>
  <c r="N9" i="211"/>
  <c r="G51" i="203"/>
  <c r="G33" i="203"/>
  <c r="G51" i="226"/>
  <c r="G33" i="226"/>
  <c r="G51" i="202"/>
  <c r="G33" i="202"/>
  <c r="G51" i="225"/>
  <c r="G33" i="225"/>
  <c r="G51" i="200"/>
  <c r="G33" i="200"/>
  <c r="G51" i="199"/>
  <c r="G33" i="199"/>
  <c r="G51" i="198"/>
  <c r="G33" i="198"/>
  <c r="G51" i="197"/>
  <c r="G33" i="197"/>
  <c r="G51" i="196"/>
  <c r="G33" i="196"/>
  <c r="G51" i="195"/>
  <c r="G33" i="195"/>
  <c r="G51" i="194"/>
  <c r="G33" i="194"/>
  <c r="G51" i="192"/>
  <c r="G33" i="192"/>
  <c r="G51" i="224"/>
  <c r="G33" i="224"/>
  <c r="G51" i="191"/>
  <c r="G33" i="191"/>
  <c r="G51" i="190"/>
  <c r="G33" i="190"/>
  <c r="G51" i="189"/>
  <c r="G33" i="189"/>
  <c r="G51" i="188"/>
  <c r="G33" i="188"/>
  <c r="G51" i="187"/>
  <c r="G33" i="187"/>
  <c r="G51" i="186"/>
  <c r="G33" i="186"/>
  <c r="G51" i="185"/>
  <c r="G33" i="185"/>
  <c r="G69" i="171"/>
  <c r="G51" i="171"/>
  <c r="G33" i="171"/>
  <c r="G69" i="220"/>
  <c r="G51" i="220"/>
  <c r="G33" i="220"/>
  <c r="G69" i="170"/>
  <c r="G51" i="170"/>
  <c r="G33" i="170"/>
  <c r="G69" i="219"/>
  <c r="G51" i="219"/>
  <c r="G33" i="219"/>
  <c r="G69" i="169"/>
  <c r="G51" i="169"/>
  <c r="G33" i="169"/>
  <c r="G69" i="168"/>
  <c r="G51" i="168"/>
  <c r="G33" i="168"/>
  <c r="G69" i="167"/>
  <c r="G51" i="167"/>
  <c r="G33" i="167"/>
  <c r="G69" i="166"/>
  <c r="G51" i="166"/>
  <c r="G33" i="166"/>
  <c r="G69" i="165"/>
  <c r="G51" i="165"/>
  <c r="G33" i="165"/>
  <c r="G69" i="164"/>
  <c r="G51" i="164"/>
  <c r="G33" i="164"/>
  <c r="G69" i="163"/>
  <c r="G51" i="163"/>
  <c r="G33" i="163"/>
  <c r="G69" i="162"/>
  <c r="G51" i="162"/>
  <c r="G33" i="162"/>
  <c r="G69" i="218"/>
  <c r="G51" i="218"/>
  <c r="G33" i="218"/>
  <c r="G69" i="161"/>
  <c r="G51" i="161"/>
  <c r="G33" i="161"/>
  <c r="G69" i="160"/>
  <c r="G51" i="160"/>
  <c r="G33" i="160"/>
  <c r="G69" i="159"/>
  <c r="G51" i="159"/>
  <c r="G33" i="159"/>
  <c r="G69" i="158"/>
  <c r="G51" i="158"/>
  <c r="G33" i="158"/>
  <c r="G69" i="157"/>
  <c r="G51" i="157"/>
  <c r="G33" i="157"/>
  <c r="G69" i="156"/>
  <c r="G51" i="156"/>
  <c r="G33" i="156"/>
  <c r="G69" i="155"/>
  <c r="G51" i="155"/>
  <c r="L51" i="155" s="1"/>
  <c r="G33" i="155"/>
  <c r="L15" i="136"/>
  <c r="G15" i="136"/>
  <c r="L15" i="135"/>
  <c r="G15" i="135"/>
  <c r="L15" i="134"/>
  <c r="P190" i="213"/>
  <c r="O190" i="213"/>
  <c r="P172" i="213"/>
  <c r="O172" i="213"/>
  <c r="P154" i="213"/>
  <c r="O154" i="213"/>
  <c r="P136" i="213"/>
  <c r="O136" i="213"/>
  <c r="P118" i="213"/>
  <c r="O118" i="213"/>
  <c r="P100" i="213"/>
  <c r="O100" i="213"/>
  <c r="P82" i="213"/>
  <c r="O82" i="213"/>
  <c r="P64" i="213"/>
  <c r="O64" i="213"/>
  <c r="P46" i="213"/>
  <c r="O46" i="213"/>
  <c r="P28" i="213"/>
  <c r="O28" i="213"/>
  <c r="P10" i="213"/>
  <c r="O10" i="213"/>
  <c r="G68" i="208"/>
  <c r="G67" i="208"/>
  <c r="G66" i="208"/>
  <c r="G65" i="208"/>
  <c r="G64" i="208"/>
  <c r="G63" i="208"/>
  <c r="G62" i="208"/>
  <c r="G61" i="208"/>
  <c r="G60" i="208"/>
  <c r="G59" i="208"/>
  <c r="G58" i="208"/>
  <c r="G57" i="208"/>
  <c r="G56" i="208"/>
  <c r="G55" i="208"/>
  <c r="G54" i="208"/>
  <c r="G53" i="208"/>
  <c r="G52" i="208"/>
  <c r="G51" i="208"/>
  <c r="G50" i="208"/>
  <c r="G49" i="208"/>
  <c r="G48" i="208"/>
  <c r="G47" i="208"/>
  <c r="G46" i="208"/>
  <c r="G45" i="208"/>
  <c r="G44" i="208"/>
  <c r="G43" i="208"/>
  <c r="G42" i="208"/>
  <c r="G68" i="209"/>
  <c r="G67" i="209"/>
  <c r="G66" i="209"/>
  <c r="G65" i="209"/>
  <c r="G64" i="209"/>
  <c r="G63" i="209"/>
  <c r="G62" i="209"/>
  <c r="G61" i="209"/>
  <c r="G60" i="209"/>
  <c r="G59" i="209"/>
  <c r="G58" i="209"/>
  <c r="G57" i="209"/>
  <c r="G56" i="209"/>
  <c r="G55" i="209"/>
  <c r="G54" i="209"/>
  <c r="G53" i="209"/>
  <c r="G52" i="209"/>
  <c r="G51" i="209"/>
  <c r="G50" i="209"/>
  <c r="G49" i="209"/>
  <c r="G48" i="209"/>
  <c r="G47" i="209"/>
  <c r="G46" i="209"/>
  <c r="G45" i="209"/>
  <c r="G44" i="209"/>
  <c r="G43" i="209"/>
  <c r="G42" i="209"/>
  <c r="O190" i="211"/>
  <c r="N190" i="211"/>
  <c r="O172" i="211"/>
  <c r="N172" i="211"/>
  <c r="O154" i="211"/>
  <c r="N154" i="211"/>
  <c r="O136" i="211"/>
  <c r="N136" i="211"/>
  <c r="O118" i="211"/>
  <c r="N118" i="211"/>
  <c r="L70" i="218" s="1"/>
  <c r="O100" i="211"/>
  <c r="N100" i="211"/>
  <c r="O82" i="211"/>
  <c r="N82" i="211"/>
  <c r="L34" i="159" s="1"/>
  <c r="O64" i="211"/>
  <c r="N64" i="211"/>
  <c r="O46" i="211"/>
  <c r="N46" i="211"/>
  <c r="O28" i="211"/>
  <c r="N28" i="211"/>
  <c r="O10" i="211"/>
  <c r="N10" i="211"/>
  <c r="G52" i="203"/>
  <c r="G34" i="203"/>
  <c r="G52" i="226"/>
  <c r="G34" i="226"/>
  <c r="G52" i="202"/>
  <c r="G34" i="202"/>
  <c r="G52" i="225"/>
  <c r="G34" i="225"/>
  <c r="G52" i="200"/>
  <c r="G34" i="200"/>
  <c r="G52" i="199"/>
  <c r="G34" i="199"/>
  <c r="G52" i="198"/>
  <c r="G34" i="198"/>
  <c r="G52" i="197"/>
  <c r="G34" i="197"/>
  <c r="G52" i="196"/>
  <c r="G34" i="196"/>
  <c r="G52" i="195"/>
  <c r="G34" i="195"/>
  <c r="G52" i="194"/>
  <c r="G34" i="194"/>
  <c r="G52" i="192"/>
  <c r="G34" i="192"/>
  <c r="G52" i="224"/>
  <c r="G34" i="224"/>
  <c r="G52" i="191"/>
  <c r="G34" i="191"/>
  <c r="G52" i="190"/>
  <c r="G34" i="190"/>
  <c r="G52" i="189"/>
  <c r="G34" i="189"/>
  <c r="G52" i="188"/>
  <c r="G34" i="188"/>
  <c r="G52" i="187"/>
  <c r="G34" i="187"/>
  <c r="G52" i="186"/>
  <c r="G34" i="186"/>
  <c r="G52" i="185"/>
  <c r="G34" i="185"/>
  <c r="G70" i="171"/>
  <c r="G52" i="171"/>
  <c r="G34" i="171"/>
  <c r="G70" i="220"/>
  <c r="G52" i="220"/>
  <c r="G34" i="220"/>
  <c r="G70" i="170"/>
  <c r="G52" i="170"/>
  <c r="G34" i="170"/>
  <c r="G70" i="219"/>
  <c r="G52" i="219"/>
  <c r="G34" i="219"/>
  <c r="G70" i="169"/>
  <c r="G52" i="169"/>
  <c r="G34" i="169"/>
  <c r="G70" i="168"/>
  <c r="G52" i="168"/>
  <c r="G34" i="168"/>
  <c r="G70" i="167"/>
  <c r="G52" i="167"/>
  <c r="G34" i="167"/>
  <c r="G70" i="166"/>
  <c r="G52" i="166"/>
  <c r="G34" i="166"/>
  <c r="G70" i="165"/>
  <c r="G52" i="165"/>
  <c r="G34" i="165"/>
  <c r="G70" i="164"/>
  <c r="G52" i="164"/>
  <c r="G34" i="164"/>
  <c r="G70" i="163"/>
  <c r="G52" i="163"/>
  <c r="G34" i="163"/>
  <c r="G70" i="162"/>
  <c r="G52" i="162"/>
  <c r="G34" i="162"/>
  <c r="G70" i="218"/>
  <c r="G52" i="218"/>
  <c r="G34" i="218"/>
  <c r="G70" i="161"/>
  <c r="G52" i="161"/>
  <c r="G34" i="161"/>
  <c r="G70" i="160"/>
  <c r="G52" i="160"/>
  <c r="G34" i="160"/>
  <c r="G70" i="159"/>
  <c r="G52" i="159"/>
  <c r="G34" i="159"/>
  <c r="G70" i="158"/>
  <c r="G52" i="158"/>
  <c r="G34" i="158"/>
  <c r="G70" i="157"/>
  <c r="G52" i="157"/>
  <c r="G34" i="157"/>
  <c r="G70" i="156"/>
  <c r="G52" i="156"/>
  <c r="G34" i="156"/>
  <c r="G70" i="155"/>
  <c r="G52" i="155"/>
  <c r="G34" i="155"/>
  <c r="L16" i="136"/>
  <c r="G16" i="136"/>
  <c r="L16" i="135"/>
  <c r="G16" i="135"/>
  <c r="L16" i="134"/>
  <c r="P188" i="213"/>
  <c r="O188" i="213"/>
  <c r="P170" i="213"/>
  <c r="O170" i="213"/>
  <c r="P152" i="213"/>
  <c r="O152" i="213"/>
  <c r="P134" i="213"/>
  <c r="O134" i="213"/>
  <c r="P116" i="213"/>
  <c r="O116" i="213"/>
  <c r="P98" i="213"/>
  <c r="O98" i="213"/>
  <c r="P80" i="213"/>
  <c r="L14" i="177" s="1"/>
  <c r="O80" i="213"/>
  <c r="L32" i="198" s="1"/>
  <c r="P62" i="213"/>
  <c r="O62" i="213"/>
  <c r="P44" i="213"/>
  <c r="O44" i="213"/>
  <c r="P26" i="213"/>
  <c r="O26" i="213"/>
  <c r="P8" i="213"/>
  <c r="O8" i="213"/>
  <c r="E68" i="208"/>
  <c r="E67" i="208"/>
  <c r="E66" i="208"/>
  <c r="E65" i="208"/>
  <c r="E64" i="208"/>
  <c r="E63" i="208"/>
  <c r="E62" i="208"/>
  <c r="E61" i="208"/>
  <c r="E60" i="208"/>
  <c r="E59" i="208"/>
  <c r="E58" i="208"/>
  <c r="E57" i="208"/>
  <c r="E56" i="208"/>
  <c r="E55" i="208"/>
  <c r="E54" i="208"/>
  <c r="E53" i="208"/>
  <c r="E52" i="208"/>
  <c r="E51" i="208"/>
  <c r="E50" i="208"/>
  <c r="E49" i="208"/>
  <c r="E48" i="208"/>
  <c r="E47" i="208"/>
  <c r="E46" i="208"/>
  <c r="E45" i="208"/>
  <c r="E44" i="208"/>
  <c r="E43" i="208"/>
  <c r="E42" i="208"/>
  <c r="E68" i="209"/>
  <c r="E67" i="209"/>
  <c r="E66" i="209"/>
  <c r="E65" i="209"/>
  <c r="E64" i="209"/>
  <c r="E63" i="209"/>
  <c r="E62" i="209"/>
  <c r="E61" i="209"/>
  <c r="E60" i="209"/>
  <c r="E59" i="209"/>
  <c r="E58" i="209"/>
  <c r="E57" i="209"/>
  <c r="E56" i="209"/>
  <c r="E55" i="209"/>
  <c r="E54" i="209"/>
  <c r="E53" i="209"/>
  <c r="E52" i="209"/>
  <c r="E51" i="209"/>
  <c r="E50" i="209"/>
  <c r="E49" i="209"/>
  <c r="E48" i="209"/>
  <c r="E47" i="209"/>
  <c r="E46" i="209"/>
  <c r="E45" i="209"/>
  <c r="E44" i="209"/>
  <c r="E43" i="209"/>
  <c r="E42" i="209"/>
  <c r="O188" i="211"/>
  <c r="N188" i="211"/>
  <c r="O170" i="211"/>
  <c r="N170" i="211"/>
  <c r="O152" i="211"/>
  <c r="N152" i="211"/>
  <c r="O134" i="211"/>
  <c r="N134" i="211"/>
  <c r="O116" i="211"/>
  <c r="N116" i="211"/>
  <c r="O98" i="211"/>
  <c r="N98" i="211"/>
  <c r="O80" i="211"/>
  <c r="N80" i="211"/>
  <c r="O62" i="211"/>
  <c r="N62" i="211"/>
  <c r="O44" i="211"/>
  <c r="L68" i="165" s="1"/>
  <c r="N44" i="211"/>
  <c r="O26" i="211"/>
  <c r="N26" i="211"/>
  <c r="O8" i="211"/>
  <c r="N8" i="211"/>
  <c r="G50" i="203"/>
  <c r="G32" i="203"/>
  <c r="G50" i="226"/>
  <c r="G32" i="226"/>
  <c r="G50" i="202"/>
  <c r="G32" i="202"/>
  <c r="G50" i="225"/>
  <c r="G32" i="225"/>
  <c r="G50" i="200"/>
  <c r="G32" i="200"/>
  <c r="G50" i="199"/>
  <c r="G32" i="199"/>
  <c r="G50" i="198"/>
  <c r="G32" i="198"/>
  <c r="G50" i="197"/>
  <c r="G32" i="197"/>
  <c r="G50" i="196"/>
  <c r="G32" i="196"/>
  <c r="G50" i="195"/>
  <c r="G32" i="195"/>
  <c r="G50" i="194"/>
  <c r="G32" i="194"/>
  <c r="L32" i="194" s="1"/>
  <c r="G50" i="192"/>
  <c r="G32" i="192"/>
  <c r="G50" i="224"/>
  <c r="G32" i="224"/>
  <c r="G50" i="191"/>
  <c r="G32" i="191"/>
  <c r="G50" i="190"/>
  <c r="G32" i="190"/>
  <c r="G50" i="189"/>
  <c r="G32" i="189"/>
  <c r="G50" i="188"/>
  <c r="G32" i="188"/>
  <c r="G50" i="187"/>
  <c r="G32" i="187"/>
  <c r="G50" i="186"/>
  <c r="G32" i="186"/>
  <c r="G50" i="185"/>
  <c r="G32" i="185"/>
  <c r="G68" i="171"/>
  <c r="G50" i="171"/>
  <c r="G32" i="171"/>
  <c r="G68" i="220"/>
  <c r="G50" i="220"/>
  <c r="G32" i="220"/>
  <c r="G68" i="170"/>
  <c r="G50" i="170"/>
  <c r="G32" i="170"/>
  <c r="G68" i="219"/>
  <c r="G50" i="219"/>
  <c r="G32" i="219"/>
  <c r="G68" i="169"/>
  <c r="G50" i="169"/>
  <c r="G32" i="169"/>
  <c r="G68" i="168"/>
  <c r="G50" i="168"/>
  <c r="G32" i="168"/>
  <c r="G68" i="167"/>
  <c r="G50" i="167"/>
  <c r="G32" i="167"/>
  <c r="G68" i="166"/>
  <c r="G50" i="166"/>
  <c r="G32" i="166"/>
  <c r="G68" i="165"/>
  <c r="G50" i="165"/>
  <c r="G32" i="165"/>
  <c r="G68" i="164"/>
  <c r="G50" i="164"/>
  <c r="G32" i="164"/>
  <c r="G68" i="163"/>
  <c r="G50" i="163"/>
  <c r="G32" i="163"/>
  <c r="G68" i="162"/>
  <c r="G50" i="162"/>
  <c r="G32" i="162"/>
  <c r="G68" i="218"/>
  <c r="G50" i="218"/>
  <c r="G32" i="218"/>
  <c r="G68" i="161"/>
  <c r="G50" i="161"/>
  <c r="G32" i="161"/>
  <c r="G68" i="160"/>
  <c r="G50" i="160"/>
  <c r="G32" i="160"/>
  <c r="G68" i="159"/>
  <c r="G50" i="159"/>
  <c r="G32" i="159"/>
  <c r="G68" i="158"/>
  <c r="G50" i="158"/>
  <c r="G32" i="158"/>
  <c r="G68" i="157"/>
  <c r="G50" i="157"/>
  <c r="G32" i="157"/>
  <c r="G68" i="156"/>
  <c r="G50" i="156"/>
  <c r="G32" i="156"/>
  <c r="G68" i="155"/>
  <c r="G50" i="155"/>
  <c r="G32" i="155"/>
  <c r="L14" i="136"/>
  <c r="G14" i="136"/>
  <c r="L14" i="135"/>
  <c r="G14" i="135"/>
  <c r="L14" i="134"/>
  <c r="P187" i="213"/>
  <c r="O187" i="213"/>
  <c r="P169" i="213"/>
  <c r="O169" i="213"/>
  <c r="P151" i="213"/>
  <c r="O151" i="213"/>
  <c r="P133" i="213"/>
  <c r="O133" i="213"/>
  <c r="P115" i="213"/>
  <c r="O115" i="213"/>
  <c r="L31" i="200" s="1"/>
  <c r="P97" i="213"/>
  <c r="O97" i="213"/>
  <c r="P79" i="213"/>
  <c r="O79" i="213"/>
  <c r="P61" i="213"/>
  <c r="O61" i="213"/>
  <c r="P43" i="213"/>
  <c r="O43" i="213"/>
  <c r="P25" i="213"/>
  <c r="O25" i="213"/>
  <c r="P7" i="213"/>
  <c r="O7" i="213"/>
  <c r="D68" i="208"/>
  <c r="D67" i="208"/>
  <c r="D66" i="208"/>
  <c r="D65" i="208"/>
  <c r="D64" i="208"/>
  <c r="D63" i="208"/>
  <c r="D62" i="208"/>
  <c r="D61" i="208"/>
  <c r="D60" i="208"/>
  <c r="D59" i="208"/>
  <c r="D58" i="208"/>
  <c r="D57" i="208"/>
  <c r="D56" i="208"/>
  <c r="D55" i="208"/>
  <c r="D54" i="208"/>
  <c r="D53" i="208"/>
  <c r="D52" i="208"/>
  <c r="D51" i="208"/>
  <c r="D50" i="208"/>
  <c r="D49" i="208"/>
  <c r="D48" i="208"/>
  <c r="D47" i="208"/>
  <c r="D46" i="208"/>
  <c r="D45" i="208"/>
  <c r="D44" i="208"/>
  <c r="D43" i="208"/>
  <c r="D42" i="208"/>
  <c r="D68" i="209"/>
  <c r="D67" i="209"/>
  <c r="D66" i="209"/>
  <c r="D65" i="209"/>
  <c r="D64" i="209"/>
  <c r="D63" i="209"/>
  <c r="D62" i="209"/>
  <c r="D61" i="209"/>
  <c r="D60" i="209"/>
  <c r="D59" i="209"/>
  <c r="D58" i="209"/>
  <c r="D57" i="209"/>
  <c r="D56" i="209"/>
  <c r="D55" i="209"/>
  <c r="D54" i="209"/>
  <c r="D53" i="209"/>
  <c r="D52" i="209"/>
  <c r="D51" i="209"/>
  <c r="D50" i="209"/>
  <c r="D49" i="209"/>
  <c r="D48" i="209"/>
  <c r="D47" i="209"/>
  <c r="D46" i="209"/>
  <c r="D45" i="209"/>
  <c r="D44" i="209"/>
  <c r="D43" i="209"/>
  <c r="D42" i="209"/>
  <c r="O187" i="211"/>
  <c r="N187" i="211"/>
  <c r="O169" i="211"/>
  <c r="N169" i="211"/>
  <c r="O151" i="211"/>
  <c r="N151" i="211"/>
  <c r="O133" i="211"/>
  <c r="N133" i="211"/>
  <c r="O115" i="211"/>
  <c r="N115" i="211"/>
  <c r="O97" i="211"/>
  <c r="N97" i="211"/>
  <c r="O79" i="211"/>
  <c r="N79" i="211"/>
  <c r="O61" i="211"/>
  <c r="N61" i="211"/>
  <c r="L13" i="158" s="1"/>
  <c r="O43" i="211"/>
  <c r="N43" i="211"/>
  <c r="O25" i="211"/>
  <c r="N25" i="211"/>
  <c r="O7" i="211"/>
  <c r="N7" i="211"/>
  <c r="G49" i="203"/>
  <c r="G31" i="203"/>
  <c r="G49" i="226"/>
  <c r="G31" i="226"/>
  <c r="G49" i="202"/>
  <c r="G31" i="202"/>
  <c r="G49" i="225"/>
  <c r="G31" i="225"/>
  <c r="G49" i="200"/>
  <c r="G31" i="200"/>
  <c r="G49" i="199"/>
  <c r="G31" i="199"/>
  <c r="G49" i="198"/>
  <c r="G31" i="198"/>
  <c r="G49" i="197"/>
  <c r="G31" i="197"/>
  <c r="G49" i="196"/>
  <c r="G31" i="196"/>
  <c r="G49" i="195"/>
  <c r="G31" i="195"/>
  <c r="G49" i="194"/>
  <c r="G31" i="194"/>
  <c r="G49" i="192"/>
  <c r="G31" i="192"/>
  <c r="G49" i="224"/>
  <c r="G31" i="224"/>
  <c r="G49" i="191"/>
  <c r="G31" i="191"/>
  <c r="G49" i="190"/>
  <c r="G31" i="190"/>
  <c r="G49" i="189"/>
  <c r="G31" i="189"/>
  <c r="G49" i="188"/>
  <c r="G31" i="188"/>
  <c r="G49" i="187"/>
  <c r="G31" i="187"/>
  <c r="G49" i="186"/>
  <c r="G31" i="186"/>
  <c r="G49" i="185"/>
  <c r="G31" i="185"/>
  <c r="G67" i="171"/>
  <c r="G49" i="171"/>
  <c r="G31" i="171"/>
  <c r="G67" i="220"/>
  <c r="G49" i="220"/>
  <c r="G31" i="220"/>
  <c r="G67" i="170"/>
  <c r="G49" i="170"/>
  <c r="G31" i="170"/>
  <c r="G67" i="219"/>
  <c r="G49" i="219"/>
  <c r="G31" i="219"/>
  <c r="G67" i="169"/>
  <c r="G49" i="169"/>
  <c r="G31" i="169"/>
  <c r="G67" i="168"/>
  <c r="G49" i="168"/>
  <c r="G31" i="168"/>
  <c r="G67" i="167"/>
  <c r="G49" i="167"/>
  <c r="G31" i="167"/>
  <c r="G67" i="166"/>
  <c r="G49" i="166"/>
  <c r="G31" i="166"/>
  <c r="G67" i="165"/>
  <c r="G49" i="165"/>
  <c r="G31" i="165"/>
  <c r="G67" i="164"/>
  <c r="G49" i="164"/>
  <c r="G31" i="164"/>
  <c r="G67" i="163"/>
  <c r="G49" i="163"/>
  <c r="G31" i="163"/>
  <c r="G67" i="162"/>
  <c r="G49" i="162"/>
  <c r="G31" i="162"/>
  <c r="G67" i="218"/>
  <c r="G49" i="218"/>
  <c r="G31" i="218"/>
  <c r="G67" i="161"/>
  <c r="G49" i="161"/>
  <c r="G31" i="161"/>
  <c r="G67" i="160"/>
  <c r="G49" i="160"/>
  <c r="G31" i="160"/>
  <c r="G67" i="159"/>
  <c r="G49" i="159"/>
  <c r="G31" i="159"/>
  <c r="G67" i="158"/>
  <c r="G49" i="158"/>
  <c r="G31" i="158"/>
  <c r="G67" i="157"/>
  <c r="G49" i="157"/>
  <c r="G31" i="157"/>
  <c r="G67" i="156"/>
  <c r="G49" i="156"/>
  <c r="G31" i="156"/>
  <c r="G67" i="155"/>
  <c r="G49" i="155"/>
  <c r="G31" i="155"/>
  <c r="L13" i="136"/>
  <c r="G13" i="136"/>
  <c r="L13" i="135"/>
  <c r="G13" i="135"/>
  <c r="L13" i="134"/>
  <c r="P186" i="213"/>
  <c r="O186" i="213"/>
  <c r="P168" i="213"/>
  <c r="O168" i="213"/>
  <c r="P150" i="213"/>
  <c r="O150" i="213"/>
  <c r="P132" i="213"/>
  <c r="O132" i="213"/>
  <c r="P114" i="213"/>
  <c r="O114" i="213"/>
  <c r="P96" i="213"/>
  <c r="O96" i="213"/>
  <c r="P78" i="213"/>
  <c r="O78" i="213"/>
  <c r="P60" i="213"/>
  <c r="O60" i="213"/>
  <c r="L48" i="197" s="1"/>
  <c r="P42" i="213"/>
  <c r="O42" i="213"/>
  <c r="P24" i="213"/>
  <c r="O24" i="213"/>
  <c r="L48" i="195" s="1"/>
  <c r="P6" i="213"/>
  <c r="O6" i="213"/>
  <c r="C68" i="208"/>
  <c r="C67" i="208"/>
  <c r="C66" i="208"/>
  <c r="C65" i="208"/>
  <c r="C64" i="208"/>
  <c r="C63" i="208"/>
  <c r="C62" i="208"/>
  <c r="C61" i="208"/>
  <c r="C60" i="208"/>
  <c r="C59" i="208"/>
  <c r="C58" i="208"/>
  <c r="C57" i="208"/>
  <c r="C56" i="208"/>
  <c r="C55" i="208"/>
  <c r="C54" i="208"/>
  <c r="C53" i="208"/>
  <c r="C52" i="208"/>
  <c r="C51" i="208"/>
  <c r="C50" i="208"/>
  <c r="C49" i="208"/>
  <c r="C48" i="208"/>
  <c r="C47" i="208"/>
  <c r="C46" i="208"/>
  <c r="C45" i="208"/>
  <c r="C44" i="208"/>
  <c r="C43" i="208"/>
  <c r="C42" i="208"/>
  <c r="C68" i="209"/>
  <c r="C67" i="209"/>
  <c r="C66" i="209"/>
  <c r="C65" i="209"/>
  <c r="C64" i="209"/>
  <c r="C63" i="209"/>
  <c r="C62" i="209"/>
  <c r="C61" i="209"/>
  <c r="C60" i="209"/>
  <c r="C59" i="209"/>
  <c r="C58" i="209"/>
  <c r="C57" i="209"/>
  <c r="C56" i="209"/>
  <c r="C55" i="209"/>
  <c r="C54" i="209"/>
  <c r="C53" i="209"/>
  <c r="C52" i="209"/>
  <c r="C51" i="209"/>
  <c r="C50" i="209"/>
  <c r="C49" i="209"/>
  <c r="C48" i="209"/>
  <c r="C47" i="209"/>
  <c r="C46" i="209"/>
  <c r="C45" i="209"/>
  <c r="C44" i="209"/>
  <c r="C43" i="209"/>
  <c r="C42" i="209"/>
  <c r="O186" i="211"/>
  <c r="N186" i="211"/>
  <c r="O168" i="211"/>
  <c r="N168" i="211"/>
  <c r="O150" i="211"/>
  <c r="N150" i="211"/>
  <c r="O132" i="211"/>
  <c r="N132" i="211"/>
  <c r="O114" i="211"/>
  <c r="N114" i="211"/>
  <c r="O96" i="211"/>
  <c r="N96" i="211"/>
  <c r="O78" i="211"/>
  <c r="N78" i="211"/>
  <c r="O60" i="211"/>
  <c r="N60" i="211"/>
  <c r="O42" i="211"/>
  <c r="N42" i="211"/>
  <c r="O24" i="211"/>
  <c r="L66" i="164" s="1"/>
  <c r="N24" i="211"/>
  <c r="O6" i="211"/>
  <c r="N6" i="211"/>
  <c r="G48" i="203"/>
  <c r="G30" i="203"/>
  <c r="G48" i="226"/>
  <c r="G30" i="226"/>
  <c r="G48" i="202"/>
  <c r="G30" i="202"/>
  <c r="G48" i="225"/>
  <c r="G30" i="225"/>
  <c r="G48" i="200"/>
  <c r="G30" i="200"/>
  <c r="G48" i="199"/>
  <c r="G30" i="199"/>
  <c r="G48" i="198"/>
  <c r="G30" i="198"/>
  <c r="G48" i="197"/>
  <c r="G30" i="197"/>
  <c r="G48" i="196"/>
  <c r="G30" i="196"/>
  <c r="G48" i="195"/>
  <c r="G30" i="195"/>
  <c r="G48" i="194"/>
  <c r="G30" i="194"/>
  <c r="G48" i="192"/>
  <c r="G30" i="192"/>
  <c r="G48" i="224"/>
  <c r="G30" i="224"/>
  <c r="G48" i="191"/>
  <c r="G30" i="191"/>
  <c r="G48" i="190"/>
  <c r="G30" i="190"/>
  <c r="G48" i="189"/>
  <c r="G30" i="189"/>
  <c r="G48" i="188"/>
  <c r="G30" i="188"/>
  <c r="G48" i="187"/>
  <c r="G30" i="187"/>
  <c r="G48" i="186"/>
  <c r="G30" i="186"/>
  <c r="G48" i="185"/>
  <c r="G30" i="185"/>
  <c r="G66" i="171"/>
  <c r="G48" i="171"/>
  <c r="G30" i="171"/>
  <c r="G66" i="220"/>
  <c r="G48" i="220"/>
  <c r="G30" i="220"/>
  <c r="G66" i="170"/>
  <c r="G48" i="170"/>
  <c r="G30" i="170"/>
  <c r="G66" i="219"/>
  <c r="G48" i="219"/>
  <c r="G30" i="219"/>
  <c r="G66" i="169"/>
  <c r="G48" i="169"/>
  <c r="G30" i="169"/>
  <c r="G66" i="168"/>
  <c r="G48" i="168"/>
  <c r="G30" i="168"/>
  <c r="G66" i="167"/>
  <c r="G48" i="167"/>
  <c r="G30" i="167"/>
  <c r="G66" i="166"/>
  <c r="G48" i="166"/>
  <c r="G30" i="166"/>
  <c r="G66" i="165"/>
  <c r="L66" i="165" s="1"/>
  <c r="G48" i="165"/>
  <c r="G30" i="165"/>
  <c r="L30" i="165" s="1"/>
  <c r="G66" i="164"/>
  <c r="G48" i="164"/>
  <c r="G30" i="164"/>
  <c r="G66" i="163"/>
  <c r="G48" i="163"/>
  <c r="G30" i="163"/>
  <c r="G66" i="162"/>
  <c r="G48" i="162"/>
  <c r="G30" i="162"/>
  <c r="G66" i="218"/>
  <c r="G48" i="218"/>
  <c r="G30" i="218"/>
  <c r="G66" i="161"/>
  <c r="G48" i="161"/>
  <c r="G30" i="161"/>
  <c r="G66" i="160"/>
  <c r="G48" i="160"/>
  <c r="G30" i="160"/>
  <c r="G66" i="159"/>
  <c r="G48" i="159"/>
  <c r="G30" i="159"/>
  <c r="G66" i="158"/>
  <c r="G48" i="158"/>
  <c r="G30" i="158"/>
  <c r="G66" i="157"/>
  <c r="G48" i="157"/>
  <c r="G30" i="157"/>
  <c r="G66" i="156"/>
  <c r="G48" i="156"/>
  <c r="G30" i="156"/>
  <c r="G66" i="155"/>
  <c r="G48" i="155"/>
  <c r="G30" i="155"/>
  <c r="L12" i="136"/>
  <c r="G12" i="136"/>
  <c r="L12" i="135"/>
  <c r="G12" i="135"/>
  <c r="L12" i="134"/>
  <c r="L44" i="194"/>
  <c r="L41" i="194"/>
  <c r="L39" i="194"/>
  <c r="L30" i="194"/>
  <c r="L62" i="195"/>
  <c r="L59" i="195"/>
  <c r="L57" i="195"/>
  <c r="L44" i="195"/>
  <c r="L41" i="195"/>
  <c r="L39" i="195"/>
  <c r="L36" i="195"/>
  <c r="L33" i="195"/>
  <c r="L26" i="195"/>
  <c r="L23" i="195"/>
  <c r="L21" i="195"/>
  <c r="L62" i="196"/>
  <c r="L59" i="196"/>
  <c r="L51" i="196"/>
  <c r="L44" i="196"/>
  <c r="L41" i="196"/>
  <c r="L39" i="196"/>
  <c r="L32" i="196"/>
  <c r="L26" i="196"/>
  <c r="L23" i="196"/>
  <c r="L15" i="196"/>
  <c r="L50" i="197"/>
  <c r="L44" i="197"/>
  <c r="L41" i="197"/>
  <c r="L39" i="197"/>
  <c r="L36" i="197"/>
  <c r="L33" i="197"/>
  <c r="L62" i="198"/>
  <c r="L50" i="198"/>
  <c r="L44" i="198"/>
  <c r="L41" i="198"/>
  <c r="L39" i="198"/>
  <c r="L36" i="198"/>
  <c r="L33" i="198"/>
  <c r="L26" i="198"/>
  <c r="L14" i="198"/>
  <c r="L44" i="199"/>
  <c r="L41" i="199"/>
  <c r="L39" i="199"/>
  <c r="L36" i="199"/>
  <c r="L33" i="199"/>
  <c r="L44" i="200"/>
  <c r="L41" i="200"/>
  <c r="L39" i="200"/>
  <c r="L32" i="200"/>
  <c r="L30" i="200"/>
  <c r="L62" i="225"/>
  <c r="L59" i="225"/>
  <c r="L57" i="225"/>
  <c r="L51" i="225"/>
  <c r="L45" i="225"/>
  <c r="L44" i="225"/>
  <c r="L42" i="225"/>
  <c r="L41" i="225"/>
  <c r="L39" i="225"/>
  <c r="L32" i="225"/>
  <c r="L26" i="225"/>
  <c r="L23" i="225"/>
  <c r="L21" i="225"/>
  <c r="L15" i="225"/>
  <c r="L44" i="202"/>
  <c r="L41" i="202"/>
  <c r="L39" i="202"/>
  <c r="L36" i="202"/>
  <c r="L33" i="202"/>
  <c r="L32" i="202"/>
  <c r="L62" i="226"/>
  <c r="L44" i="226"/>
  <c r="L41" i="226"/>
  <c r="L39" i="226"/>
  <c r="L33" i="226"/>
  <c r="L32" i="226"/>
  <c r="L30" i="226"/>
  <c r="L44" i="203"/>
  <c r="L41" i="203"/>
  <c r="L39" i="203"/>
  <c r="L36" i="203"/>
  <c r="L33" i="203"/>
  <c r="L32" i="203"/>
  <c r="L30" i="203"/>
  <c r="L63" i="174"/>
  <c r="L61" i="174"/>
  <c r="L60" i="174"/>
  <c r="L58" i="174"/>
  <c r="L56" i="174"/>
  <c r="L55" i="174"/>
  <c r="L52" i="174"/>
  <c r="L45" i="174"/>
  <c r="L43" i="174"/>
  <c r="L42" i="174"/>
  <c r="L40" i="174"/>
  <c r="L38" i="174"/>
  <c r="L37" i="174"/>
  <c r="L34" i="174"/>
  <c r="L27" i="174"/>
  <c r="L25" i="174"/>
  <c r="L24" i="174"/>
  <c r="L22" i="174"/>
  <c r="L20" i="174"/>
  <c r="L19" i="174"/>
  <c r="L16" i="174"/>
  <c r="L63" i="175"/>
  <c r="L61" i="175"/>
  <c r="L60" i="175"/>
  <c r="L55" i="175"/>
  <c r="L53" i="175"/>
  <c r="L52" i="175"/>
  <c r="L45" i="175"/>
  <c r="L43" i="175"/>
  <c r="L42" i="175"/>
  <c r="L37" i="175"/>
  <c r="L35" i="175"/>
  <c r="L34" i="175"/>
  <c r="L27" i="175"/>
  <c r="L25" i="175"/>
  <c r="L24" i="175"/>
  <c r="L19" i="175"/>
  <c r="L17" i="175"/>
  <c r="L16" i="175"/>
  <c r="L53" i="176"/>
  <c r="L49" i="176"/>
  <c r="L35" i="176"/>
  <c r="L31" i="176"/>
  <c r="L17" i="176"/>
  <c r="L13" i="176"/>
  <c r="L63" i="177"/>
  <c r="L61" i="177"/>
  <c r="L60" i="177"/>
  <c r="L55" i="177"/>
  <c r="L53" i="177"/>
  <c r="L52" i="177"/>
  <c r="L45" i="177"/>
  <c r="L43" i="177"/>
  <c r="L42" i="177"/>
  <c r="L37" i="177"/>
  <c r="L35" i="177"/>
  <c r="L34" i="177"/>
  <c r="L27" i="177"/>
  <c r="L25" i="177"/>
  <c r="L24" i="177"/>
  <c r="L19" i="177"/>
  <c r="L17" i="177"/>
  <c r="L16" i="177"/>
  <c r="L60" i="183"/>
  <c r="L42" i="183"/>
  <c r="L24" i="183"/>
  <c r="L60" i="222"/>
  <c r="L58" i="222"/>
  <c r="L55" i="222"/>
  <c r="L52" i="222"/>
  <c r="L49" i="222"/>
  <c r="L42" i="222"/>
  <c r="L40" i="222"/>
  <c r="L37" i="222"/>
  <c r="L34" i="222"/>
  <c r="L31" i="222"/>
  <c r="L24" i="222"/>
  <c r="L22" i="222"/>
  <c r="L19" i="222"/>
  <c r="L16" i="222"/>
  <c r="L13" i="222"/>
  <c r="L81" i="164"/>
  <c r="L79" i="164"/>
  <c r="L78" i="164"/>
  <c r="L76" i="164"/>
  <c r="L74" i="164"/>
  <c r="L73" i="164"/>
  <c r="L70" i="164"/>
  <c r="L67" i="164"/>
  <c r="L63" i="164"/>
  <c r="L61" i="164"/>
  <c r="L60" i="164"/>
  <c r="L58" i="164"/>
  <c r="L56" i="164"/>
  <c r="L55" i="164"/>
  <c r="L53" i="164"/>
  <c r="L52" i="164"/>
  <c r="L49" i="164"/>
  <c r="L45" i="164"/>
  <c r="L43" i="164"/>
  <c r="L42" i="164"/>
  <c r="L40" i="164"/>
  <c r="L38" i="164"/>
  <c r="L37" i="164"/>
  <c r="L34" i="164"/>
  <c r="L31" i="164"/>
  <c r="L27" i="164"/>
  <c r="L25" i="164"/>
  <c r="L24" i="164"/>
  <c r="L22" i="164"/>
  <c r="L20" i="164"/>
  <c r="L19" i="164"/>
  <c r="L16" i="164"/>
  <c r="L13" i="164"/>
  <c r="L81" i="165"/>
  <c r="L79" i="165"/>
  <c r="L78" i="165"/>
  <c r="L76" i="165"/>
  <c r="L74" i="165"/>
  <c r="L73" i="165"/>
  <c r="L71" i="165"/>
  <c r="L70" i="165"/>
  <c r="L67" i="165"/>
  <c r="L63" i="165"/>
  <c r="L61" i="165"/>
  <c r="L60" i="165"/>
  <c r="L55" i="165"/>
  <c r="L53" i="165"/>
  <c r="L52" i="165"/>
  <c r="L45" i="165"/>
  <c r="L43" i="165"/>
  <c r="L42" i="165"/>
  <c r="L40" i="165"/>
  <c r="L38" i="165"/>
  <c r="L37" i="165"/>
  <c r="L35" i="165"/>
  <c r="L34" i="165"/>
  <c r="L31" i="165"/>
  <c r="L27" i="165"/>
  <c r="L25" i="165"/>
  <c r="L24" i="165"/>
  <c r="L19" i="165"/>
  <c r="L17" i="165"/>
  <c r="L16" i="165"/>
  <c r="L79" i="166"/>
  <c r="L73" i="166"/>
  <c r="L71" i="166"/>
  <c r="L67" i="166"/>
  <c r="L63" i="166"/>
  <c r="L61" i="166"/>
  <c r="L60" i="166"/>
  <c r="L58" i="166"/>
  <c r="L56" i="166"/>
  <c r="L53" i="166"/>
  <c r="L52" i="166"/>
  <c r="L49" i="166"/>
  <c r="L43" i="166"/>
  <c r="L37" i="166"/>
  <c r="L35" i="166"/>
  <c r="L31" i="166"/>
  <c r="L25" i="166"/>
  <c r="L17" i="166"/>
  <c r="L13" i="166"/>
  <c r="L81" i="167"/>
  <c r="L79" i="167"/>
  <c r="L78" i="167"/>
  <c r="L77" i="167"/>
  <c r="L76" i="167"/>
  <c r="L75" i="167"/>
  <c r="L74" i="167"/>
  <c r="L73" i="167"/>
  <c r="L71" i="167"/>
  <c r="L70" i="167"/>
  <c r="L67" i="167"/>
  <c r="L63" i="167"/>
  <c r="L61" i="167"/>
  <c r="L60" i="167"/>
  <c r="L55" i="167"/>
  <c r="L53" i="167"/>
  <c r="L52" i="167"/>
  <c r="L45" i="167"/>
  <c r="L43" i="167"/>
  <c r="L42" i="167"/>
  <c r="L40" i="167"/>
  <c r="L38" i="167"/>
  <c r="L37" i="167"/>
  <c r="L35" i="167"/>
  <c r="L34" i="167"/>
  <c r="L31" i="167"/>
  <c r="L27" i="167"/>
  <c r="L25" i="167"/>
  <c r="L24" i="167"/>
  <c r="L19" i="167"/>
  <c r="L17" i="167"/>
  <c r="L16" i="167"/>
  <c r="L73" i="168"/>
  <c r="L63" i="168"/>
  <c r="L60" i="168"/>
  <c r="L58" i="168"/>
  <c r="L56" i="168"/>
  <c r="L53" i="168"/>
  <c r="L52" i="168"/>
  <c r="L49" i="168"/>
  <c r="L41" i="168"/>
  <c r="L37" i="168"/>
  <c r="L25" i="168"/>
  <c r="L81" i="169"/>
  <c r="L78" i="169"/>
  <c r="L76" i="169"/>
  <c r="L74" i="169"/>
  <c r="L71" i="169"/>
  <c r="L70" i="169"/>
  <c r="L67" i="169"/>
  <c r="L60" i="169"/>
  <c r="L55" i="169"/>
  <c r="L49" i="169"/>
  <c r="L45" i="169"/>
  <c r="L42" i="169"/>
  <c r="L40" i="169"/>
  <c r="L38" i="169"/>
  <c r="L35" i="169"/>
  <c r="L34" i="169"/>
  <c r="L31" i="169"/>
  <c r="L24" i="169"/>
  <c r="L13" i="169"/>
  <c r="L78" i="219"/>
  <c r="L76" i="219"/>
  <c r="L73" i="219"/>
  <c r="L70" i="219"/>
  <c r="L67" i="219"/>
  <c r="L63" i="219"/>
  <c r="L60" i="219"/>
  <c r="L58" i="219"/>
  <c r="L55" i="219"/>
  <c r="L53" i="219"/>
  <c r="L52" i="219"/>
  <c r="L49" i="219"/>
  <c r="L42" i="219"/>
  <c r="L40" i="219"/>
  <c r="L37" i="219"/>
  <c r="L34" i="219"/>
  <c r="L31" i="219"/>
  <c r="L24" i="219"/>
  <c r="L22" i="219"/>
  <c r="L19" i="219"/>
  <c r="L16" i="219"/>
  <c r="L13" i="219"/>
  <c r="L81" i="170"/>
  <c r="L78" i="170"/>
  <c r="L76" i="170"/>
  <c r="L74" i="170"/>
  <c r="L72" i="170"/>
  <c r="L71" i="170"/>
  <c r="L70" i="170"/>
  <c r="L67" i="170"/>
  <c r="L55" i="170"/>
  <c r="L45" i="170"/>
  <c r="L42" i="170"/>
  <c r="L40" i="170"/>
  <c r="L38" i="170"/>
  <c r="L35" i="170"/>
  <c r="L34" i="170"/>
  <c r="L31" i="170"/>
  <c r="L25" i="170"/>
  <c r="L78" i="220"/>
  <c r="L63" i="220"/>
  <c r="L60" i="220"/>
  <c r="L58" i="220"/>
  <c r="L53" i="220"/>
  <c r="L52" i="220"/>
  <c r="L49" i="220"/>
  <c r="L42" i="220"/>
  <c r="L81" i="171"/>
  <c r="L78" i="171"/>
  <c r="L76" i="171"/>
  <c r="L74" i="171"/>
  <c r="L73" i="171"/>
  <c r="L72" i="171"/>
  <c r="L71" i="171"/>
  <c r="L70" i="171"/>
  <c r="L67" i="171"/>
  <c r="L57" i="171"/>
  <c r="L54" i="171"/>
  <c r="L45" i="171"/>
  <c r="L42" i="171"/>
  <c r="L40" i="171"/>
  <c r="L38" i="171"/>
  <c r="L37" i="171"/>
  <c r="L36" i="171"/>
  <c r="L35" i="171"/>
  <c r="L34" i="171"/>
  <c r="L31" i="171"/>
  <c r="L25" i="171"/>
  <c r="L81" i="163"/>
  <c r="L79" i="163"/>
  <c r="L78" i="163"/>
  <c r="L76" i="163"/>
  <c r="L74" i="163"/>
  <c r="L71" i="163"/>
  <c r="L70" i="163"/>
  <c r="L67" i="163"/>
  <c r="L61" i="163"/>
  <c r="L55" i="163"/>
  <c r="L45" i="163"/>
  <c r="L44" i="163"/>
  <c r="L43" i="163"/>
  <c r="L42" i="163"/>
  <c r="L40" i="163"/>
  <c r="L38" i="163"/>
  <c r="L35" i="163"/>
  <c r="L34" i="163"/>
  <c r="L31" i="163"/>
  <c r="L25" i="163"/>
  <c r="L80" i="156"/>
  <c r="L77" i="156"/>
  <c r="L75" i="156"/>
  <c r="L63" i="156"/>
  <c r="L62" i="156"/>
  <c r="L61" i="156"/>
  <c r="L59" i="156"/>
  <c r="L57" i="156"/>
  <c r="L54" i="156"/>
  <c r="L51" i="156"/>
  <c r="L50" i="156"/>
  <c r="L48" i="156"/>
  <c r="L44" i="156"/>
  <c r="L41" i="156"/>
  <c r="L39" i="156"/>
  <c r="L35" i="156"/>
  <c r="L26" i="156"/>
  <c r="L23" i="156"/>
  <c r="L21" i="156"/>
  <c r="L19" i="156"/>
  <c r="L80" i="157"/>
  <c r="L77" i="157"/>
  <c r="L75" i="157"/>
  <c r="L73" i="157"/>
  <c r="L72" i="157"/>
  <c r="L69" i="157"/>
  <c r="L68" i="157"/>
  <c r="L66" i="157"/>
  <c r="L62" i="157"/>
  <c r="L59" i="157"/>
  <c r="L51" i="157"/>
  <c r="L50" i="157"/>
  <c r="L44" i="157"/>
  <c r="L41" i="157"/>
  <c r="L39" i="157"/>
  <c r="L36" i="157"/>
  <c r="L33" i="157"/>
  <c r="L32" i="157"/>
  <c r="L30" i="157"/>
  <c r="L26" i="157"/>
  <c r="L23" i="157"/>
  <c r="L15" i="157"/>
  <c r="L14" i="157"/>
  <c r="L81" i="158"/>
  <c r="L77" i="158"/>
  <c r="L75" i="158"/>
  <c r="L71" i="158"/>
  <c r="L68" i="158"/>
  <c r="L66" i="158"/>
  <c r="L62" i="158"/>
  <c r="L59" i="158"/>
  <c r="L57" i="158"/>
  <c r="L55" i="158"/>
  <c r="L54" i="158"/>
  <c r="L53" i="158"/>
  <c r="L51" i="158"/>
  <c r="L50" i="158"/>
  <c r="L48" i="158"/>
  <c r="L45" i="158"/>
  <c r="L41" i="158"/>
  <c r="L37" i="158"/>
  <c r="L32" i="158"/>
  <c r="L30" i="158"/>
  <c r="L23" i="158"/>
  <c r="L14" i="158"/>
  <c r="L12" i="158"/>
  <c r="L81" i="159"/>
  <c r="L80" i="159"/>
  <c r="L79" i="159"/>
  <c r="L77" i="159"/>
  <c r="L75" i="159"/>
  <c r="L69" i="159"/>
  <c r="L68" i="159"/>
  <c r="L66" i="159"/>
  <c r="L62" i="159"/>
  <c r="L60" i="159"/>
  <c r="L59" i="159"/>
  <c r="L58" i="159"/>
  <c r="L51" i="159"/>
  <c r="L50" i="159"/>
  <c r="L44" i="159"/>
  <c r="L41" i="159"/>
  <c r="L39" i="159"/>
  <c r="L33" i="159"/>
  <c r="L32" i="159"/>
  <c r="L30" i="159"/>
  <c r="L27" i="159"/>
  <c r="L26" i="159"/>
  <c r="L25" i="159"/>
  <c r="L23" i="159"/>
  <c r="L15" i="159"/>
  <c r="L14" i="159"/>
  <c r="L78" i="160"/>
  <c r="L74" i="160"/>
  <c r="L62" i="160"/>
  <c r="L60" i="160"/>
  <c r="L59" i="160"/>
  <c r="L58" i="160"/>
  <c r="L57" i="160"/>
  <c r="L56" i="160"/>
  <c r="L51" i="160"/>
  <c r="L50" i="160"/>
  <c r="L48" i="160"/>
  <c r="L43" i="160"/>
  <c r="L39" i="160"/>
  <c r="L81" i="161"/>
  <c r="L80" i="161"/>
  <c r="L79" i="161"/>
  <c r="L77" i="161"/>
  <c r="L75" i="161"/>
  <c r="L72" i="161"/>
  <c r="L69" i="161"/>
  <c r="L68" i="161"/>
  <c r="L66" i="161"/>
  <c r="L61" i="161"/>
  <c r="L57" i="161"/>
  <c r="L53" i="161"/>
  <c r="L44" i="161"/>
  <c r="L41" i="161"/>
  <c r="L39" i="161"/>
  <c r="L37" i="161"/>
  <c r="L36" i="161"/>
  <c r="L33" i="161"/>
  <c r="L32" i="161"/>
  <c r="L30" i="161"/>
  <c r="L80" i="218"/>
  <c r="L77" i="218"/>
  <c r="L74" i="218"/>
  <c r="L62" i="218"/>
  <c r="L60" i="218"/>
  <c r="L59" i="218"/>
  <c r="L58" i="218"/>
  <c r="L57" i="218"/>
  <c r="L56" i="218"/>
  <c r="L51" i="218"/>
  <c r="L50" i="218"/>
  <c r="L48" i="218"/>
  <c r="L44" i="218"/>
  <c r="L41" i="218"/>
  <c r="L26" i="218"/>
  <c r="L24" i="218"/>
  <c r="L23" i="218"/>
  <c r="L22" i="218"/>
  <c r="L80" i="162"/>
  <c r="L77" i="162"/>
  <c r="L75" i="162"/>
  <c r="L72" i="162"/>
  <c r="L69" i="162"/>
  <c r="L68" i="162"/>
  <c r="L66" i="162"/>
  <c r="L62" i="162"/>
  <c r="L58" i="162"/>
  <c r="L45" i="162"/>
  <c r="L44" i="162"/>
  <c r="L43" i="162"/>
  <c r="L41" i="162"/>
  <c r="L39" i="162"/>
  <c r="L36" i="162"/>
  <c r="L33" i="162"/>
  <c r="L32" i="162"/>
  <c r="L30" i="162"/>
  <c r="L80" i="155"/>
  <c r="L78" i="155"/>
  <c r="L77" i="155"/>
  <c r="L76" i="155"/>
  <c r="L75" i="155"/>
  <c r="L74" i="155"/>
  <c r="L69" i="155"/>
  <c r="L68" i="155"/>
  <c r="L66" i="155"/>
  <c r="L62" i="155"/>
  <c r="L58" i="155"/>
  <c r="L53" i="155"/>
  <c r="L45" i="155"/>
  <c r="L44" i="155"/>
  <c r="L43" i="155"/>
  <c r="L41" i="155"/>
  <c r="L39" i="155"/>
  <c r="L33" i="155"/>
  <c r="L32" i="155"/>
  <c r="L30" i="155"/>
  <c r="E5" i="215"/>
  <c r="L51" i="162" l="1"/>
  <c r="L69" i="166"/>
  <c r="L53" i="162"/>
  <c r="L56" i="155"/>
  <c r="L56" i="159"/>
  <c r="L56" i="162"/>
  <c r="L57" i="165"/>
  <c r="L76" i="160"/>
  <c r="L58" i="199"/>
  <c r="L58" i="200"/>
  <c r="L58" i="202"/>
  <c r="L60" i="155"/>
  <c r="L60" i="162"/>
  <c r="L62" i="171"/>
  <c r="L45" i="160"/>
  <c r="L63" i="161"/>
  <c r="L35" i="155"/>
  <c r="L53" i="160"/>
  <c r="L71" i="161"/>
  <c r="L73" i="158"/>
  <c r="L61" i="158"/>
  <c r="L79" i="162"/>
  <c r="L63" i="158"/>
  <c r="L81" i="162"/>
  <c r="L33" i="170"/>
  <c r="L35" i="218"/>
  <c r="L19" i="159"/>
  <c r="L35" i="159"/>
  <c r="L53" i="157"/>
  <c r="L40" i="225"/>
  <c r="L43" i="218"/>
  <c r="L45" i="218"/>
  <c r="L53" i="218"/>
  <c r="L78" i="218"/>
  <c r="L24" i="161"/>
  <c r="L43" i="161"/>
  <c r="L45" i="161"/>
  <c r="L55" i="161"/>
  <c r="L73" i="161"/>
  <c r="L35" i="160"/>
  <c r="L38" i="159"/>
  <c r="L40" i="159"/>
  <c r="L42" i="159"/>
  <c r="L73" i="159"/>
  <c r="L43" i="158"/>
  <c r="L43" i="157"/>
  <c r="L45" i="157"/>
  <c r="L43" i="156"/>
  <c r="L45" i="156"/>
  <c r="L79" i="156"/>
  <c r="L81" i="156"/>
  <c r="L30" i="202"/>
  <c r="L12" i="195"/>
  <c r="L30" i="195"/>
  <c r="L48" i="155"/>
  <c r="L30" i="156"/>
  <c r="L66" i="156"/>
  <c r="L48" i="157"/>
  <c r="L48" i="159"/>
  <c r="L30" i="160"/>
  <c r="L66" i="160"/>
  <c r="L48" i="161"/>
  <c r="L30" i="218"/>
  <c r="L66" i="218"/>
  <c r="L48" i="162"/>
  <c r="L48" i="202"/>
  <c r="L48" i="226"/>
  <c r="L49" i="163"/>
  <c r="L49" i="165"/>
  <c r="L49" i="167"/>
  <c r="L31" i="168"/>
  <c r="L67" i="168"/>
  <c r="L49" i="170"/>
  <c r="L31" i="220"/>
  <c r="L67" i="220"/>
  <c r="L49" i="171"/>
  <c r="L49" i="155"/>
  <c r="L50" i="155"/>
  <c r="L32" i="156"/>
  <c r="L68" i="156"/>
  <c r="L32" i="160"/>
  <c r="L68" i="160"/>
  <c r="L50" i="161"/>
  <c r="L32" i="218"/>
  <c r="L68" i="218"/>
  <c r="L50" i="162"/>
  <c r="L50" i="199"/>
  <c r="L50" i="202"/>
  <c r="L50" i="226"/>
  <c r="L50" i="163"/>
  <c r="L52" i="163"/>
  <c r="L34" i="166"/>
  <c r="L70" i="166"/>
  <c r="L34" i="168"/>
  <c r="L70" i="168"/>
  <c r="L52" i="171"/>
  <c r="L33" i="156"/>
  <c r="L69" i="156"/>
  <c r="L33" i="158"/>
  <c r="L69" i="158"/>
  <c r="L33" i="160"/>
  <c r="L69" i="160"/>
  <c r="L51" i="161"/>
  <c r="L33" i="218"/>
  <c r="L69" i="218"/>
  <c r="L51" i="202"/>
  <c r="L51" i="226"/>
  <c r="L51" i="203"/>
  <c r="L33" i="166"/>
  <c r="L69" i="168"/>
  <c r="L51" i="170"/>
  <c r="L36" i="156"/>
  <c r="L72" i="156"/>
  <c r="L54" i="157"/>
  <c r="L36" i="158"/>
  <c r="L72" i="158"/>
  <c r="L54" i="161"/>
  <c r="L54" i="162"/>
  <c r="L54" i="198"/>
  <c r="L54" i="225"/>
  <c r="L54" i="202"/>
  <c r="L54" i="203"/>
  <c r="L53" i="163"/>
  <c r="L35" i="164"/>
  <c r="L71" i="164"/>
  <c r="L35" i="168"/>
  <c r="L71" i="168"/>
  <c r="L53" i="169"/>
  <c r="L35" i="219"/>
  <c r="L71" i="219"/>
  <c r="L53" i="170"/>
  <c r="L53" i="171"/>
  <c r="L71" i="156"/>
  <c r="L49" i="156"/>
  <c r="L31" i="161"/>
  <c r="L70" i="155"/>
  <c r="L34" i="162"/>
  <c r="L35" i="200"/>
  <c r="L35" i="202"/>
  <c r="L35" i="203"/>
  <c r="L37" i="202"/>
  <c r="L37" i="203"/>
  <c r="L38" i="225"/>
  <c r="L49" i="218"/>
  <c r="L67" i="161"/>
  <c r="L16" i="159"/>
  <c r="L52" i="159"/>
  <c r="L35" i="158"/>
  <c r="L16" i="218"/>
  <c r="L31" i="158"/>
  <c r="L49" i="158"/>
  <c r="L67" i="158"/>
  <c r="L31" i="156"/>
  <c r="L13" i="200"/>
  <c r="L52" i="169"/>
  <c r="L52" i="170"/>
  <c r="L34" i="220"/>
  <c r="L70" i="220"/>
  <c r="F7" i="215"/>
  <c r="L28" i="136" s="1"/>
  <c r="L48" i="165"/>
  <c r="L48" i="171"/>
  <c r="L67" i="156"/>
  <c r="L67" i="160"/>
  <c r="L52" i="162"/>
  <c r="L52" i="194"/>
  <c r="L71" i="160"/>
  <c r="L71" i="218"/>
  <c r="L53" i="195"/>
  <c r="L53" i="226"/>
  <c r="L53" i="203"/>
  <c r="L55" i="166"/>
  <c r="L37" i="169"/>
  <c r="L73" i="169"/>
  <c r="L55" i="160"/>
  <c r="L55" i="197"/>
  <c r="L55" i="203"/>
  <c r="L56" i="163"/>
  <c r="L56" i="165"/>
  <c r="L38" i="166"/>
  <c r="L74" i="166"/>
  <c r="L56" i="167"/>
  <c r="L38" i="168"/>
  <c r="L74" i="168"/>
  <c r="L56" i="169"/>
  <c r="L56" i="170"/>
  <c r="L56" i="171"/>
  <c r="L74" i="158"/>
  <c r="L38" i="160"/>
  <c r="L79" i="158"/>
  <c r="L79" i="160"/>
  <c r="L61" i="162"/>
  <c r="L61" i="194"/>
  <c r="L61" i="197"/>
  <c r="L61" i="199"/>
  <c r="L61" i="203"/>
  <c r="L57" i="155"/>
  <c r="L57" i="159"/>
  <c r="L75" i="160"/>
  <c r="L75" i="218"/>
  <c r="L57" i="162"/>
  <c r="L57" i="194"/>
  <c r="L57" i="196"/>
  <c r="L57" i="197"/>
  <c r="L57" i="198"/>
  <c r="L57" i="199"/>
  <c r="L57" i="200"/>
  <c r="L57" i="202"/>
  <c r="L57" i="226"/>
  <c r="L57" i="203"/>
  <c r="L75" i="166"/>
  <c r="L58" i="165"/>
  <c r="L40" i="166"/>
  <c r="L76" i="166"/>
  <c r="L58" i="167"/>
  <c r="L40" i="168"/>
  <c r="L58" i="169"/>
  <c r="L58" i="170"/>
  <c r="L40" i="220"/>
  <c r="L76" i="220"/>
  <c r="L58" i="171"/>
  <c r="L76" i="158"/>
  <c r="L40" i="160"/>
  <c r="L59" i="155"/>
  <c r="L77" i="160"/>
  <c r="L59" i="162"/>
  <c r="L59" i="194"/>
  <c r="L59" i="197"/>
  <c r="L59" i="198"/>
  <c r="L59" i="199"/>
  <c r="L59" i="200"/>
  <c r="L59" i="202"/>
  <c r="L59" i="226"/>
  <c r="L60" i="163"/>
  <c r="L42" i="166"/>
  <c r="L78" i="166"/>
  <c r="L42" i="168"/>
  <c r="L78" i="168"/>
  <c r="L60" i="170"/>
  <c r="L60" i="171"/>
  <c r="L78" i="158"/>
  <c r="L42" i="160"/>
  <c r="L60" i="199"/>
  <c r="L44" i="158"/>
  <c r="L80" i="158"/>
  <c r="L44" i="160"/>
  <c r="L62" i="161"/>
  <c r="L62" i="194"/>
  <c r="L62" i="197"/>
  <c r="L62" i="199"/>
  <c r="L62" i="200"/>
  <c r="L62" i="202"/>
  <c r="L62" i="203"/>
  <c r="F6" i="215"/>
  <c r="L28" i="135" s="1"/>
  <c r="L63" i="163"/>
  <c r="L45" i="166"/>
  <c r="L81" i="166"/>
  <c r="L45" i="168"/>
  <c r="L81" i="168"/>
  <c r="L63" i="169"/>
  <c r="L45" i="219"/>
  <c r="L81" i="219"/>
  <c r="L63" i="170"/>
  <c r="L45" i="220"/>
  <c r="L81" i="220"/>
  <c r="L63" i="171"/>
  <c r="L81" i="160"/>
  <c r="L81" i="218"/>
  <c r="L63" i="162"/>
  <c r="L63" i="194"/>
  <c r="L63" i="197"/>
  <c r="L63" i="199"/>
  <c r="L63" i="225"/>
  <c r="L63" i="203"/>
  <c r="L68" i="164"/>
  <c r="L48" i="168"/>
  <c r="L67" i="157"/>
  <c r="L49" i="157"/>
  <c r="L68" i="168"/>
  <c r="L50" i="168"/>
  <c r="L69" i="163"/>
  <c r="L33" i="163"/>
  <c r="L69" i="165"/>
  <c r="L33" i="165"/>
  <c r="L51" i="166"/>
  <c r="L69" i="220"/>
  <c r="L51" i="220"/>
  <c r="L33" i="220"/>
  <c r="L69" i="171"/>
  <c r="L33" i="171"/>
  <c r="L72" i="163"/>
  <c r="L54" i="163"/>
  <c r="L72" i="164"/>
  <c r="L54" i="164"/>
  <c r="L71" i="155"/>
  <c r="L53" i="156"/>
  <c r="L35" i="157"/>
  <c r="L17" i="157"/>
  <c r="L71" i="162"/>
  <c r="L55" i="155"/>
  <c r="L73" i="156"/>
  <c r="L55" i="156"/>
  <c r="L37" i="156"/>
  <c r="L19" i="157"/>
  <c r="L55" i="157"/>
  <c r="L37" i="157"/>
  <c r="L37" i="194"/>
  <c r="L38" i="155"/>
  <c r="L74" i="157"/>
  <c r="L74" i="159"/>
  <c r="L74" i="161"/>
  <c r="L74" i="162"/>
  <c r="L56" i="196"/>
  <c r="L38" i="196"/>
  <c r="L79" i="155"/>
  <c r="L79" i="157"/>
  <c r="L25" i="157"/>
  <c r="L57" i="163"/>
  <c r="L75" i="163"/>
  <c r="L57" i="167"/>
  <c r="L39" i="167"/>
  <c r="L57" i="219"/>
  <c r="L57" i="169"/>
  <c r="L39" i="219"/>
  <c r="L21" i="219"/>
  <c r="L75" i="170"/>
  <c r="L75" i="171"/>
  <c r="L39" i="171"/>
  <c r="L39" i="174"/>
  <c r="L57" i="174"/>
  <c r="L21" i="174"/>
  <c r="L40" i="155"/>
  <c r="L76" i="161"/>
  <c r="L76" i="162"/>
  <c r="L58" i="196"/>
  <c r="L40" i="196"/>
  <c r="L59" i="163"/>
  <c r="L77" i="163"/>
  <c r="L59" i="166"/>
  <c r="L77" i="166"/>
  <c r="L41" i="166"/>
  <c r="L59" i="167"/>
  <c r="L41" i="167"/>
  <c r="L59" i="219"/>
  <c r="L41" i="219"/>
  <c r="L23" i="219"/>
  <c r="L77" i="170"/>
  <c r="L59" i="170"/>
  <c r="L77" i="171"/>
  <c r="L59" i="171"/>
  <c r="L41" i="171"/>
  <c r="L41" i="174"/>
  <c r="L59" i="174"/>
  <c r="L23" i="174"/>
  <c r="L41" i="222"/>
  <c r="L59" i="222"/>
  <c r="L23" i="222"/>
  <c r="L42" i="155"/>
  <c r="L78" i="162"/>
  <c r="L24" i="196"/>
  <c r="L42" i="196"/>
  <c r="L80" i="163"/>
  <c r="L62" i="163"/>
  <c r="L44" i="164"/>
  <c r="L80" i="164"/>
  <c r="L62" i="164"/>
  <c r="L62" i="219"/>
  <c r="L44" i="219"/>
  <c r="L26" i="219"/>
  <c r="L80" i="170"/>
  <c r="L80" i="171"/>
  <c r="L44" i="171"/>
  <c r="L44" i="222"/>
  <c r="L62" i="222"/>
  <c r="L26" i="222"/>
  <c r="L81" i="155"/>
  <c r="L81" i="157"/>
  <c r="L27" i="157"/>
  <c r="L30" i="163"/>
  <c r="L12" i="164"/>
  <c r="L48" i="164"/>
  <c r="L30" i="164"/>
  <c r="L66" i="166"/>
  <c r="L48" i="166"/>
  <c r="L30" i="166"/>
  <c r="L12" i="166"/>
  <c r="L66" i="167"/>
  <c r="L48" i="167"/>
  <c r="L30" i="167"/>
  <c r="L66" i="168"/>
  <c r="L30" i="168"/>
  <c r="L66" i="219"/>
  <c r="L30" i="219"/>
  <c r="L48" i="169"/>
  <c r="L48" i="219"/>
  <c r="L48" i="170"/>
  <c r="L30" i="170"/>
  <c r="L66" i="220"/>
  <c r="L48" i="220"/>
  <c r="L30" i="220"/>
  <c r="L30" i="171"/>
  <c r="L30" i="176"/>
  <c r="L12" i="176"/>
  <c r="L48" i="176"/>
  <c r="L67" i="155"/>
  <c r="L67" i="159"/>
  <c r="L49" i="159"/>
  <c r="L67" i="218"/>
  <c r="L13" i="218"/>
  <c r="L67" i="162"/>
  <c r="L31" i="162"/>
  <c r="L31" i="194"/>
  <c r="L31" i="195"/>
  <c r="L13" i="195"/>
  <c r="L49" i="195"/>
  <c r="L31" i="196"/>
  <c r="L49" i="197"/>
  <c r="L13" i="197"/>
  <c r="L31" i="197"/>
  <c r="L31" i="198"/>
  <c r="L31" i="199"/>
  <c r="L49" i="200"/>
  <c r="L49" i="225"/>
  <c r="L13" i="225"/>
  <c r="L49" i="203"/>
  <c r="L31" i="203"/>
  <c r="L32" i="163"/>
  <c r="L50" i="164"/>
  <c r="L32" i="164"/>
  <c r="L50" i="165"/>
  <c r="L32" i="165"/>
  <c r="L14" i="165"/>
  <c r="L68" i="166"/>
  <c r="L50" i="166"/>
  <c r="L32" i="166"/>
  <c r="L14" i="166"/>
  <c r="L68" i="167"/>
  <c r="L50" i="167"/>
  <c r="L32" i="167"/>
  <c r="L14" i="167"/>
  <c r="L68" i="219"/>
  <c r="L32" i="219"/>
  <c r="L50" i="169"/>
  <c r="L50" i="219"/>
  <c r="L50" i="170"/>
  <c r="L32" i="170"/>
  <c r="L68" i="220"/>
  <c r="L50" i="220"/>
  <c r="L32" i="220"/>
  <c r="L32" i="171"/>
  <c r="L32" i="175"/>
  <c r="L14" i="175"/>
  <c r="L14" i="176"/>
  <c r="L50" i="176"/>
  <c r="L32" i="176"/>
  <c r="L32" i="177"/>
  <c r="L50" i="177"/>
  <c r="L52" i="155"/>
  <c r="L34" i="155"/>
  <c r="L70" i="156"/>
  <c r="L52" i="156"/>
  <c r="L34" i="156"/>
  <c r="L16" i="156"/>
  <c r="L70" i="157"/>
  <c r="L52" i="157"/>
  <c r="L34" i="157"/>
  <c r="L16" i="157"/>
  <c r="L70" i="158"/>
  <c r="L52" i="158"/>
  <c r="L34" i="158"/>
  <c r="L52" i="160"/>
  <c r="L34" i="160"/>
  <c r="L70" i="161"/>
  <c r="L52" i="161"/>
  <c r="L34" i="161"/>
  <c r="L52" i="218"/>
  <c r="L34" i="218"/>
  <c r="L52" i="195"/>
  <c r="L34" i="195"/>
  <c r="L34" i="196"/>
  <c r="L52" i="196"/>
  <c r="L31" i="155"/>
  <c r="L49" i="162"/>
  <c r="L70" i="162"/>
  <c r="L31" i="218"/>
  <c r="L49" i="161"/>
  <c r="L31" i="160"/>
  <c r="L49" i="160"/>
  <c r="L70" i="160"/>
  <c r="L31" i="159"/>
  <c r="L70" i="159"/>
  <c r="L16" i="158"/>
  <c r="L31" i="157"/>
  <c r="L48" i="163"/>
  <c r="L66" i="163"/>
  <c r="L68" i="163"/>
  <c r="L50" i="171"/>
  <c r="L66" i="171"/>
  <c r="L68" i="171"/>
  <c r="L66" i="170"/>
  <c r="L68" i="170"/>
  <c r="L30" i="169"/>
  <c r="L32" i="169"/>
  <c r="L66" i="169"/>
  <c r="L68" i="169"/>
  <c r="L32" i="168"/>
  <c r="L34" i="198"/>
  <c r="L52" i="198"/>
  <c r="L52" i="200"/>
  <c r="L34" i="225"/>
  <c r="L34" i="202"/>
  <c r="L52" i="226"/>
  <c r="L52" i="202"/>
  <c r="L34" i="226"/>
  <c r="L52" i="203"/>
  <c r="L34" i="203"/>
  <c r="L69" i="164"/>
  <c r="L51" i="164"/>
  <c r="L33" i="164"/>
  <c r="L51" i="168"/>
  <c r="L33" i="168"/>
  <c r="L69" i="169"/>
  <c r="L51" i="169"/>
  <c r="L33" i="169"/>
  <c r="L51" i="219"/>
  <c r="L15" i="219"/>
  <c r="L69" i="170"/>
  <c r="L33" i="175"/>
  <c r="L15" i="175"/>
  <c r="L51" i="177"/>
  <c r="L15" i="177"/>
  <c r="L18" i="165"/>
  <c r="L18" i="167"/>
  <c r="L36" i="165"/>
  <c r="L36" i="167"/>
  <c r="L54" i="165"/>
  <c r="L54" i="167"/>
  <c r="L72" i="166"/>
  <c r="L54" i="166"/>
  <c r="L36" i="166"/>
  <c r="L18" i="166"/>
  <c r="L72" i="167"/>
  <c r="L35" i="194"/>
  <c r="L35" i="196"/>
  <c r="L17" i="196"/>
  <c r="L53" i="196"/>
  <c r="L17" i="197"/>
  <c r="L53" i="197"/>
  <c r="L53" i="198"/>
  <c r="L35" i="198"/>
  <c r="L17" i="198"/>
  <c r="L35" i="199"/>
  <c r="L53" i="199"/>
  <c r="L35" i="225"/>
  <c r="L53" i="202"/>
  <c r="L35" i="226"/>
  <c r="L55" i="198"/>
  <c r="L19" i="198"/>
  <c r="L37" i="200"/>
  <c r="L19" i="225"/>
  <c r="L55" i="202"/>
  <c r="L55" i="226"/>
  <c r="L38" i="194"/>
  <c r="L38" i="195"/>
  <c r="L20" i="195"/>
  <c r="L38" i="197"/>
  <c r="L38" i="198"/>
  <c r="L56" i="199"/>
  <c r="L38" i="199"/>
  <c r="L56" i="200"/>
  <c r="L56" i="225"/>
  <c r="L38" i="200"/>
  <c r="L38" i="202"/>
  <c r="L56" i="202"/>
  <c r="L56" i="226"/>
  <c r="L56" i="203"/>
  <c r="L38" i="203"/>
  <c r="L25" i="195"/>
  <c r="L61" i="195"/>
  <c r="L43" i="195"/>
  <c r="L61" i="198"/>
  <c r="L43" i="198"/>
  <c r="L61" i="226"/>
  <c r="L43" i="226"/>
  <c r="L61" i="202"/>
  <c r="L43" i="202"/>
  <c r="L75" i="164"/>
  <c r="L57" i="164"/>
  <c r="L39" i="164"/>
  <c r="L21" i="164"/>
  <c r="L75" i="165"/>
  <c r="L75" i="168"/>
  <c r="L57" i="168"/>
  <c r="L58" i="194"/>
  <c r="L40" i="194"/>
  <c r="L58" i="197"/>
  <c r="L40" i="197"/>
  <c r="L22" i="225"/>
  <c r="L58" i="225"/>
  <c r="L40" i="200"/>
  <c r="L40" i="202"/>
  <c r="L58" i="203"/>
  <c r="L40" i="203"/>
  <c r="L77" i="164"/>
  <c r="L59" i="164"/>
  <c r="L41" i="164"/>
  <c r="L23" i="164"/>
  <c r="L77" i="165"/>
  <c r="L23" i="165"/>
  <c r="L77" i="168"/>
  <c r="L59" i="168"/>
  <c r="L41" i="175"/>
  <c r="L23" i="175"/>
  <c r="L60" i="194"/>
  <c r="L42" i="194"/>
  <c r="L60" i="197"/>
  <c r="L42" i="197"/>
  <c r="L60" i="200"/>
  <c r="L60" i="225"/>
  <c r="L42" i="200"/>
  <c r="L60" i="202"/>
  <c r="L42" i="202"/>
  <c r="L60" i="226"/>
  <c r="L60" i="203"/>
  <c r="L42" i="203"/>
  <c r="L62" i="165"/>
  <c r="L44" i="165"/>
  <c r="L80" i="166"/>
  <c r="L62" i="166"/>
  <c r="L44" i="166"/>
  <c r="L80" i="167"/>
  <c r="L62" i="167"/>
  <c r="L44" i="167"/>
  <c r="L26" i="167"/>
  <c r="L80" i="168"/>
  <c r="L62" i="168"/>
  <c r="L62" i="174"/>
  <c r="L44" i="174"/>
  <c r="L26" i="174"/>
  <c r="L62" i="177"/>
  <c r="L26" i="177"/>
  <c r="L27" i="195"/>
  <c r="L63" i="195"/>
  <c r="L45" i="195"/>
  <c r="L63" i="198"/>
  <c r="L45" i="198"/>
  <c r="L63" i="202"/>
  <c r="L63" i="226"/>
  <c r="L45" i="226"/>
  <c r="L45" i="202"/>
  <c r="L61" i="155"/>
  <c r="L63" i="155"/>
  <c r="L35" i="162"/>
  <c r="L38" i="162"/>
  <c r="L40" i="162"/>
  <c r="L42" i="162"/>
  <c r="L19" i="218"/>
  <c r="L25" i="218"/>
  <c r="L38" i="218"/>
  <c r="L40" i="218"/>
  <c r="L42" i="218"/>
  <c r="L55" i="218"/>
  <c r="L61" i="218"/>
  <c r="L63" i="218"/>
  <c r="L38" i="161"/>
  <c r="L40" i="161"/>
  <c r="L42" i="161"/>
  <c r="L56" i="161"/>
  <c r="L58" i="161"/>
  <c r="L60" i="161"/>
  <c r="L61" i="160"/>
  <c r="L63" i="160"/>
  <c r="L17" i="159"/>
  <c r="L22" i="159"/>
  <c r="L24" i="159"/>
  <c r="L37" i="159"/>
  <c r="L43" i="159"/>
  <c r="L45" i="159"/>
  <c r="L53" i="159"/>
  <c r="L38" i="158"/>
  <c r="L40" i="158"/>
  <c r="L42" i="158"/>
  <c r="L56" i="158"/>
  <c r="L58" i="158"/>
  <c r="L60" i="158"/>
  <c r="L22" i="157"/>
  <c r="L24" i="157"/>
  <c r="L38" i="157"/>
  <c r="L40" i="157"/>
  <c r="L42" i="157"/>
  <c r="L56" i="157"/>
  <c r="L58" i="157"/>
  <c r="L60" i="157"/>
  <c r="L20" i="156"/>
  <c r="L22" i="156"/>
  <c r="L24" i="156"/>
  <c r="L38" i="156"/>
  <c r="L40" i="156"/>
  <c r="L42" i="156"/>
  <c r="L56" i="156"/>
  <c r="L58" i="156"/>
  <c r="L60" i="156"/>
  <c r="L18" i="163"/>
  <c r="L36" i="163"/>
  <c r="L39" i="163"/>
  <c r="L41" i="163"/>
  <c r="L51" i="163"/>
  <c r="L18" i="171"/>
  <c r="L51" i="171"/>
  <c r="L39" i="220"/>
  <c r="L41" i="220"/>
  <c r="L44" i="220"/>
  <c r="L57" i="220"/>
  <c r="L59" i="220"/>
  <c r="L62" i="220"/>
  <c r="L75" i="220"/>
  <c r="L77" i="220"/>
  <c r="L80" i="220"/>
  <c r="L39" i="170"/>
  <c r="L41" i="170"/>
  <c r="L44" i="170"/>
  <c r="L57" i="170"/>
  <c r="L62" i="170"/>
  <c r="L69" i="219"/>
  <c r="L75" i="219"/>
  <c r="L77" i="219"/>
  <c r="L80" i="219"/>
  <c r="L39" i="169"/>
  <c r="L41" i="169"/>
  <c r="L44" i="169"/>
  <c r="L59" i="169"/>
  <c r="L62" i="169"/>
  <c r="L75" i="169"/>
  <c r="L77" i="169"/>
  <c r="L80" i="169"/>
  <c r="L39" i="168"/>
  <c r="L44" i="168"/>
  <c r="L15" i="167"/>
  <c r="L33" i="167"/>
  <c r="L51" i="167"/>
  <c r="L39" i="166"/>
  <c r="L57" i="166"/>
  <c r="L15" i="165"/>
  <c r="L26" i="165"/>
  <c r="L39" i="165"/>
  <c r="L41" i="165"/>
  <c r="L59" i="165"/>
  <c r="L72" i="165"/>
  <c r="L80" i="165"/>
  <c r="L18" i="164"/>
  <c r="L26" i="164"/>
  <c r="L36" i="164"/>
  <c r="L33" i="177"/>
  <c r="L44" i="177"/>
  <c r="L26" i="175"/>
  <c r="L44" i="175"/>
  <c r="L51" i="175"/>
  <c r="L59" i="175"/>
  <c r="L43" i="203"/>
  <c r="L45" i="203"/>
  <c r="L38" i="226"/>
  <c r="L40" i="226"/>
  <c r="L42" i="226"/>
  <c r="L58" i="226"/>
  <c r="L16" i="225"/>
  <c r="L43" i="199"/>
  <c r="L45" i="199"/>
  <c r="L35" i="197"/>
  <c r="L37" i="197"/>
  <c r="L60" i="196"/>
  <c r="L56" i="195"/>
  <c r="L50" i="194"/>
  <c r="L50" i="200"/>
  <c r="L52" i="199"/>
  <c r="L51" i="195"/>
  <c r="L51" i="197"/>
  <c r="L54" i="199"/>
  <c r="L53" i="200"/>
  <c r="L53" i="225"/>
  <c r="L56" i="194"/>
  <c r="L56" i="197"/>
  <c r="L56" i="198"/>
  <c r="L48" i="194"/>
  <c r="L48" i="196"/>
  <c r="L48" i="200"/>
  <c r="L30" i="196"/>
  <c r="L43" i="194"/>
  <c r="L61" i="196"/>
  <c r="L43" i="196"/>
  <c r="L25" i="196"/>
  <c r="L43" i="197"/>
  <c r="L61" i="200"/>
  <c r="L43" i="200"/>
  <c r="L58" i="195"/>
  <c r="L40" i="195"/>
  <c r="L58" i="198"/>
  <c r="L40" i="198"/>
  <c r="L40" i="199"/>
  <c r="L60" i="195"/>
  <c r="L42" i="195"/>
  <c r="L60" i="198"/>
  <c r="L42" i="198"/>
  <c r="L24" i="198"/>
  <c r="L42" i="199"/>
  <c r="L24" i="200"/>
  <c r="L24" i="225"/>
  <c r="L45" i="194"/>
  <c r="L63" i="196"/>
  <c r="L45" i="196"/>
  <c r="L27" i="196"/>
  <c r="L45" i="197"/>
  <c r="L63" i="200"/>
  <c r="L45" i="200"/>
  <c r="L30" i="197"/>
  <c r="L12" i="197"/>
  <c r="L48" i="198"/>
  <c r="L30" i="198"/>
  <c r="L48" i="199"/>
  <c r="L30" i="199"/>
  <c r="L30" i="225"/>
  <c r="L32" i="195"/>
  <c r="L50" i="196"/>
  <c r="L14" i="196"/>
  <c r="L32" i="197"/>
  <c r="L14" i="197"/>
  <c r="L32" i="199"/>
  <c r="L33" i="194"/>
  <c r="L51" i="198"/>
  <c r="L15" i="198"/>
  <c r="L33" i="200"/>
  <c r="L33" i="225"/>
  <c r="L54" i="196"/>
  <c r="L36" i="196"/>
  <c r="L54" i="197"/>
  <c r="L18" i="197"/>
  <c r="L50" i="203"/>
  <c r="L48" i="225"/>
  <c r="L48" i="203"/>
  <c r="L50" i="195"/>
  <c r="L50" i="225"/>
  <c r="L52" i="197"/>
  <c r="L51" i="194"/>
  <c r="L51" i="199"/>
  <c r="L51" i="200"/>
  <c r="L54" i="195"/>
  <c r="L53" i="194"/>
  <c r="L37" i="163"/>
  <c r="L73" i="163"/>
  <c r="L55" i="168"/>
  <c r="L37" i="170"/>
  <c r="L73" i="170"/>
  <c r="L55" i="171"/>
  <c r="L49" i="194"/>
  <c r="L49" i="196"/>
  <c r="L49" i="198"/>
  <c r="L49" i="199"/>
  <c r="L49" i="202"/>
  <c r="L34" i="194"/>
  <c r="L34" i="199"/>
  <c r="L34" i="200"/>
  <c r="L31" i="226"/>
  <c r="L49" i="226"/>
  <c r="L31" i="202"/>
  <c r="L31" i="225"/>
  <c r="L52" i="225"/>
  <c r="L16" i="198"/>
  <c r="L34" i="197"/>
  <c r="L16" i="196"/>
  <c r="L16" i="195"/>
  <c r="L73" i="155"/>
  <c r="L73" i="160"/>
  <c r="L73" i="162"/>
  <c r="L55" i="194"/>
  <c r="L55" i="199"/>
  <c r="L55" i="200"/>
  <c r="L37" i="226"/>
  <c r="L37" i="155"/>
  <c r="L37" i="162"/>
  <c r="L55" i="162"/>
  <c r="L37" i="218"/>
  <c r="L37" i="160"/>
  <c r="L37" i="225"/>
  <c r="L37" i="199"/>
  <c r="L37" i="198"/>
  <c r="L19" i="196"/>
  <c r="L37" i="196"/>
  <c r="L19" i="195"/>
  <c r="L37" i="195"/>
  <c r="L72" i="155"/>
  <c r="L72" i="159"/>
  <c r="L72" i="160"/>
  <c r="L72" i="218"/>
  <c r="L54" i="194"/>
  <c r="L54" i="200"/>
  <c r="L54" i="226"/>
  <c r="D5" i="215"/>
  <c r="F5" i="215" s="1"/>
  <c r="L28" i="134" s="1"/>
  <c r="L36" i="155"/>
  <c r="L54" i="155"/>
  <c r="L36" i="218"/>
  <c r="L54" i="218"/>
  <c r="L36" i="160"/>
  <c r="L54" i="160"/>
  <c r="L36" i="159"/>
  <c r="L54" i="159"/>
  <c r="L36" i="226"/>
  <c r="L36" i="225"/>
  <c r="L36" i="200"/>
  <c r="L36" i="194"/>
  <c r="N6" i="213" l="1"/>
  <c r="N7" i="213"/>
  <c r="N8" i="213"/>
  <c r="N9" i="213"/>
  <c r="N10" i="213"/>
  <c r="N11" i="213"/>
  <c r="N12" i="213"/>
  <c r="N13" i="213"/>
  <c r="N14" i="213"/>
  <c r="N15" i="213"/>
  <c r="N16" i="213"/>
  <c r="N17" i="213"/>
  <c r="N18" i="213"/>
  <c r="N19" i="213"/>
  <c r="N20" i="213"/>
  <c r="N21" i="213"/>
  <c r="O22" i="213"/>
  <c r="N24" i="213"/>
  <c r="N25" i="213"/>
  <c r="N26" i="213"/>
  <c r="N27" i="213"/>
  <c r="N28" i="213"/>
  <c r="N29" i="213"/>
  <c r="N30" i="213"/>
  <c r="N31" i="213"/>
  <c r="N32" i="213"/>
  <c r="N33" i="213"/>
  <c r="N34" i="213"/>
  <c r="N35" i="213"/>
  <c r="N36" i="213"/>
  <c r="N37" i="213"/>
  <c r="N38" i="213"/>
  <c r="N39" i="213"/>
  <c r="O40" i="213"/>
  <c r="N42" i="213"/>
  <c r="N43" i="213"/>
  <c r="N44" i="213"/>
  <c r="N45" i="213"/>
  <c r="N46" i="213"/>
  <c r="N47" i="213"/>
  <c r="N48" i="213"/>
  <c r="N49" i="213"/>
  <c r="N50" i="213"/>
  <c r="N51" i="213"/>
  <c r="N52" i="213"/>
  <c r="N53" i="213"/>
  <c r="N54" i="213"/>
  <c r="N55" i="213"/>
  <c r="N56" i="213"/>
  <c r="N57" i="213"/>
  <c r="O58" i="213"/>
  <c r="N60" i="213"/>
  <c r="N61" i="213"/>
  <c r="N62" i="213"/>
  <c r="N63" i="213"/>
  <c r="N64" i="213"/>
  <c r="N65" i="213"/>
  <c r="N66" i="213"/>
  <c r="N67" i="213"/>
  <c r="N68" i="213"/>
  <c r="N69" i="213"/>
  <c r="N70" i="213"/>
  <c r="N71" i="213"/>
  <c r="N72" i="213"/>
  <c r="N73" i="213"/>
  <c r="N74" i="213"/>
  <c r="N75" i="213"/>
  <c r="O76" i="213"/>
  <c r="N78" i="213"/>
  <c r="N79" i="213"/>
  <c r="N80" i="213"/>
  <c r="N81" i="213"/>
  <c r="N82" i="213"/>
  <c r="N83" i="213"/>
  <c r="N84" i="213"/>
  <c r="N85" i="213"/>
  <c r="N86" i="213"/>
  <c r="N87" i="213"/>
  <c r="N88" i="213"/>
  <c r="N89" i="213"/>
  <c r="N90" i="213"/>
  <c r="N91" i="213"/>
  <c r="N92" i="213"/>
  <c r="N93" i="213"/>
  <c r="O94" i="213"/>
  <c r="N96" i="213"/>
  <c r="N97" i="213"/>
  <c r="N98" i="213"/>
  <c r="N99" i="213"/>
  <c r="N100" i="213"/>
  <c r="N101" i="213"/>
  <c r="N102" i="213"/>
  <c r="N103" i="213"/>
  <c r="N104" i="213"/>
  <c r="N105" i="213"/>
  <c r="N106" i="213"/>
  <c r="N107" i="213"/>
  <c r="N108" i="213"/>
  <c r="N109" i="213"/>
  <c r="N110" i="213"/>
  <c r="N111" i="213"/>
  <c r="O112" i="213"/>
  <c r="N114" i="213"/>
  <c r="N115" i="213"/>
  <c r="N116" i="213"/>
  <c r="N117" i="213"/>
  <c r="N118" i="213"/>
  <c r="N119" i="213"/>
  <c r="N120" i="213"/>
  <c r="N121" i="213"/>
  <c r="N122" i="213"/>
  <c r="N123" i="213"/>
  <c r="N124" i="213"/>
  <c r="N125" i="213"/>
  <c r="N126" i="213"/>
  <c r="N127" i="213"/>
  <c r="N128" i="213"/>
  <c r="N129" i="213"/>
  <c r="O130" i="213"/>
  <c r="N132" i="213"/>
  <c r="N133" i="213"/>
  <c r="N134" i="213"/>
  <c r="N135" i="213"/>
  <c r="N136" i="213"/>
  <c r="N137" i="213"/>
  <c r="N138" i="213"/>
  <c r="N139" i="213"/>
  <c r="N140" i="213"/>
  <c r="N141" i="213"/>
  <c r="N142" i="213"/>
  <c r="N143" i="213"/>
  <c r="N144" i="213"/>
  <c r="N145" i="213"/>
  <c r="N146" i="213"/>
  <c r="N147" i="213"/>
  <c r="O148" i="213"/>
  <c r="N150" i="213"/>
  <c r="N151" i="213"/>
  <c r="N152" i="213"/>
  <c r="N153" i="213"/>
  <c r="N154" i="213"/>
  <c r="N155" i="213"/>
  <c r="N156" i="213"/>
  <c r="N157" i="213"/>
  <c r="N158" i="213"/>
  <c r="N159" i="213"/>
  <c r="N160" i="213"/>
  <c r="N161" i="213"/>
  <c r="N162" i="213"/>
  <c r="N163" i="213"/>
  <c r="N164" i="213"/>
  <c r="O166" i="213"/>
  <c r="N165" i="213"/>
  <c r="N168" i="213"/>
  <c r="N169" i="213"/>
  <c r="N170" i="213"/>
  <c r="N171" i="213"/>
  <c r="N172" i="213"/>
  <c r="N173" i="213"/>
  <c r="N174" i="213"/>
  <c r="N175" i="213"/>
  <c r="N176" i="213"/>
  <c r="N177" i="213"/>
  <c r="N178" i="213"/>
  <c r="N179" i="213"/>
  <c r="N180" i="213"/>
  <c r="O184" i="213"/>
  <c r="N181" i="213"/>
  <c r="N182" i="213"/>
  <c r="N183" i="213"/>
  <c r="N186" i="213"/>
  <c r="N187" i="213"/>
  <c r="N188" i="213"/>
  <c r="N189" i="213"/>
  <c r="N190" i="213"/>
  <c r="N191" i="213"/>
  <c r="N192" i="213"/>
  <c r="N193" i="213"/>
  <c r="N194" i="213"/>
  <c r="N195" i="213"/>
  <c r="N196" i="213"/>
  <c r="N197" i="213"/>
  <c r="N198" i="213"/>
  <c r="N199" i="213"/>
  <c r="N200" i="213"/>
  <c r="N201" i="213"/>
  <c r="O202" i="213"/>
  <c r="O204" i="213"/>
  <c r="P204" i="213"/>
  <c r="O205" i="213"/>
  <c r="P205" i="213"/>
  <c r="O206" i="213"/>
  <c r="P206" i="213"/>
  <c r="O207" i="213"/>
  <c r="P207" i="213"/>
  <c r="O208" i="213"/>
  <c r="P208" i="213"/>
  <c r="O209" i="213"/>
  <c r="P209" i="213"/>
  <c r="O210" i="213"/>
  <c r="P210" i="213"/>
  <c r="O211" i="213"/>
  <c r="P211" i="213"/>
  <c r="O212" i="213"/>
  <c r="P212" i="213"/>
  <c r="O213" i="213"/>
  <c r="P213" i="213"/>
  <c r="O214" i="213"/>
  <c r="P214" i="213"/>
  <c r="O215" i="213"/>
  <c r="P215" i="213"/>
  <c r="O216" i="213"/>
  <c r="P216" i="213"/>
  <c r="O217" i="213"/>
  <c r="P217" i="213"/>
  <c r="O218" i="213"/>
  <c r="P218" i="213"/>
  <c r="O219" i="213"/>
  <c r="P219" i="213"/>
  <c r="O220" i="213"/>
  <c r="P6" i="211"/>
  <c r="P7" i="211"/>
  <c r="P8" i="211"/>
  <c r="P9" i="211"/>
  <c r="P10" i="211"/>
  <c r="P11" i="211"/>
  <c r="P12" i="211"/>
  <c r="P13" i="211"/>
  <c r="P14" i="211"/>
  <c r="P15" i="211"/>
  <c r="P16" i="211"/>
  <c r="P17" i="211"/>
  <c r="P18" i="211"/>
  <c r="P19" i="211"/>
  <c r="P20" i="211"/>
  <c r="P21" i="211"/>
  <c r="O22" i="211"/>
  <c r="P24" i="211"/>
  <c r="P25" i="211"/>
  <c r="P26" i="211"/>
  <c r="P27" i="211"/>
  <c r="P28" i="211"/>
  <c r="P29" i="211"/>
  <c r="P30" i="211"/>
  <c r="P31" i="211"/>
  <c r="P32" i="211"/>
  <c r="P33" i="211"/>
  <c r="P34" i="211"/>
  <c r="P35" i="211"/>
  <c r="P36" i="211"/>
  <c r="N40" i="211"/>
  <c r="P38" i="211"/>
  <c r="P39" i="211"/>
  <c r="P42" i="211"/>
  <c r="P43" i="211"/>
  <c r="P44" i="211"/>
  <c r="P45" i="211"/>
  <c r="P46" i="211"/>
  <c r="P47" i="211"/>
  <c r="P48" i="211"/>
  <c r="P49" i="211"/>
  <c r="P50" i="211"/>
  <c r="P51" i="211"/>
  <c r="P52" i="211"/>
  <c r="P53" i="211"/>
  <c r="P54" i="211"/>
  <c r="P55" i="211"/>
  <c r="L61" i="148" s="1"/>
  <c r="P56" i="211"/>
  <c r="P57" i="211"/>
  <c r="O58" i="211"/>
  <c r="P60" i="211"/>
  <c r="P61" i="211"/>
  <c r="P62" i="211"/>
  <c r="P63" i="211"/>
  <c r="P64" i="211"/>
  <c r="P65" i="211"/>
  <c r="P66" i="211"/>
  <c r="P67" i="211"/>
  <c r="P68" i="211"/>
  <c r="P69" i="211"/>
  <c r="P70" i="211"/>
  <c r="P71" i="211"/>
  <c r="P72" i="211"/>
  <c r="P74" i="211"/>
  <c r="P75" i="211"/>
  <c r="N76" i="211"/>
  <c r="P78" i="211"/>
  <c r="P79" i="211"/>
  <c r="P80" i="211"/>
  <c r="P81" i="211"/>
  <c r="P82" i="211"/>
  <c r="P83" i="211"/>
  <c r="P84" i="211"/>
  <c r="P85" i="211"/>
  <c r="P86" i="211"/>
  <c r="P87" i="211"/>
  <c r="P88" i="211"/>
  <c r="P89" i="211"/>
  <c r="P90" i="211"/>
  <c r="P91" i="211"/>
  <c r="L61" i="150" s="1"/>
  <c r="P92" i="211"/>
  <c r="P93" i="211"/>
  <c r="O94" i="211"/>
  <c r="P96" i="211"/>
  <c r="P97" i="211"/>
  <c r="P98" i="211"/>
  <c r="P99" i="211"/>
  <c r="P100" i="211"/>
  <c r="P101" i="211"/>
  <c r="P102" i="211"/>
  <c r="P103" i="211"/>
  <c r="P104" i="211"/>
  <c r="P105" i="211"/>
  <c r="P106" i="211"/>
  <c r="P107" i="211"/>
  <c r="P108" i="211"/>
  <c r="N112" i="211"/>
  <c r="P110" i="211"/>
  <c r="P111" i="211"/>
  <c r="P114" i="211"/>
  <c r="P115" i="211"/>
  <c r="P116" i="211"/>
  <c r="P117" i="211"/>
  <c r="P118" i="211"/>
  <c r="P119" i="211"/>
  <c r="P120" i="211"/>
  <c r="P121" i="211"/>
  <c r="P122" i="211"/>
  <c r="P123" i="211"/>
  <c r="P124" i="211"/>
  <c r="P125" i="211"/>
  <c r="P126" i="211"/>
  <c r="P127" i="211"/>
  <c r="P128" i="211"/>
  <c r="P129" i="211"/>
  <c r="O130" i="211"/>
  <c r="P132" i="211"/>
  <c r="P133" i="211"/>
  <c r="P134" i="211"/>
  <c r="P135" i="211"/>
  <c r="P136" i="211"/>
  <c r="P137" i="211"/>
  <c r="P138" i="211"/>
  <c r="P139" i="211"/>
  <c r="P140" i="211"/>
  <c r="P141" i="211"/>
  <c r="P142" i="211"/>
  <c r="P143" i="211"/>
  <c r="P144" i="211"/>
  <c r="P146" i="211"/>
  <c r="P147" i="211"/>
  <c r="N148" i="211"/>
  <c r="P150" i="211"/>
  <c r="P151" i="211"/>
  <c r="P152" i="211"/>
  <c r="P153" i="211"/>
  <c r="P154" i="211"/>
  <c r="P155" i="211"/>
  <c r="P156" i="211"/>
  <c r="P157" i="211"/>
  <c r="P158" i="211"/>
  <c r="P159" i="211"/>
  <c r="P160" i="211"/>
  <c r="P161" i="211"/>
  <c r="P162" i="211"/>
  <c r="P163" i="211"/>
  <c r="L61" i="153" s="1"/>
  <c r="P164" i="211"/>
  <c r="P165" i="211"/>
  <c r="O166" i="211"/>
  <c r="P168" i="211"/>
  <c r="P169" i="211"/>
  <c r="P170" i="211"/>
  <c r="P171" i="211"/>
  <c r="P172" i="211"/>
  <c r="P173" i="211"/>
  <c r="P174" i="211"/>
  <c r="P175" i="211"/>
  <c r="P176" i="211"/>
  <c r="P177" i="211"/>
  <c r="P178" i="211"/>
  <c r="P179" i="211"/>
  <c r="P180" i="211"/>
  <c r="P181" i="211"/>
  <c r="P182" i="211"/>
  <c r="P183" i="211"/>
  <c r="N184" i="211"/>
  <c r="P186" i="211"/>
  <c r="P187" i="211"/>
  <c r="P188" i="211"/>
  <c r="P189" i="211"/>
  <c r="P190" i="211"/>
  <c r="P191" i="211"/>
  <c r="P192" i="211"/>
  <c r="P193" i="211"/>
  <c r="P194" i="211"/>
  <c r="P195" i="211"/>
  <c r="P196" i="211"/>
  <c r="P197" i="211"/>
  <c r="P198" i="211"/>
  <c r="P199" i="211"/>
  <c r="P200" i="211"/>
  <c r="N202" i="211"/>
  <c r="P201" i="211"/>
  <c r="O202" i="211"/>
  <c r="L81" i="150" l="1"/>
  <c r="L45" i="150"/>
  <c r="L63" i="150"/>
  <c r="L27" i="150"/>
  <c r="N219" i="213"/>
  <c r="L45" i="192"/>
  <c r="L63" i="192"/>
  <c r="L45" i="191"/>
  <c r="L63" i="224"/>
  <c r="L63" i="191"/>
  <c r="L45" i="224"/>
  <c r="L45" i="189"/>
  <c r="L63" i="189"/>
  <c r="L27" i="189"/>
  <c r="L45" i="187"/>
  <c r="L63" i="187"/>
  <c r="L27" i="187"/>
  <c r="L45" i="185"/>
  <c r="L63" i="185"/>
  <c r="L81" i="148"/>
  <c r="L45" i="148"/>
  <c r="L63" i="148"/>
  <c r="L27" i="148"/>
  <c r="L81" i="147"/>
  <c r="L45" i="147"/>
  <c r="L63" i="147"/>
  <c r="L27" i="147"/>
  <c r="L63" i="190"/>
  <c r="L45" i="190"/>
  <c r="L63" i="188"/>
  <c r="L45" i="188"/>
  <c r="L63" i="186"/>
  <c r="L27" i="186"/>
  <c r="L45" i="186"/>
  <c r="L62" i="216"/>
  <c r="L26" i="216"/>
  <c r="L80" i="216"/>
  <c r="L44" i="216"/>
  <c r="L80" i="148"/>
  <c r="L62" i="148"/>
  <c r="L44" i="148"/>
  <c r="L26" i="148"/>
  <c r="L80" i="147"/>
  <c r="L62" i="147"/>
  <c r="L44" i="147"/>
  <c r="L26" i="147"/>
  <c r="L62" i="190"/>
  <c r="L44" i="190"/>
  <c r="L62" i="188"/>
  <c r="L44" i="188"/>
  <c r="L62" i="186"/>
  <c r="L44" i="186"/>
  <c r="L26" i="186"/>
  <c r="L80" i="150"/>
  <c r="L62" i="150"/>
  <c r="L44" i="150"/>
  <c r="L26" i="150"/>
  <c r="N218" i="213"/>
  <c r="L62" i="192"/>
  <c r="L44" i="192"/>
  <c r="L62" i="191"/>
  <c r="L44" i="191"/>
  <c r="L62" i="224"/>
  <c r="L44" i="224"/>
  <c r="L26" i="224"/>
  <c r="L62" i="189"/>
  <c r="L44" i="189"/>
  <c r="L26" i="189"/>
  <c r="L62" i="187"/>
  <c r="L44" i="187"/>
  <c r="L26" i="187"/>
  <c r="L62" i="185"/>
  <c r="L44" i="185"/>
  <c r="L78" i="152"/>
  <c r="L42" i="152"/>
  <c r="L78" i="216"/>
  <c r="L42" i="216"/>
  <c r="L60" i="152"/>
  <c r="L24" i="152"/>
  <c r="L60" i="216"/>
  <c r="L24" i="216"/>
  <c r="L78" i="148"/>
  <c r="L42" i="148"/>
  <c r="L60" i="148"/>
  <c r="L24" i="148"/>
  <c r="L78" i="147"/>
  <c r="L42" i="147"/>
  <c r="L60" i="147"/>
  <c r="L24" i="147"/>
  <c r="L42" i="190"/>
  <c r="L60" i="190"/>
  <c r="L42" i="188"/>
  <c r="L60" i="188"/>
  <c r="L42" i="186"/>
  <c r="L60" i="186"/>
  <c r="L24" i="186"/>
  <c r="L78" i="150"/>
  <c r="L42" i="150"/>
  <c r="L60" i="150"/>
  <c r="L24" i="150"/>
  <c r="N216" i="213"/>
  <c r="L60" i="192"/>
  <c r="L42" i="192"/>
  <c r="L60" i="191"/>
  <c r="L24" i="191"/>
  <c r="L42" i="224"/>
  <c r="L42" i="191"/>
  <c r="L60" i="224"/>
  <c r="L24" i="224"/>
  <c r="L60" i="189"/>
  <c r="L24" i="189"/>
  <c r="L42" i="189"/>
  <c r="L60" i="187"/>
  <c r="L24" i="187"/>
  <c r="L42" i="187"/>
  <c r="L60" i="185"/>
  <c r="L42" i="185"/>
  <c r="N215" i="213"/>
  <c r="L59" i="192"/>
  <c r="L41" i="192"/>
  <c r="L59" i="191"/>
  <c r="L41" i="191"/>
  <c r="L59" i="224"/>
  <c r="L41" i="224"/>
  <c r="L23" i="224"/>
  <c r="L59" i="189"/>
  <c r="L41" i="189"/>
  <c r="L23" i="189"/>
  <c r="L59" i="187"/>
  <c r="L41" i="187"/>
  <c r="L23" i="187"/>
  <c r="L59" i="185"/>
  <c r="L41" i="185"/>
  <c r="L77" i="216"/>
  <c r="L59" i="216"/>
  <c r="L41" i="216"/>
  <c r="L23" i="216"/>
  <c r="L77" i="148"/>
  <c r="L59" i="148"/>
  <c r="L41" i="148"/>
  <c r="L23" i="148"/>
  <c r="L77" i="147"/>
  <c r="L59" i="147"/>
  <c r="L41" i="147"/>
  <c r="L23" i="147"/>
  <c r="L59" i="190"/>
  <c r="L41" i="190"/>
  <c r="L59" i="188"/>
  <c r="L41" i="188"/>
  <c r="L23" i="188"/>
  <c r="L59" i="186"/>
  <c r="L41" i="186"/>
  <c r="L23" i="186"/>
  <c r="L76" i="216"/>
  <c r="L40" i="216"/>
  <c r="L58" i="216"/>
  <c r="L22" i="216"/>
  <c r="L76" i="147"/>
  <c r="L40" i="147"/>
  <c r="L58" i="147"/>
  <c r="L22" i="147"/>
  <c r="L58" i="190"/>
  <c r="L40" i="190"/>
  <c r="L58" i="188"/>
  <c r="L40" i="188"/>
  <c r="L58" i="186"/>
  <c r="L22" i="186"/>
  <c r="L40" i="186"/>
  <c r="N214" i="213"/>
  <c r="L40" i="192"/>
  <c r="L58" i="192"/>
  <c r="L40" i="191"/>
  <c r="L58" i="224"/>
  <c r="L22" i="224"/>
  <c r="L58" i="191"/>
  <c r="L40" i="224"/>
  <c r="L40" i="189"/>
  <c r="L58" i="189"/>
  <c r="L22" i="189"/>
  <c r="L40" i="187"/>
  <c r="L58" i="187"/>
  <c r="L22" i="187"/>
  <c r="L40" i="185"/>
  <c r="L58" i="185"/>
  <c r="N213" i="213"/>
  <c r="L57" i="192"/>
  <c r="L39" i="192"/>
  <c r="L57" i="191"/>
  <c r="L39" i="191"/>
  <c r="L57" i="224"/>
  <c r="L39" i="224"/>
  <c r="L57" i="189"/>
  <c r="L39" i="189"/>
  <c r="L57" i="187"/>
  <c r="L39" i="187"/>
  <c r="L57" i="185"/>
  <c r="L39" i="185"/>
  <c r="L75" i="147"/>
  <c r="L57" i="147"/>
  <c r="L39" i="147"/>
  <c r="L21" i="147"/>
  <c r="L57" i="190"/>
  <c r="L39" i="190"/>
  <c r="L57" i="188"/>
  <c r="L39" i="188"/>
  <c r="L57" i="186"/>
  <c r="L39" i="186"/>
  <c r="L21" i="186"/>
  <c r="N217" i="213"/>
  <c r="L43" i="192"/>
  <c r="L61" i="192"/>
  <c r="L43" i="191"/>
  <c r="L61" i="224"/>
  <c r="L25" i="224"/>
  <c r="L61" i="191"/>
  <c r="L43" i="224"/>
  <c r="L43" i="189"/>
  <c r="L61" i="189"/>
  <c r="L25" i="189"/>
  <c r="L43" i="187"/>
  <c r="L61" i="187"/>
  <c r="L25" i="187"/>
  <c r="L43" i="185"/>
  <c r="L61" i="185"/>
  <c r="L61" i="190"/>
  <c r="L43" i="190"/>
  <c r="L61" i="188"/>
  <c r="L43" i="188"/>
  <c r="L61" i="186"/>
  <c r="L25" i="186"/>
  <c r="L43" i="186"/>
  <c r="L56" i="190"/>
  <c r="L38" i="190"/>
  <c r="L56" i="188"/>
  <c r="L38" i="188"/>
  <c r="L56" i="186"/>
  <c r="L38" i="186"/>
  <c r="L20" i="186"/>
  <c r="N212" i="213"/>
  <c r="L56" i="192"/>
  <c r="L38" i="192"/>
  <c r="L56" i="191"/>
  <c r="L38" i="191"/>
  <c r="L56" i="224"/>
  <c r="L38" i="224"/>
  <c r="L56" i="189"/>
  <c r="L38" i="189"/>
  <c r="L56" i="187"/>
  <c r="L38" i="187"/>
  <c r="L56" i="185"/>
  <c r="L38" i="185"/>
  <c r="L37" i="150"/>
  <c r="L73" i="150"/>
  <c r="L55" i="150"/>
  <c r="L19" i="150"/>
  <c r="N211" i="213"/>
  <c r="L37" i="192"/>
  <c r="L55" i="192"/>
  <c r="L37" i="191"/>
  <c r="L55" i="224"/>
  <c r="L19" i="224"/>
  <c r="L55" i="191"/>
  <c r="L37" i="224"/>
  <c r="L37" i="189"/>
  <c r="L55" i="189"/>
  <c r="L19" i="189"/>
  <c r="L37" i="187"/>
  <c r="L55" i="187"/>
  <c r="L19" i="187"/>
  <c r="L37" i="185"/>
  <c r="L55" i="185"/>
  <c r="L73" i="216"/>
  <c r="L37" i="216"/>
  <c r="L55" i="216"/>
  <c r="L19" i="216"/>
  <c r="L73" i="148"/>
  <c r="L55" i="148"/>
  <c r="L19" i="148"/>
  <c r="L37" i="148"/>
  <c r="L37" i="147"/>
  <c r="L73" i="147"/>
  <c r="L55" i="147"/>
  <c r="L19" i="147"/>
  <c r="L55" i="190"/>
  <c r="L37" i="190"/>
  <c r="L55" i="188"/>
  <c r="L37" i="188"/>
  <c r="L55" i="186"/>
  <c r="L19" i="186"/>
  <c r="L37" i="186"/>
  <c r="L53" i="150"/>
  <c r="L35" i="150"/>
  <c r="L17" i="150"/>
  <c r="L71" i="150"/>
  <c r="L71" i="149"/>
  <c r="L53" i="149"/>
  <c r="L35" i="149"/>
  <c r="L17" i="149"/>
  <c r="N209" i="213"/>
  <c r="L53" i="192"/>
  <c r="L35" i="192"/>
  <c r="L53" i="191"/>
  <c r="L35" i="191"/>
  <c r="L53" i="224"/>
  <c r="L35" i="224"/>
  <c r="L53" i="189"/>
  <c r="L35" i="189"/>
  <c r="L17" i="189"/>
  <c r="L53" i="187"/>
  <c r="L35" i="187"/>
  <c r="L17" i="187"/>
  <c r="L53" i="185"/>
  <c r="L35" i="185"/>
  <c r="L71" i="148"/>
  <c r="L53" i="148"/>
  <c r="L35" i="148"/>
  <c r="L17" i="148"/>
  <c r="L53" i="190"/>
  <c r="L35" i="190"/>
  <c r="L53" i="188"/>
  <c r="L35" i="188"/>
  <c r="L17" i="188"/>
  <c r="L53" i="186"/>
  <c r="L35" i="186"/>
  <c r="L54" i="190"/>
  <c r="L36" i="190"/>
  <c r="L54" i="188"/>
  <c r="L36" i="188"/>
  <c r="L54" i="186"/>
  <c r="L36" i="186"/>
  <c r="N210" i="213"/>
  <c r="L36" i="192"/>
  <c r="L54" i="192"/>
  <c r="L36" i="191"/>
  <c r="L54" i="224"/>
  <c r="L54" i="191"/>
  <c r="L36" i="224"/>
  <c r="L36" i="189"/>
  <c r="L54" i="189"/>
  <c r="L36" i="187"/>
  <c r="L54" i="187"/>
  <c r="L36" i="185"/>
  <c r="L54" i="185"/>
  <c r="L69" i="150"/>
  <c r="L51" i="150"/>
  <c r="L15" i="150"/>
  <c r="L33" i="150"/>
  <c r="N207" i="213"/>
  <c r="L51" i="192"/>
  <c r="L33" i="192"/>
  <c r="L51" i="191"/>
  <c r="L33" i="191"/>
  <c r="L51" i="224"/>
  <c r="L33" i="224"/>
  <c r="L51" i="189"/>
  <c r="L33" i="189"/>
  <c r="L15" i="189"/>
  <c r="L51" i="187"/>
  <c r="L33" i="187"/>
  <c r="L15" i="187"/>
  <c r="L51" i="185"/>
  <c r="L33" i="185"/>
  <c r="L33" i="148"/>
  <c r="L69" i="148"/>
  <c r="L51" i="148"/>
  <c r="L15" i="148"/>
  <c r="L51" i="190"/>
  <c r="L33" i="190"/>
  <c r="L51" i="188"/>
  <c r="L33" i="188"/>
  <c r="L51" i="186"/>
  <c r="L33" i="186"/>
  <c r="L70" i="216"/>
  <c r="L52" i="216"/>
  <c r="L34" i="216"/>
  <c r="L16" i="216"/>
  <c r="L52" i="148"/>
  <c r="L34" i="148"/>
  <c r="L16" i="148"/>
  <c r="L70" i="148"/>
  <c r="L70" i="147"/>
  <c r="L52" i="147"/>
  <c r="L34" i="147"/>
  <c r="L16" i="147"/>
  <c r="L52" i="190"/>
  <c r="L34" i="190"/>
  <c r="L52" i="188"/>
  <c r="L16" i="188"/>
  <c r="L34" i="188"/>
  <c r="L52" i="186"/>
  <c r="L16" i="186"/>
  <c r="L34" i="186"/>
  <c r="L70" i="150"/>
  <c r="L52" i="150"/>
  <c r="L34" i="150"/>
  <c r="L16" i="150"/>
  <c r="N208" i="213"/>
  <c r="L34" i="192"/>
  <c r="L52" i="192"/>
  <c r="L34" i="191"/>
  <c r="L52" i="224"/>
  <c r="L16" i="224"/>
  <c r="L52" i="191"/>
  <c r="L34" i="224"/>
  <c r="L34" i="189"/>
  <c r="L52" i="189"/>
  <c r="L16" i="189"/>
  <c r="L34" i="187"/>
  <c r="L52" i="187"/>
  <c r="L16" i="187"/>
  <c r="L34" i="185"/>
  <c r="L52" i="185"/>
  <c r="L32" i="148"/>
  <c r="L68" i="148"/>
  <c r="L50" i="148"/>
  <c r="L14" i="148"/>
  <c r="L50" i="190"/>
  <c r="L32" i="190"/>
  <c r="L50" i="188"/>
  <c r="L32" i="188"/>
  <c r="L14" i="188"/>
  <c r="L50" i="186"/>
  <c r="L32" i="186"/>
  <c r="L68" i="150"/>
  <c r="L50" i="150"/>
  <c r="L14" i="150"/>
  <c r="L32" i="150"/>
  <c r="L68" i="149"/>
  <c r="L32" i="149"/>
  <c r="L50" i="149"/>
  <c r="L14" i="149"/>
  <c r="N206" i="213"/>
  <c r="L50" i="192"/>
  <c r="L32" i="192"/>
  <c r="L50" i="191"/>
  <c r="L32" i="191"/>
  <c r="L50" i="224"/>
  <c r="L32" i="224"/>
  <c r="L50" i="189"/>
  <c r="L32" i="189"/>
  <c r="L14" i="189"/>
  <c r="L50" i="187"/>
  <c r="L32" i="187"/>
  <c r="L14" i="187"/>
  <c r="L50" i="185"/>
  <c r="L32" i="185"/>
  <c r="L67" i="149"/>
  <c r="L49" i="149"/>
  <c r="L31" i="149"/>
  <c r="L13" i="149"/>
  <c r="N205" i="213"/>
  <c r="L31" i="192"/>
  <c r="L49" i="192"/>
  <c r="L31" i="191"/>
  <c r="L49" i="224"/>
  <c r="L13" i="224"/>
  <c r="L49" i="191"/>
  <c r="L31" i="224"/>
  <c r="L31" i="189"/>
  <c r="L49" i="189"/>
  <c r="L31" i="187"/>
  <c r="L49" i="187"/>
  <c r="L31" i="185"/>
  <c r="L49" i="185"/>
  <c r="L67" i="216"/>
  <c r="L49" i="216"/>
  <c r="L31" i="216"/>
  <c r="L13" i="216"/>
  <c r="L49" i="190"/>
  <c r="L31" i="190"/>
  <c r="L49" i="188"/>
  <c r="L13" i="188"/>
  <c r="L31" i="188"/>
  <c r="L49" i="186"/>
  <c r="L31" i="186"/>
  <c r="L30" i="190"/>
  <c r="L48" i="190"/>
  <c r="L30" i="188"/>
  <c r="L48" i="188"/>
  <c r="L12" i="188"/>
  <c r="L30" i="186"/>
  <c r="L48" i="186"/>
  <c r="L66" i="149"/>
  <c r="L48" i="149"/>
  <c r="L30" i="149"/>
  <c r="L12" i="149"/>
  <c r="L48" i="192"/>
  <c r="L30" i="192"/>
  <c r="L48" i="191"/>
  <c r="L30" i="224"/>
  <c r="L30" i="191"/>
  <c r="L48" i="224"/>
  <c r="L48" i="189"/>
  <c r="L30" i="189"/>
  <c r="L48" i="187"/>
  <c r="L30" i="187"/>
  <c r="L48" i="185"/>
  <c r="L30" i="185"/>
  <c r="P202" i="211"/>
  <c r="N202" i="213"/>
  <c r="N204" i="213"/>
  <c r="N184" i="213"/>
  <c r="P184" i="213" s="1"/>
  <c r="N166" i="213"/>
  <c r="P166" i="213" s="1"/>
  <c r="N130" i="213"/>
  <c r="N94" i="213"/>
  <c r="N58" i="213"/>
  <c r="N22" i="213"/>
  <c r="N148" i="213"/>
  <c r="P148" i="213" s="1"/>
  <c r="N112" i="213"/>
  <c r="N76" i="213"/>
  <c r="N40" i="213"/>
  <c r="O184" i="211"/>
  <c r="P184" i="211" s="1"/>
  <c r="N130" i="211"/>
  <c r="P109" i="211"/>
  <c r="O112" i="211"/>
  <c r="N58" i="211"/>
  <c r="P37" i="211"/>
  <c r="L61" i="147" s="1"/>
  <c r="O40" i="211"/>
  <c r="N166" i="211"/>
  <c r="P166" i="211" s="1"/>
  <c r="P145" i="211"/>
  <c r="O148" i="211"/>
  <c r="P148" i="211" s="1"/>
  <c r="N94" i="211"/>
  <c r="P73" i="211"/>
  <c r="O76" i="211"/>
  <c r="N22" i="211"/>
  <c r="G64" i="185"/>
  <c r="G26" i="185"/>
  <c r="Q8" i="209" s="1"/>
  <c r="G24" i="185"/>
  <c r="O8" i="209" s="1"/>
  <c r="G22" i="185"/>
  <c r="M8" i="209" s="1"/>
  <c r="G20" i="185"/>
  <c r="K8" i="209" s="1"/>
  <c r="G18" i="185"/>
  <c r="I8" i="209" s="1"/>
  <c r="G16" i="185"/>
  <c r="G8" i="209" s="1"/>
  <c r="G14" i="185"/>
  <c r="E8" i="209" s="1"/>
  <c r="G26" i="186"/>
  <c r="G24" i="186"/>
  <c r="G22" i="186"/>
  <c r="G20" i="186"/>
  <c r="G16" i="186"/>
  <c r="G26" i="188"/>
  <c r="Q17" i="209" s="1"/>
  <c r="G24" i="188"/>
  <c r="O17" i="209" s="1"/>
  <c r="G22" i="188"/>
  <c r="M17" i="209" s="1"/>
  <c r="G20" i="188"/>
  <c r="K17" i="209" s="1"/>
  <c r="G18" i="188"/>
  <c r="I17" i="209" s="1"/>
  <c r="G16" i="188"/>
  <c r="G17" i="209" s="1"/>
  <c r="G14" i="188"/>
  <c r="G12" i="188"/>
  <c r="G64" i="189"/>
  <c r="G26" i="189"/>
  <c r="Q20" i="209" s="1"/>
  <c r="G24" i="189"/>
  <c r="G22" i="189"/>
  <c r="M20" i="209" s="1"/>
  <c r="G20" i="189"/>
  <c r="K20" i="209" s="1"/>
  <c r="G18" i="189"/>
  <c r="I20" i="209" s="1"/>
  <c r="G16" i="189"/>
  <c r="G20" i="209" s="1"/>
  <c r="G14" i="189"/>
  <c r="E20" i="209" s="1"/>
  <c r="G64" i="191"/>
  <c r="G46" i="191"/>
  <c r="G26" i="224"/>
  <c r="G24" i="224"/>
  <c r="G22" i="224"/>
  <c r="G20" i="224"/>
  <c r="L20" i="224" s="1"/>
  <c r="G18" i="224"/>
  <c r="L18" i="224" s="1"/>
  <c r="G16" i="224"/>
  <c r="G14" i="224"/>
  <c r="L14" i="224" s="1"/>
  <c r="G46" i="224"/>
  <c r="G46" i="192"/>
  <c r="G26" i="194"/>
  <c r="G24" i="194"/>
  <c r="G22" i="194"/>
  <c r="G18" i="194"/>
  <c r="G16" i="194"/>
  <c r="G14" i="194"/>
  <c r="G64" i="195"/>
  <c r="L64" i="195" s="1"/>
  <c r="G26" i="195"/>
  <c r="G24" i="195"/>
  <c r="G22" i="195"/>
  <c r="G20" i="195"/>
  <c r="G18" i="195"/>
  <c r="G16" i="195"/>
  <c r="G14" i="195"/>
  <c r="G46" i="195"/>
  <c r="L46" i="195" s="1"/>
  <c r="G26" i="196"/>
  <c r="Q15" i="209" s="1"/>
  <c r="G24" i="196"/>
  <c r="G22" i="196"/>
  <c r="G20" i="196"/>
  <c r="G18" i="196"/>
  <c r="G16" i="196"/>
  <c r="G15" i="209" s="1"/>
  <c r="G14" i="196"/>
  <c r="E15" i="209" s="1"/>
  <c r="G64" i="197"/>
  <c r="L64" i="197" s="1"/>
  <c r="G26" i="197"/>
  <c r="L26" i="197" s="1"/>
  <c r="G24" i="197"/>
  <c r="G22" i="197"/>
  <c r="G20" i="197"/>
  <c r="G18" i="197"/>
  <c r="I18" i="209" s="1"/>
  <c r="G16" i="197"/>
  <c r="G14" i="197"/>
  <c r="G26" i="198"/>
  <c r="Q21" i="209" s="1"/>
  <c r="G24" i="198"/>
  <c r="G22" i="198"/>
  <c r="G20" i="198"/>
  <c r="G18" i="198"/>
  <c r="G16" i="198"/>
  <c r="G21" i="209" s="1"/>
  <c r="G14" i="198"/>
  <c r="E21" i="209" s="1"/>
  <c r="G46" i="198"/>
  <c r="L46" i="198" s="1"/>
  <c r="G64" i="199"/>
  <c r="L64" i="199" s="1"/>
  <c r="G26" i="199"/>
  <c r="G24" i="199"/>
  <c r="G22" i="199"/>
  <c r="G20" i="199"/>
  <c r="G18" i="199"/>
  <c r="G16" i="199"/>
  <c r="G14" i="199"/>
  <c r="G26" i="200"/>
  <c r="G24" i="200"/>
  <c r="G22" i="200"/>
  <c r="G20" i="200"/>
  <c r="G18" i="200"/>
  <c r="G16" i="200"/>
  <c r="G14" i="200"/>
  <c r="G26" i="225"/>
  <c r="G24" i="225"/>
  <c r="G22" i="225"/>
  <c r="G20" i="225"/>
  <c r="L20" i="225" s="1"/>
  <c r="G18" i="225"/>
  <c r="L18" i="225" s="1"/>
  <c r="G16" i="225"/>
  <c r="G14" i="225"/>
  <c r="L14" i="225" s="1"/>
  <c r="G44" i="180"/>
  <c r="L44" i="180" s="1"/>
  <c r="G42" i="180"/>
  <c r="L42" i="180" s="1"/>
  <c r="G40" i="180"/>
  <c r="L40" i="180" s="1"/>
  <c r="G38" i="180"/>
  <c r="G36" i="180"/>
  <c r="G34" i="180"/>
  <c r="L34" i="180" s="1"/>
  <c r="G32" i="180"/>
  <c r="L32" i="180" s="1"/>
  <c r="G12" i="202"/>
  <c r="G44" i="223"/>
  <c r="L44" i="223" s="1"/>
  <c r="G42" i="223"/>
  <c r="L42" i="223" s="1"/>
  <c r="G40" i="223"/>
  <c r="L40" i="223" s="1"/>
  <c r="G38" i="223"/>
  <c r="L38" i="223" s="1"/>
  <c r="G36" i="223"/>
  <c r="L36" i="223" s="1"/>
  <c r="G34" i="223"/>
  <c r="L34" i="223" s="1"/>
  <c r="G32" i="223"/>
  <c r="L32" i="223" s="1"/>
  <c r="G30" i="223"/>
  <c r="L30" i="223" s="1"/>
  <c r="G50" i="181"/>
  <c r="L50" i="181" s="1"/>
  <c r="G26" i="203"/>
  <c r="G24" i="203"/>
  <c r="G22" i="203"/>
  <c r="G20" i="203"/>
  <c r="G18" i="203"/>
  <c r="G16" i="203"/>
  <c r="G14" i="203"/>
  <c r="G51" i="205"/>
  <c r="G59" i="205"/>
  <c r="G13" i="192"/>
  <c r="D32" i="209" s="1"/>
  <c r="G15" i="192"/>
  <c r="F32" i="209" s="1"/>
  <c r="G17" i="192"/>
  <c r="H32" i="209" s="1"/>
  <c r="G19" i="192"/>
  <c r="J32" i="209" s="1"/>
  <c r="G21" i="192"/>
  <c r="L32" i="209" s="1"/>
  <c r="G23" i="192"/>
  <c r="N32" i="209" s="1"/>
  <c r="G25" i="192"/>
  <c r="P32" i="209" s="1"/>
  <c r="G27" i="192"/>
  <c r="R32" i="209" s="1"/>
  <c r="G64" i="225"/>
  <c r="L64" i="225" s="1"/>
  <c r="G51" i="180"/>
  <c r="L51" i="180" s="1"/>
  <c r="G53" i="180"/>
  <c r="L53" i="180" s="1"/>
  <c r="G55" i="180"/>
  <c r="L55" i="180" s="1"/>
  <c r="G57" i="180"/>
  <c r="L57" i="180" s="1"/>
  <c r="G59" i="180"/>
  <c r="L59" i="180" s="1"/>
  <c r="G61" i="180"/>
  <c r="G63" i="180"/>
  <c r="L63" i="180" s="1"/>
  <c r="G49" i="223"/>
  <c r="G51" i="223"/>
  <c r="L51" i="223" s="1"/>
  <c r="G53" i="223"/>
  <c r="G55" i="223"/>
  <c r="L55" i="223" s="1"/>
  <c r="G57" i="223"/>
  <c r="G59" i="223"/>
  <c r="L59" i="223" s="1"/>
  <c r="G61" i="223"/>
  <c r="L61" i="223" s="1"/>
  <c r="G63" i="223"/>
  <c r="L63" i="223" s="1"/>
  <c r="G31" i="205"/>
  <c r="G33" i="205"/>
  <c r="G35" i="205"/>
  <c r="G37" i="205"/>
  <c r="G39" i="205"/>
  <c r="G41" i="205"/>
  <c r="G43" i="205"/>
  <c r="G45" i="205"/>
  <c r="G46" i="187"/>
  <c r="G31" i="181"/>
  <c r="L31" i="181" s="1"/>
  <c r="G33" i="181"/>
  <c r="L33" i="181" s="1"/>
  <c r="G35" i="181"/>
  <c r="L35" i="181" s="1"/>
  <c r="G37" i="181"/>
  <c r="L37" i="181" s="1"/>
  <c r="G39" i="181"/>
  <c r="L39" i="181" s="1"/>
  <c r="G41" i="181"/>
  <c r="L41" i="181" s="1"/>
  <c r="G43" i="181"/>
  <c r="G45" i="181"/>
  <c r="L45" i="181" s="1"/>
  <c r="G31" i="206"/>
  <c r="L31" i="206" s="1"/>
  <c r="G33" i="206"/>
  <c r="L33" i="206" s="1"/>
  <c r="G35" i="206"/>
  <c r="L35" i="206" s="1"/>
  <c r="G37" i="206"/>
  <c r="L37" i="206" s="1"/>
  <c r="G39" i="206"/>
  <c r="L39" i="206" s="1"/>
  <c r="G41" i="206"/>
  <c r="L41" i="206" s="1"/>
  <c r="G43" i="206"/>
  <c r="L43" i="206" s="1"/>
  <c r="G45" i="206"/>
  <c r="L45" i="206" s="1"/>
  <c r="G31" i="180"/>
  <c r="L31" i="180" s="1"/>
  <c r="G33" i="180"/>
  <c r="L33" i="180" s="1"/>
  <c r="G35" i="180"/>
  <c r="L35" i="180" s="1"/>
  <c r="G37" i="180"/>
  <c r="L37" i="180" s="1"/>
  <c r="G39" i="180"/>
  <c r="L39" i="180" s="1"/>
  <c r="G41" i="180"/>
  <c r="L41" i="180" s="1"/>
  <c r="G43" i="180"/>
  <c r="G45" i="180"/>
  <c r="L45" i="180" s="1"/>
  <c r="G31" i="223"/>
  <c r="L31" i="223" s="1"/>
  <c r="G33" i="223"/>
  <c r="G35" i="223"/>
  <c r="L35" i="223" s="1"/>
  <c r="G37" i="223"/>
  <c r="G39" i="223"/>
  <c r="L39" i="223" s="1"/>
  <c r="G41" i="223"/>
  <c r="G43" i="223"/>
  <c r="L43" i="223" s="1"/>
  <c r="G45" i="223"/>
  <c r="L45" i="223" s="1"/>
  <c r="G13" i="185"/>
  <c r="D8" i="209" s="1"/>
  <c r="G15" i="185"/>
  <c r="F8" i="209" s="1"/>
  <c r="G17" i="185"/>
  <c r="H8" i="209" s="1"/>
  <c r="G19" i="185"/>
  <c r="J8" i="209" s="1"/>
  <c r="G21" i="185"/>
  <c r="L8" i="209" s="1"/>
  <c r="G23" i="185"/>
  <c r="N8" i="209" s="1"/>
  <c r="G25" i="185"/>
  <c r="P8" i="209" s="1"/>
  <c r="G27" i="185"/>
  <c r="R8" i="209" s="1"/>
  <c r="G13" i="186"/>
  <c r="D11" i="209" s="1"/>
  <c r="G15" i="186"/>
  <c r="F11" i="209" s="1"/>
  <c r="G17" i="186"/>
  <c r="H11" i="209" s="1"/>
  <c r="G19" i="186"/>
  <c r="G21" i="186"/>
  <c r="G23" i="186"/>
  <c r="G25" i="186"/>
  <c r="G27" i="186"/>
  <c r="G13" i="187"/>
  <c r="D14" i="209" s="1"/>
  <c r="G15" i="187"/>
  <c r="G17" i="187"/>
  <c r="H14" i="209" s="1"/>
  <c r="G19" i="187"/>
  <c r="J14" i="209" s="1"/>
  <c r="G21" i="187"/>
  <c r="L14" i="209" s="1"/>
  <c r="G23" i="187"/>
  <c r="N14" i="209" s="1"/>
  <c r="G25" i="187"/>
  <c r="G27" i="187"/>
  <c r="G13" i="189"/>
  <c r="D20" i="209" s="1"/>
  <c r="G15" i="189"/>
  <c r="F20" i="209" s="1"/>
  <c r="G17" i="189"/>
  <c r="H20" i="209" s="1"/>
  <c r="G19" i="189"/>
  <c r="J20" i="209" s="1"/>
  <c r="G21" i="189"/>
  <c r="L20" i="209" s="1"/>
  <c r="G23" i="189"/>
  <c r="N20" i="209" s="1"/>
  <c r="G25" i="189"/>
  <c r="G27" i="189"/>
  <c r="G12" i="190"/>
  <c r="C23" i="209" s="1"/>
  <c r="G13" i="190"/>
  <c r="D23" i="209" s="1"/>
  <c r="G14" i="190"/>
  <c r="E23" i="209" s="1"/>
  <c r="G15" i="190"/>
  <c r="F23" i="209" s="1"/>
  <c r="G16" i="190"/>
  <c r="G23" i="209" s="1"/>
  <c r="G17" i="190"/>
  <c r="H23" i="209" s="1"/>
  <c r="G18" i="190"/>
  <c r="I23" i="209" s="1"/>
  <c r="G19" i="190"/>
  <c r="J23" i="209" s="1"/>
  <c r="G20" i="190"/>
  <c r="K23" i="209" s="1"/>
  <c r="G21" i="190"/>
  <c r="L23" i="209" s="1"/>
  <c r="G22" i="190"/>
  <c r="M23" i="209" s="1"/>
  <c r="G23" i="190"/>
  <c r="N23" i="209" s="1"/>
  <c r="G24" i="190"/>
  <c r="O23" i="209" s="1"/>
  <c r="G25" i="190"/>
  <c r="P23" i="209" s="1"/>
  <c r="G26" i="190"/>
  <c r="Q23" i="209" s="1"/>
  <c r="G27" i="190"/>
  <c r="R23" i="209" s="1"/>
  <c r="G13" i="191"/>
  <c r="D26" i="209" s="1"/>
  <c r="G15" i="191"/>
  <c r="F26" i="209" s="1"/>
  <c r="G17" i="191"/>
  <c r="H26" i="209" s="1"/>
  <c r="G19" i="191"/>
  <c r="J26" i="209" s="1"/>
  <c r="G21" i="191"/>
  <c r="L26" i="209" s="1"/>
  <c r="G23" i="191"/>
  <c r="N26" i="209" s="1"/>
  <c r="G25" i="191"/>
  <c r="P26" i="209" s="1"/>
  <c r="G27" i="191"/>
  <c r="R26" i="209" s="1"/>
  <c r="G12" i="224"/>
  <c r="L12" i="224" s="1"/>
  <c r="G12" i="194"/>
  <c r="G13" i="195"/>
  <c r="D12" i="209" s="1"/>
  <c r="G15" i="195"/>
  <c r="G17" i="195"/>
  <c r="G19" i="195"/>
  <c r="G21" i="195"/>
  <c r="G23" i="195"/>
  <c r="G25" i="195"/>
  <c r="G27" i="195"/>
  <c r="G13" i="196"/>
  <c r="G15" i="196"/>
  <c r="G17" i="196"/>
  <c r="H15" i="209" s="1"/>
  <c r="G19" i="196"/>
  <c r="J15" i="209" s="1"/>
  <c r="G21" i="196"/>
  <c r="G23" i="196"/>
  <c r="N15" i="209" s="1"/>
  <c r="G25" i="196"/>
  <c r="G27" i="196"/>
  <c r="G13" i="197"/>
  <c r="G15" i="197"/>
  <c r="G17" i="197"/>
  <c r="H18" i="209" s="1"/>
  <c r="G19" i="197"/>
  <c r="G21" i="197"/>
  <c r="G23" i="197"/>
  <c r="G25" i="197"/>
  <c r="G27" i="197"/>
  <c r="G13" i="198"/>
  <c r="G15" i="198"/>
  <c r="F21" i="209" s="1"/>
  <c r="G17" i="198"/>
  <c r="H21" i="209" s="1"/>
  <c r="G19" i="198"/>
  <c r="J21" i="209" s="1"/>
  <c r="G21" i="198"/>
  <c r="G23" i="198"/>
  <c r="G25" i="198"/>
  <c r="G27" i="198"/>
  <c r="G13" i="199"/>
  <c r="G15" i="199"/>
  <c r="G17" i="199"/>
  <c r="G19" i="199"/>
  <c r="G21" i="199"/>
  <c r="G23" i="199"/>
  <c r="G25" i="199"/>
  <c r="G27" i="199"/>
  <c r="G13" i="200"/>
  <c r="D27" i="209" s="1"/>
  <c r="G15" i="200"/>
  <c r="G17" i="200"/>
  <c r="G19" i="200"/>
  <c r="G21" i="200"/>
  <c r="G23" i="200"/>
  <c r="G25" i="200"/>
  <c r="G27" i="200"/>
  <c r="G13" i="225"/>
  <c r="G15" i="225"/>
  <c r="G17" i="225"/>
  <c r="L17" i="225" s="1"/>
  <c r="G19" i="225"/>
  <c r="G21" i="225"/>
  <c r="G23" i="225"/>
  <c r="G25" i="225"/>
  <c r="G27" i="225"/>
  <c r="L27" i="225" s="1"/>
  <c r="G13" i="202"/>
  <c r="G15" i="202"/>
  <c r="G17" i="202"/>
  <c r="G19" i="202"/>
  <c r="G21" i="202"/>
  <c r="G23" i="202"/>
  <c r="G25" i="202"/>
  <c r="G27" i="202"/>
  <c r="G13" i="226"/>
  <c r="L13" i="226" s="1"/>
  <c r="G15" i="226"/>
  <c r="L15" i="226" s="1"/>
  <c r="G17" i="226"/>
  <c r="L17" i="226" s="1"/>
  <c r="G19" i="226"/>
  <c r="L19" i="226" s="1"/>
  <c r="G21" i="226"/>
  <c r="L21" i="226" s="1"/>
  <c r="G23" i="226"/>
  <c r="L23" i="226" s="1"/>
  <c r="G25" i="226"/>
  <c r="L25" i="226" s="1"/>
  <c r="G27" i="226"/>
  <c r="L27" i="226" s="1"/>
  <c r="G13" i="203"/>
  <c r="G15" i="203"/>
  <c r="G17" i="203"/>
  <c r="G19" i="203"/>
  <c r="G21" i="203"/>
  <c r="G23" i="203"/>
  <c r="G25" i="203"/>
  <c r="G27" i="203"/>
  <c r="K27" i="209" l="1"/>
  <c r="L20" i="200"/>
  <c r="K21" i="209"/>
  <c r="L20" i="198"/>
  <c r="L20" i="185"/>
  <c r="L20" i="189"/>
  <c r="L20" i="188"/>
  <c r="K33" i="209"/>
  <c r="L20" i="203"/>
  <c r="K24" i="209"/>
  <c r="L20" i="199"/>
  <c r="K18" i="209"/>
  <c r="L20" i="197"/>
  <c r="K15" i="209"/>
  <c r="L20" i="196"/>
  <c r="L20" i="190"/>
  <c r="L25" i="192"/>
  <c r="P33" i="209"/>
  <c r="L25" i="203"/>
  <c r="P30" i="209"/>
  <c r="L25" i="202"/>
  <c r="P27" i="209"/>
  <c r="L25" i="200"/>
  <c r="P24" i="209"/>
  <c r="L25" i="199"/>
  <c r="P18" i="209"/>
  <c r="L25" i="197"/>
  <c r="L25" i="190"/>
  <c r="L25" i="185"/>
  <c r="L25" i="191"/>
  <c r="L17" i="190"/>
  <c r="L19" i="185"/>
  <c r="L19" i="191"/>
  <c r="J33" i="209"/>
  <c r="L19" i="203"/>
  <c r="J30" i="209"/>
  <c r="L19" i="202"/>
  <c r="J27" i="209"/>
  <c r="L19" i="200"/>
  <c r="J24" i="209"/>
  <c r="L19" i="199"/>
  <c r="J18" i="209"/>
  <c r="L19" i="197"/>
  <c r="G19" i="223"/>
  <c r="L19" i="223" s="1"/>
  <c r="L37" i="223"/>
  <c r="L19" i="190"/>
  <c r="L19" i="192"/>
  <c r="L27" i="203"/>
  <c r="R33" i="209"/>
  <c r="L27" i="199"/>
  <c r="R24" i="209"/>
  <c r="R18" i="209"/>
  <c r="L27" i="197"/>
  <c r="G27" i="223"/>
  <c r="L27" i="223" s="1"/>
  <c r="L27" i="185"/>
  <c r="L27" i="191"/>
  <c r="L45" i="205"/>
  <c r="R30" i="209"/>
  <c r="L27" i="202"/>
  <c r="R27" i="209"/>
  <c r="L27" i="200"/>
  <c r="L27" i="190"/>
  <c r="L27" i="192"/>
  <c r="Q27" i="209"/>
  <c r="L26" i="200"/>
  <c r="Q9" i="209"/>
  <c r="L26" i="194"/>
  <c r="L26" i="185"/>
  <c r="L26" i="190"/>
  <c r="Q33" i="209"/>
  <c r="L26" i="203"/>
  <c r="Q24" i="209"/>
  <c r="L26" i="199"/>
  <c r="L26" i="188"/>
  <c r="L24" i="203"/>
  <c r="O33" i="209"/>
  <c r="L24" i="190"/>
  <c r="O24" i="209"/>
  <c r="L24" i="199"/>
  <c r="L24" i="197"/>
  <c r="O18" i="209"/>
  <c r="O9" i="209"/>
  <c r="L24" i="194"/>
  <c r="L24" i="185"/>
  <c r="L24" i="188"/>
  <c r="L23" i="203"/>
  <c r="N33" i="209"/>
  <c r="L23" i="202"/>
  <c r="N30" i="209"/>
  <c r="N24" i="209"/>
  <c r="L23" i="199"/>
  <c r="L23" i="197"/>
  <c r="N18" i="209"/>
  <c r="G23" i="223"/>
  <c r="L23" i="223" s="1"/>
  <c r="L41" i="223"/>
  <c r="L23" i="190"/>
  <c r="L23" i="185"/>
  <c r="L23" i="191"/>
  <c r="L59" i="205"/>
  <c r="L41" i="205"/>
  <c r="L23" i="200"/>
  <c r="N27" i="209"/>
  <c r="N21" i="209"/>
  <c r="L23" i="198"/>
  <c r="L23" i="192"/>
  <c r="M33" i="209"/>
  <c r="L22" i="203"/>
  <c r="M24" i="209"/>
  <c r="L22" i="199"/>
  <c r="M18" i="209"/>
  <c r="L22" i="197"/>
  <c r="M15" i="209"/>
  <c r="L22" i="196"/>
  <c r="L22" i="185"/>
  <c r="L22" i="188"/>
  <c r="M27" i="209"/>
  <c r="L22" i="200"/>
  <c r="L22" i="198"/>
  <c r="M21" i="209"/>
  <c r="M9" i="209"/>
  <c r="L22" i="194"/>
  <c r="L22" i="190"/>
  <c r="L21" i="199"/>
  <c r="L24" i="209"/>
  <c r="L21" i="190"/>
  <c r="L21" i="185"/>
  <c r="L21" i="189"/>
  <c r="L21" i="191"/>
  <c r="L39" i="205"/>
  <c r="L33" i="209"/>
  <c r="L21" i="203"/>
  <c r="L30" i="209"/>
  <c r="L21" i="202"/>
  <c r="L27" i="209"/>
  <c r="L21" i="200"/>
  <c r="L21" i="209"/>
  <c r="L21" i="198"/>
  <c r="L18" i="209"/>
  <c r="L21" i="197"/>
  <c r="L15" i="209"/>
  <c r="L21" i="196"/>
  <c r="G21" i="223"/>
  <c r="L21" i="223" s="1"/>
  <c r="L57" i="223"/>
  <c r="L21" i="187"/>
  <c r="L21" i="192"/>
  <c r="L43" i="205"/>
  <c r="G25" i="223"/>
  <c r="L25" i="223" s="1"/>
  <c r="L37" i="205"/>
  <c r="H33" i="209"/>
  <c r="L17" i="203"/>
  <c r="H30" i="209"/>
  <c r="L17" i="202"/>
  <c r="H27" i="209"/>
  <c r="L17" i="200"/>
  <c r="L17" i="199"/>
  <c r="H24" i="209"/>
  <c r="H12" i="209"/>
  <c r="L17" i="195"/>
  <c r="L17" i="186"/>
  <c r="L17" i="185"/>
  <c r="L17" i="191"/>
  <c r="L35" i="205"/>
  <c r="G17" i="223"/>
  <c r="L17" i="223" s="1"/>
  <c r="L53" i="223"/>
  <c r="L17" i="192"/>
  <c r="L18" i="203"/>
  <c r="I33" i="209"/>
  <c r="I24" i="209"/>
  <c r="L18" i="199"/>
  <c r="I15" i="209"/>
  <c r="L18" i="196"/>
  <c r="I12" i="209"/>
  <c r="L18" i="195"/>
  <c r="I9" i="209"/>
  <c r="L18" i="194"/>
  <c r="L18" i="185"/>
  <c r="L18" i="189"/>
  <c r="L18" i="190"/>
  <c r="I27" i="209"/>
  <c r="L18" i="200"/>
  <c r="I21" i="209"/>
  <c r="L18" i="198"/>
  <c r="L18" i="188"/>
  <c r="F27" i="209"/>
  <c r="L15" i="200"/>
  <c r="F24" i="209"/>
  <c r="L15" i="199"/>
  <c r="F18" i="209"/>
  <c r="L15" i="197"/>
  <c r="F12" i="209"/>
  <c r="L15" i="195"/>
  <c r="G15" i="223"/>
  <c r="L15" i="223" s="1"/>
  <c r="L33" i="223"/>
  <c r="L15" i="186"/>
  <c r="L15" i="190"/>
  <c r="L15" i="185"/>
  <c r="L15" i="191"/>
  <c r="L51" i="205"/>
  <c r="L33" i="205"/>
  <c r="F33" i="209"/>
  <c r="L15" i="203"/>
  <c r="F30" i="209"/>
  <c r="L15" i="202"/>
  <c r="L15" i="192"/>
  <c r="L16" i="200"/>
  <c r="G27" i="209"/>
  <c r="G24" i="209"/>
  <c r="L16" i="199"/>
  <c r="G18" i="209"/>
  <c r="L16" i="197"/>
  <c r="L16" i="185"/>
  <c r="G33" i="209"/>
  <c r="L16" i="203"/>
  <c r="G9" i="209"/>
  <c r="L16" i="194"/>
  <c r="L16" i="190"/>
  <c r="E27" i="209"/>
  <c r="L14" i="200"/>
  <c r="L14" i="185"/>
  <c r="L14" i="190"/>
  <c r="L14" i="203"/>
  <c r="E33" i="209"/>
  <c r="E24" i="209"/>
  <c r="L14" i="199"/>
  <c r="E12" i="209"/>
  <c r="L14" i="195"/>
  <c r="E9" i="209"/>
  <c r="L14" i="194"/>
  <c r="D33" i="209"/>
  <c r="L13" i="203"/>
  <c r="D30" i="209"/>
  <c r="L13" i="202"/>
  <c r="L13" i="198"/>
  <c r="D21" i="209"/>
  <c r="L13" i="185"/>
  <c r="L13" i="189"/>
  <c r="L13" i="191"/>
  <c r="L31" i="205"/>
  <c r="D24" i="209"/>
  <c r="L13" i="199"/>
  <c r="D15" i="209"/>
  <c r="L13" i="196"/>
  <c r="G13" i="223"/>
  <c r="L13" i="223" s="1"/>
  <c r="L49" i="223"/>
  <c r="L13" i="186"/>
  <c r="L13" i="190"/>
  <c r="L13" i="187"/>
  <c r="L13" i="192"/>
  <c r="P22" i="211"/>
  <c r="P112" i="211"/>
  <c r="P130" i="211"/>
  <c r="P40" i="213"/>
  <c r="P112" i="213"/>
  <c r="P22" i="213"/>
  <c r="L64" i="185"/>
  <c r="P94" i="213"/>
  <c r="L64" i="189"/>
  <c r="N220" i="213"/>
  <c r="L12" i="190"/>
  <c r="C9" i="209"/>
  <c r="L12" i="194"/>
  <c r="C30" i="209"/>
  <c r="L12" i="202"/>
  <c r="P76" i="211"/>
  <c r="P94" i="211"/>
  <c r="P40" i="211"/>
  <c r="P58" i="211"/>
  <c r="P76" i="213"/>
  <c r="P58" i="213"/>
  <c r="L46" i="187"/>
  <c r="P130" i="213"/>
  <c r="L64" i="191"/>
  <c r="L46" i="224"/>
  <c r="L46" i="191"/>
  <c r="P202" i="213"/>
  <c r="L46" i="192"/>
  <c r="G26" i="226"/>
  <c r="L26" i="226" s="1"/>
  <c r="G24" i="226"/>
  <c r="L24" i="226" s="1"/>
  <c r="G22" i="226"/>
  <c r="L22" i="226" s="1"/>
  <c r="G20" i="226"/>
  <c r="L20" i="226" s="1"/>
  <c r="G18" i="226"/>
  <c r="L18" i="226" s="1"/>
  <c r="G16" i="226"/>
  <c r="L16" i="226" s="1"/>
  <c r="G14" i="226"/>
  <c r="L14" i="226" s="1"/>
  <c r="G12" i="226"/>
  <c r="L12" i="226" s="1"/>
  <c r="G26" i="202"/>
  <c r="G24" i="202"/>
  <c r="G22" i="202"/>
  <c r="G20" i="202"/>
  <c r="G18" i="202"/>
  <c r="G16" i="202"/>
  <c r="G14" i="202"/>
  <c r="G12" i="195"/>
  <c r="C12" i="209" s="1"/>
  <c r="G12" i="192"/>
  <c r="G12" i="199"/>
  <c r="G46" i="199"/>
  <c r="G54" i="206"/>
  <c r="L54" i="206" s="1"/>
  <c r="G30" i="206"/>
  <c r="L30" i="206" s="1"/>
  <c r="G38" i="206"/>
  <c r="L38" i="206" s="1"/>
  <c r="G62" i="206"/>
  <c r="L62" i="206" s="1"/>
  <c r="G60" i="181"/>
  <c r="L60" i="181" s="1"/>
  <c r="G28" i="195"/>
  <c r="G46" i="203"/>
  <c r="L46" i="203" s="1"/>
  <c r="G12" i="203"/>
  <c r="G48" i="223"/>
  <c r="G64" i="226"/>
  <c r="L64" i="226" s="1"/>
  <c r="G50" i="223"/>
  <c r="G52" i="223"/>
  <c r="G54" i="223"/>
  <c r="G56" i="223"/>
  <c r="G58" i="223"/>
  <c r="G60" i="223"/>
  <c r="G62" i="223"/>
  <c r="G30" i="180"/>
  <c r="L30" i="180" s="1"/>
  <c r="G46" i="202"/>
  <c r="L46" i="202" s="1"/>
  <c r="G48" i="180"/>
  <c r="L48" i="180" s="1"/>
  <c r="G50" i="180"/>
  <c r="L50" i="180" s="1"/>
  <c r="G52" i="180"/>
  <c r="L52" i="180" s="1"/>
  <c r="G54" i="180"/>
  <c r="G18" i="180" s="1"/>
  <c r="I31" i="209" s="1"/>
  <c r="G56" i="180"/>
  <c r="G20" i="180" s="1"/>
  <c r="K31" i="209" s="1"/>
  <c r="G58" i="180"/>
  <c r="L58" i="180" s="1"/>
  <c r="G60" i="180"/>
  <c r="L60" i="180" s="1"/>
  <c r="G62" i="180"/>
  <c r="L62" i="180" s="1"/>
  <c r="G46" i="225"/>
  <c r="L46" i="225" s="1"/>
  <c r="G12" i="225"/>
  <c r="L12" i="225" s="1"/>
  <c r="G46" i="200"/>
  <c r="L46" i="200" s="1"/>
  <c r="G12" i="200"/>
  <c r="G46" i="197"/>
  <c r="L46" i="197" s="1"/>
  <c r="G12" i="197"/>
  <c r="G46" i="196"/>
  <c r="L46" i="196" s="1"/>
  <c r="G12" i="196"/>
  <c r="G48" i="206"/>
  <c r="L48" i="206" s="1"/>
  <c r="G50" i="206"/>
  <c r="L50" i="206" s="1"/>
  <c r="G52" i="206"/>
  <c r="L52" i="206" s="1"/>
  <c r="G56" i="206"/>
  <c r="L56" i="206" s="1"/>
  <c r="G58" i="206"/>
  <c r="L58" i="206" s="1"/>
  <c r="G60" i="206"/>
  <c r="L60" i="206" s="1"/>
  <c r="G32" i="181"/>
  <c r="L32" i="181" s="1"/>
  <c r="G14" i="192"/>
  <c r="G34" i="181"/>
  <c r="L34" i="181" s="1"/>
  <c r="G16" i="192"/>
  <c r="G36" i="181"/>
  <c r="G18" i="192"/>
  <c r="G38" i="181"/>
  <c r="G40" i="181"/>
  <c r="L40" i="181" s="1"/>
  <c r="G22" i="192"/>
  <c r="G42" i="181"/>
  <c r="L42" i="181" s="1"/>
  <c r="G24" i="192"/>
  <c r="G44" i="181"/>
  <c r="L44" i="181" s="1"/>
  <c r="G26" i="192"/>
  <c r="G48" i="181"/>
  <c r="L48" i="181" s="1"/>
  <c r="G52" i="181"/>
  <c r="L52" i="181" s="1"/>
  <c r="G54" i="181"/>
  <c r="G56" i="181"/>
  <c r="G20" i="181" s="1"/>
  <c r="K34" i="209" s="1"/>
  <c r="G58" i="181"/>
  <c r="L58" i="181" s="1"/>
  <c r="G62" i="181"/>
  <c r="L62" i="181" s="1"/>
  <c r="G46" i="189"/>
  <c r="L46" i="189" s="1"/>
  <c r="G12" i="189"/>
  <c r="G64" i="187"/>
  <c r="L64" i="187" s="1"/>
  <c r="G12" i="186"/>
  <c r="G14" i="186"/>
  <c r="G18" i="186"/>
  <c r="G46" i="185"/>
  <c r="L46" i="185" s="1"/>
  <c r="G12" i="185"/>
  <c r="G12" i="198"/>
  <c r="G20" i="194"/>
  <c r="G20" i="192"/>
  <c r="G46" i="226"/>
  <c r="L46" i="226" s="1"/>
  <c r="G44" i="206"/>
  <c r="L44" i="206" s="1"/>
  <c r="G42" i="206"/>
  <c r="L42" i="206" s="1"/>
  <c r="G40" i="206"/>
  <c r="L40" i="206" s="1"/>
  <c r="G36" i="206"/>
  <c r="L36" i="206" s="1"/>
  <c r="G34" i="206"/>
  <c r="L34" i="206" s="1"/>
  <c r="G32" i="206"/>
  <c r="L32" i="206" s="1"/>
  <c r="G27" i="180"/>
  <c r="G25" i="180"/>
  <c r="P31" i="209" s="1"/>
  <c r="G23" i="180"/>
  <c r="G21" i="180"/>
  <c r="G19" i="180"/>
  <c r="G17" i="180"/>
  <c r="G15" i="180"/>
  <c r="G23" i="205"/>
  <c r="N5" i="209" s="1"/>
  <c r="G15" i="205"/>
  <c r="F5" i="209" s="1"/>
  <c r="G12" i="206"/>
  <c r="G49" i="180"/>
  <c r="L49" i="180" s="1"/>
  <c r="G64" i="202"/>
  <c r="L64" i="202" s="1"/>
  <c r="G64" i="198"/>
  <c r="G63" i="206"/>
  <c r="L63" i="206" s="1"/>
  <c r="G27" i="194"/>
  <c r="G61" i="206"/>
  <c r="L61" i="206" s="1"/>
  <c r="G25" i="194"/>
  <c r="G59" i="206"/>
  <c r="L59" i="206" s="1"/>
  <c r="G23" i="194"/>
  <c r="G57" i="206"/>
  <c r="L57" i="206" s="1"/>
  <c r="G21" i="194"/>
  <c r="G55" i="206"/>
  <c r="L55" i="206" s="1"/>
  <c r="G19" i="194"/>
  <c r="G53" i="206"/>
  <c r="L53" i="206" s="1"/>
  <c r="G17" i="194"/>
  <c r="G51" i="206"/>
  <c r="L51" i="206" s="1"/>
  <c r="G15" i="194"/>
  <c r="G49" i="206"/>
  <c r="L49" i="206" s="1"/>
  <c r="G64" i="194"/>
  <c r="G13" i="194"/>
  <c r="G64" i="203"/>
  <c r="L64" i="203" s="1"/>
  <c r="G64" i="200"/>
  <c r="L64" i="200" s="1"/>
  <c r="G64" i="196"/>
  <c r="L64" i="196" s="1"/>
  <c r="G63" i="181"/>
  <c r="L63" i="181" s="1"/>
  <c r="G61" i="181"/>
  <c r="G25" i="181" s="1"/>
  <c r="P34" i="209" s="1"/>
  <c r="G59" i="181"/>
  <c r="L59" i="181" s="1"/>
  <c r="G57" i="181"/>
  <c r="L57" i="181" s="1"/>
  <c r="G55" i="181"/>
  <c r="L55" i="181" s="1"/>
  <c r="G53" i="181"/>
  <c r="L53" i="181" s="1"/>
  <c r="G51" i="181"/>
  <c r="L51" i="181" s="1"/>
  <c r="G49" i="181"/>
  <c r="L49" i="181" s="1"/>
  <c r="G64" i="192"/>
  <c r="L64" i="192" s="1"/>
  <c r="G63" i="222"/>
  <c r="L63" i="222" s="1"/>
  <c r="G27" i="224"/>
  <c r="L27" i="224" s="1"/>
  <c r="G61" i="222"/>
  <c r="G25" i="224"/>
  <c r="G59" i="222"/>
  <c r="G23" i="224"/>
  <c r="G57" i="222"/>
  <c r="L57" i="222" s="1"/>
  <c r="G21" i="224"/>
  <c r="L21" i="224" s="1"/>
  <c r="G55" i="222"/>
  <c r="G19" i="224"/>
  <c r="G53" i="222"/>
  <c r="L53" i="222" s="1"/>
  <c r="G17" i="224"/>
  <c r="L17" i="224" s="1"/>
  <c r="G51" i="222"/>
  <c r="L51" i="222" s="1"/>
  <c r="G15" i="224"/>
  <c r="L15" i="224" s="1"/>
  <c r="G49" i="222"/>
  <c r="G64" i="224"/>
  <c r="L64" i="224" s="1"/>
  <c r="G13" i="224"/>
  <c r="G64" i="183"/>
  <c r="G28" i="191"/>
  <c r="S26" i="209" s="1"/>
  <c r="G62" i="183"/>
  <c r="L62" i="183" s="1"/>
  <c r="G26" i="191"/>
  <c r="G60" i="183"/>
  <c r="G24" i="191"/>
  <c r="G58" i="183"/>
  <c r="L58" i="183" s="1"/>
  <c r="G22" i="191"/>
  <c r="G56" i="183"/>
  <c r="G20" i="191"/>
  <c r="G54" i="183"/>
  <c r="G18" i="191"/>
  <c r="G52" i="183"/>
  <c r="L52" i="183" s="1"/>
  <c r="G16" i="191"/>
  <c r="G50" i="183"/>
  <c r="L50" i="183" s="1"/>
  <c r="G14" i="191"/>
  <c r="G48" i="183"/>
  <c r="L48" i="183" s="1"/>
  <c r="G12" i="191"/>
  <c r="G63" i="176"/>
  <c r="L63" i="176" s="1"/>
  <c r="G27" i="188"/>
  <c r="G61" i="176"/>
  <c r="G25" i="188"/>
  <c r="G59" i="176"/>
  <c r="L59" i="176" s="1"/>
  <c r="G23" i="188"/>
  <c r="N17" i="209" s="1"/>
  <c r="G57" i="176"/>
  <c r="L57" i="176" s="1"/>
  <c r="G21" i="188"/>
  <c r="G55" i="176"/>
  <c r="L55" i="176" s="1"/>
  <c r="G19" i="188"/>
  <c r="G53" i="176"/>
  <c r="G17" i="188"/>
  <c r="H17" i="209" s="1"/>
  <c r="G51" i="176"/>
  <c r="L51" i="176" s="1"/>
  <c r="G15" i="188"/>
  <c r="G49" i="176"/>
  <c r="G64" i="188"/>
  <c r="L64" i="188" s="1"/>
  <c r="G13" i="188"/>
  <c r="G62" i="175"/>
  <c r="G26" i="187"/>
  <c r="Q14" i="209" s="1"/>
  <c r="G60" i="175"/>
  <c r="G24" i="187"/>
  <c r="G58" i="175"/>
  <c r="L58" i="175" s="1"/>
  <c r="G22" i="187"/>
  <c r="M14" i="209" s="1"/>
  <c r="G56" i="175"/>
  <c r="G20" i="187"/>
  <c r="G54" i="175"/>
  <c r="G18" i="187"/>
  <c r="G52" i="175"/>
  <c r="G16" i="187"/>
  <c r="G14" i="209" s="1"/>
  <c r="G50" i="175"/>
  <c r="G14" i="187"/>
  <c r="E14" i="209" s="1"/>
  <c r="G48" i="175"/>
  <c r="L48" i="175" s="1"/>
  <c r="G12" i="187"/>
  <c r="G63" i="205"/>
  <c r="L63" i="205" s="1"/>
  <c r="G55" i="205"/>
  <c r="L55" i="205" s="1"/>
  <c r="G63" i="178"/>
  <c r="L63" i="178" s="1"/>
  <c r="G61" i="178"/>
  <c r="G59" i="178"/>
  <c r="L59" i="178" s="1"/>
  <c r="G57" i="178"/>
  <c r="L57" i="178" s="1"/>
  <c r="G55" i="178"/>
  <c r="L55" i="178" s="1"/>
  <c r="G53" i="178"/>
  <c r="L53" i="178" s="1"/>
  <c r="G51" i="178"/>
  <c r="L51" i="178" s="1"/>
  <c r="G49" i="178"/>
  <c r="L49" i="178" s="1"/>
  <c r="G64" i="190"/>
  <c r="L64" i="190" s="1"/>
  <c r="G62" i="177"/>
  <c r="G60" i="177"/>
  <c r="G58" i="177"/>
  <c r="L58" i="177" s="1"/>
  <c r="G56" i="177"/>
  <c r="G54" i="177"/>
  <c r="G52" i="177"/>
  <c r="G50" i="177"/>
  <c r="G48" i="177"/>
  <c r="L48" i="177" s="1"/>
  <c r="G63" i="174"/>
  <c r="G61" i="174"/>
  <c r="G59" i="174"/>
  <c r="G57" i="174"/>
  <c r="G55" i="174"/>
  <c r="G53" i="174"/>
  <c r="L53" i="174" s="1"/>
  <c r="G51" i="174"/>
  <c r="L51" i="174" s="1"/>
  <c r="G49" i="174"/>
  <c r="L49" i="174" s="1"/>
  <c r="G64" i="186"/>
  <c r="G62" i="173"/>
  <c r="L62" i="173" s="1"/>
  <c r="G62" i="205"/>
  <c r="L62" i="205" s="1"/>
  <c r="G60" i="173"/>
  <c r="L60" i="173" s="1"/>
  <c r="G60" i="205"/>
  <c r="L60" i="205" s="1"/>
  <c r="G58" i="173"/>
  <c r="L58" i="173" s="1"/>
  <c r="G58" i="205"/>
  <c r="L58" i="205" s="1"/>
  <c r="G56" i="173"/>
  <c r="G56" i="205"/>
  <c r="L56" i="205" s="1"/>
  <c r="G54" i="173"/>
  <c r="G54" i="205"/>
  <c r="L54" i="205" s="1"/>
  <c r="G52" i="173"/>
  <c r="L52" i="173" s="1"/>
  <c r="G52" i="205"/>
  <c r="L52" i="205" s="1"/>
  <c r="G50" i="173"/>
  <c r="L50" i="173" s="1"/>
  <c r="G50" i="205"/>
  <c r="L50" i="205" s="1"/>
  <c r="G48" i="173"/>
  <c r="L48" i="173" s="1"/>
  <c r="G48" i="205"/>
  <c r="L48" i="205" s="1"/>
  <c r="G61" i="205"/>
  <c r="L61" i="205" s="1"/>
  <c r="G57" i="205"/>
  <c r="L57" i="205" s="1"/>
  <c r="G53" i="205"/>
  <c r="L53" i="205" s="1"/>
  <c r="G49" i="205"/>
  <c r="L49" i="205" s="1"/>
  <c r="G62" i="222"/>
  <c r="G60" i="222"/>
  <c r="G58" i="222"/>
  <c r="G56" i="222"/>
  <c r="G54" i="222"/>
  <c r="G52" i="222"/>
  <c r="G50" i="222"/>
  <c r="L50" i="222" s="1"/>
  <c r="G48" i="222"/>
  <c r="L48" i="222" s="1"/>
  <c r="G63" i="183"/>
  <c r="L63" i="183" s="1"/>
  <c r="G61" i="183"/>
  <c r="G59" i="183"/>
  <c r="L59" i="183" s="1"/>
  <c r="G57" i="183"/>
  <c r="L57" i="183" s="1"/>
  <c r="G55" i="183"/>
  <c r="L55" i="183" s="1"/>
  <c r="G53" i="183"/>
  <c r="L53" i="183" s="1"/>
  <c r="G51" i="183"/>
  <c r="L51" i="183" s="1"/>
  <c r="G49" i="183"/>
  <c r="L49" i="183" s="1"/>
  <c r="G62" i="178"/>
  <c r="L62" i="178" s="1"/>
  <c r="G60" i="178"/>
  <c r="L60" i="178" s="1"/>
  <c r="G58" i="178"/>
  <c r="L58" i="178" s="1"/>
  <c r="G56" i="178"/>
  <c r="G54" i="178"/>
  <c r="G52" i="178"/>
  <c r="L52" i="178" s="1"/>
  <c r="G50" i="178"/>
  <c r="L50" i="178" s="1"/>
  <c r="G48" i="178"/>
  <c r="L48" i="178" s="1"/>
  <c r="G63" i="177"/>
  <c r="G61" i="177"/>
  <c r="G59" i="177"/>
  <c r="L59" i="177" s="1"/>
  <c r="G57" i="177"/>
  <c r="L57" i="177" s="1"/>
  <c r="G55" i="177"/>
  <c r="G53" i="177"/>
  <c r="G51" i="177"/>
  <c r="G49" i="177"/>
  <c r="L49" i="177" s="1"/>
  <c r="G62" i="176"/>
  <c r="L62" i="176" s="1"/>
  <c r="G60" i="176"/>
  <c r="L60" i="176" s="1"/>
  <c r="G58" i="176"/>
  <c r="L58" i="176" s="1"/>
  <c r="G56" i="176"/>
  <c r="L56" i="176" s="1"/>
  <c r="G54" i="176"/>
  <c r="L54" i="176" s="1"/>
  <c r="G52" i="176"/>
  <c r="L52" i="176" s="1"/>
  <c r="G50" i="176"/>
  <c r="G48" i="176"/>
  <c r="G63" i="175"/>
  <c r="G61" i="175"/>
  <c r="G59" i="175"/>
  <c r="G57" i="175"/>
  <c r="L57" i="175" s="1"/>
  <c r="G55" i="175"/>
  <c r="G53" i="175"/>
  <c r="G51" i="175"/>
  <c r="G49" i="175"/>
  <c r="L49" i="175" s="1"/>
  <c r="G62" i="174"/>
  <c r="G60" i="174"/>
  <c r="G58" i="174"/>
  <c r="G56" i="174"/>
  <c r="G54" i="174"/>
  <c r="G52" i="174"/>
  <c r="G50" i="174"/>
  <c r="L50" i="174" s="1"/>
  <c r="G48" i="174"/>
  <c r="L48" i="174" s="1"/>
  <c r="G63" i="173"/>
  <c r="L63" i="173" s="1"/>
  <c r="G61" i="173"/>
  <c r="G59" i="173"/>
  <c r="L59" i="173" s="1"/>
  <c r="G57" i="173"/>
  <c r="L57" i="173" s="1"/>
  <c r="G55" i="173"/>
  <c r="L55" i="173" s="1"/>
  <c r="G53" i="173"/>
  <c r="L53" i="173" s="1"/>
  <c r="G51" i="173"/>
  <c r="L51" i="173" s="1"/>
  <c r="G49" i="173"/>
  <c r="L49" i="173" s="1"/>
  <c r="G45" i="182"/>
  <c r="L45" i="182" s="1"/>
  <c r="G43" i="182"/>
  <c r="G41" i="182"/>
  <c r="L41" i="182" s="1"/>
  <c r="G39" i="182"/>
  <c r="L39" i="182" s="1"/>
  <c r="G37" i="182"/>
  <c r="L37" i="182" s="1"/>
  <c r="G35" i="182"/>
  <c r="L35" i="182" s="1"/>
  <c r="G33" i="182"/>
  <c r="L33" i="182" s="1"/>
  <c r="G31" i="182"/>
  <c r="L31" i="182" s="1"/>
  <c r="G46" i="194"/>
  <c r="L46" i="194" s="1"/>
  <c r="G30" i="181"/>
  <c r="L30" i="181" s="1"/>
  <c r="G45" i="222"/>
  <c r="L45" i="222" s="1"/>
  <c r="G43" i="222"/>
  <c r="G41" i="222"/>
  <c r="G39" i="222"/>
  <c r="L39" i="222" s="1"/>
  <c r="G37" i="222"/>
  <c r="G35" i="222"/>
  <c r="L35" i="222" s="1"/>
  <c r="G33" i="222"/>
  <c r="L33" i="222" s="1"/>
  <c r="G31" i="222"/>
  <c r="G44" i="183"/>
  <c r="L44" i="183" s="1"/>
  <c r="G42" i="183"/>
  <c r="G40" i="183"/>
  <c r="L40" i="183" s="1"/>
  <c r="G38" i="183"/>
  <c r="G36" i="183"/>
  <c r="G34" i="183"/>
  <c r="L34" i="183" s="1"/>
  <c r="G32" i="183"/>
  <c r="L32" i="183" s="1"/>
  <c r="G30" i="183"/>
  <c r="L30" i="183" s="1"/>
  <c r="G45" i="178"/>
  <c r="L45" i="178" s="1"/>
  <c r="G43" i="178"/>
  <c r="G41" i="178"/>
  <c r="L41" i="178" s="1"/>
  <c r="G39" i="178"/>
  <c r="L39" i="178" s="1"/>
  <c r="G37" i="178"/>
  <c r="L37" i="178" s="1"/>
  <c r="G35" i="178"/>
  <c r="L35" i="178" s="1"/>
  <c r="G33" i="178"/>
  <c r="L33" i="178" s="1"/>
  <c r="G31" i="178"/>
  <c r="L31" i="178" s="1"/>
  <c r="G44" i="177"/>
  <c r="G42" i="177"/>
  <c r="G40" i="177"/>
  <c r="L40" i="177" s="1"/>
  <c r="G38" i="177"/>
  <c r="G36" i="177"/>
  <c r="G34" i="177"/>
  <c r="G32" i="177"/>
  <c r="G30" i="177"/>
  <c r="L30" i="177" s="1"/>
  <c r="G45" i="176"/>
  <c r="L45" i="176" s="1"/>
  <c r="G43" i="176"/>
  <c r="G41" i="176"/>
  <c r="L41" i="176" s="1"/>
  <c r="G39" i="176"/>
  <c r="L39" i="176" s="1"/>
  <c r="G37" i="176"/>
  <c r="L37" i="176" s="1"/>
  <c r="G35" i="176"/>
  <c r="G33" i="176"/>
  <c r="L33" i="176" s="1"/>
  <c r="G31" i="176"/>
  <c r="G44" i="175"/>
  <c r="G42" i="175"/>
  <c r="G40" i="175"/>
  <c r="L40" i="175" s="1"/>
  <c r="G38" i="175"/>
  <c r="G36" i="175"/>
  <c r="G34" i="175"/>
  <c r="G32" i="175"/>
  <c r="G30" i="175"/>
  <c r="L30" i="175" s="1"/>
  <c r="G45" i="174"/>
  <c r="G43" i="174"/>
  <c r="G41" i="174"/>
  <c r="G39" i="174"/>
  <c r="G37" i="174"/>
  <c r="G35" i="174"/>
  <c r="L35" i="174" s="1"/>
  <c r="G33" i="174"/>
  <c r="L33" i="174" s="1"/>
  <c r="G31" i="174"/>
  <c r="L31" i="174" s="1"/>
  <c r="G44" i="173"/>
  <c r="L44" i="173" s="1"/>
  <c r="G42" i="173"/>
  <c r="L42" i="173" s="1"/>
  <c r="G40" i="173"/>
  <c r="L40" i="173" s="1"/>
  <c r="G38" i="173"/>
  <c r="G36" i="173"/>
  <c r="G34" i="173"/>
  <c r="L34" i="173" s="1"/>
  <c r="G32" i="173"/>
  <c r="L32" i="173" s="1"/>
  <c r="G30" i="173"/>
  <c r="L30" i="173" s="1"/>
  <c r="G44" i="222"/>
  <c r="G42" i="222"/>
  <c r="G40" i="222"/>
  <c r="G38" i="222"/>
  <c r="G36" i="222"/>
  <c r="G34" i="222"/>
  <c r="G32" i="222"/>
  <c r="L32" i="222" s="1"/>
  <c r="G30" i="222"/>
  <c r="L30" i="222" s="1"/>
  <c r="G45" i="183"/>
  <c r="L45" i="183" s="1"/>
  <c r="G43" i="183"/>
  <c r="G41" i="183"/>
  <c r="L41" i="183" s="1"/>
  <c r="G39" i="183"/>
  <c r="L39" i="183" s="1"/>
  <c r="G37" i="183"/>
  <c r="L37" i="183" s="1"/>
  <c r="G35" i="183"/>
  <c r="L35" i="183" s="1"/>
  <c r="G33" i="183"/>
  <c r="L33" i="183" s="1"/>
  <c r="G31" i="183"/>
  <c r="L31" i="183" s="1"/>
  <c r="G46" i="190"/>
  <c r="L46" i="190" s="1"/>
  <c r="G44" i="178"/>
  <c r="L44" i="178" s="1"/>
  <c r="G42" i="178"/>
  <c r="L42" i="178" s="1"/>
  <c r="G40" i="178"/>
  <c r="L40" i="178" s="1"/>
  <c r="G38" i="178"/>
  <c r="G20" i="178" s="1"/>
  <c r="K25" i="209" s="1"/>
  <c r="G36" i="178"/>
  <c r="G34" i="178"/>
  <c r="L34" i="178" s="1"/>
  <c r="G32" i="178"/>
  <c r="L32" i="178" s="1"/>
  <c r="G30" i="178"/>
  <c r="L30" i="178" s="1"/>
  <c r="G45" i="177"/>
  <c r="G43" i="177"/>
  <c r="G25" i="177" s="1"/>
  <c r="G41" i="177"/>
  <c r="L41" i="177" s="1"/>
  <c r="G39" i="177"/>
  <c r="L39" i="177" s="1"/>
  <c r="G37" i="177"/>
  <c r="G35" i="177"/>
  <c r="G33" i="177"/>
  <c r="G31" i="177"/>
  <c r="L31" i="177" s="1"/>
  <c r="G46" i="188"/>
  <c r="L46" i="188" s="1"/>
  <c r="G44" i="176"/>
  <c r="L44" i="176" s="1"/>
  <c r="G42" i="176"/>
  <c r="L42" i="176" s="1"/>
  <c r="G40" i="176"/>
  <c r="L40" i="176" s="1"/>
  <c r="G38" i="176"/>
  <c r="L38" i="176" s="1"/>
  <c r="G36" i="176"/>
  <c r="L36" i="176" s="1"/>
  <c r="G34" i="176"/>
  <c r="L34" i="176" s="1"/>
  <c r="G32" i="176"/>
  <c r="G30" i="176"/>
  <c r="G45" i="175"/>
  <c r="G43" i="175"/>
  <c r="G41" i="175"/>
  <c r="G39" i="175"/>
  <c r="L39" i="175" s="1"/>
  <c r="G37" i="175"/>
  <c r="G35" i="175"/>
  <c r="G33" i="175"/>
  <c r="G31" i="175"/>
  <c r="L31" i="175" s="1"/>
  <c r="G46" i="186"/>
  <c r="G44" i="174"/>
  <c r="G42" i="174"/>
  <c r="G24" i="174" s="1"/>
  <c r="G40" i="174"/>
  <c r="G38" i="174"/>
  <c r="G20" i="174" s="1"/>
  <c r="G36" i="174"/>
  <c r="G34" i="174"/>
  <c r="G16" i="174" s="1"/>
  <c r="G32" i="174"/>
  <c r="L32" i="174" s="1"/>
  <c r="G30" i="174"/>
  <c r="L30" i="174" s="1"/>
  <c r="G45" i="173"/>
  <c r="L45" i="173" s="1"/>
  <c r="G43" i="173"/>
  <c r="G25" i="173" s="1"/>
  <c r="P10" i="209" s="1"/>
  <c r="G41" i="173"/>
  <c r="L41" i="173" s="1"/>
  <c r="G39" i="173"/>
  <c r="L39" i="173" s="1"/>
  <c r="G37" i="173"/>
  <c r="L37" i="173" s="1"/>
  <c r="G35" i="173"/>
  <c r="L35" i="173" s="1"/>
  <c r="G33" i="173"/>
  <c r="L33" i="173" s="1"/>
  <c r="G31" i="173"/>
  <c r="L31" i="173" s="1"/>
  <c r="G44" i="205"/>
  <c r="L44" i="205" s="1"/>
  <c r="G42" i="205"/>
  <c r="L42" i="205" s="1"/>
  <c r="G40" i="205"/>
  <c r="L40" i="205" s="1"/>
  <c r="G38" i="205"/>
  <c r="L38" i="205" s="1"/>
  <c r="G36" i="205"/>
  <c r="L36" i="205" s="1"/>
  <c r="G34" i="205"/>
  <c r="L34" i="205" s="1"/>
  <c r="G32" i="205"/>
  <c r="L32" i="205" s="1"/>
  <c r="G30" i="205"/>
  <c r="L30" i="205" s="1"/>
  <c r="G73" i="217"/>
  <c r="G55" i="217"/>
  <c r="G37" i="217"/>
  <c r="G19" i="217"/>
  <c r="G81" i="153"/>
  <c r="L81" i="153" s="1"/>
  <c r="G80" i="153"/>
  <c r="L80" i="153" s="1"/>
  <c r="G79" i="153"/>
  <c r="G78" i="153"/>
  <c r="L78" i="153" s="1"/>
  <c r="G77" i="153"/>
  <c r="L77" i="153" s="1"/>
  <c r="G76" i="153"/>
  <c r="L76" i="153" s="1"/>
  <c r="G75" i="153"/>
  <c r="L75" i="153" s="1"/>
  <c r="G74" i="153"/>
  <c r="G73" i="153"/>
  <c r="L73" i="153" s="1"/>
  <c r="G72" i="153"/>
  <c r="G71" i="153"/>
  <c r="L71" i="153" s="1"/>
  <c r="G70" i="153"/>
  <c r="L70" i="153" s="1"/>
  <c r="G69" i="153"/>
  <c r="L69" i="153" s="1"/>
  <c r="G68" i="153"/>
  <c r="L68" i="153" s="1"/>
  <c r="G67" i="153"/>
  <c r="L67" i="153" s="1"/>
  <c r="G66" i="153"/>
  <c r="L66" i="153" s="1"/>
  <c r="G63" i="153"/>
  <c r="L63" i="153" s="1"/>
  <c r="G62" i="153"/>
  <c r="L62" i="153" s="1"/>
  <c r="G61" i="153"/>
  <c r="G60" i="153"/>
  <c r="L60" i="153" s="1"/>
  <c r="G59" i="153"/>
  <c r="L59" i="153" s="1"/>
  <c r="G58" i="153"/>
  <c r="L58" i="153" s="1"/>
  <c r="G57" i="153"/>
  <c r="L57" i="153" s="1"/>
  <c r="G56" i="153"/>
  <c r="G55" i="153"/>
  <c r="L55" i="153" s="1"/>
  <c r="G54" i="153"/>
  <c r="G53" i="153"/>
  <c r="L53" i="153" s="1"/>
  <c r="G52" i="153"/>
  <c r="L52" i="153" s="1"/>
  <c r="G51" i="153"/>
  <c r="L51" i="153" s="1"/>
  <c r="G50" i="153"/>
  <c r="L50" i="153" s="1"/>
  <c r="G49" i="153"/>
  <c r="L49" i="153" s="1"/>
  <c r="G48" i="153"/>
  <c r="L48" i="153" s="1"/>
  <c r="G45" i="153"/>
  <c r="L45" i="153" s="1"/>
  <c r="G44" i="153"/>
  <c r="L44" i="153" s="1"/>
  <c r="G43" i="153"/>
  <c r="G25" i="153" s="1"/>
  <c r="P31" i="208" s="1"/>
  <c r="G42" i="153"/>
  <c r="L42" i="153" s="1"/>
  <c r="G41" i="153"/>
  <c r="L41" i="153" s="1"/>
  <c r="G40" i="153"/>
  <c r="G39" i="153"/>
  <c r="L39" i="153" s="1"/>
  <c r="G38" i="153"/>
  <c r="G37" i="153"/>
  <c r="L37" i="153" s="1"/>
  <c r="G36" i="153"/>
  <c r="G35" i="153"/>
  <c r="L35" i="153" s="1"/>
  <c r="G34" i="153"/>
  <c r="L34" i="153" s="1"/>
  <c r="G33" i="153"/>
  <c r="L33" i="153" s="1"/>
  <c r="G32" i="153"/>
  <c r="G31" i="153"/>
  <c r="L31" i="153" s="1"/>
  <c r="G30" i="153"/>
  <c r="L30" i="153" s="1"/>
  <c r="G81" i="217"/>
  <c r="L81" i="217" s="1"/>
  <c r="G80" i="217"/>
  <c r="L80" i="217" s="1"/>
  <c r="G79" i="217"/>
  <c r="G78" i="217"/>
  <c r="L78" i="217" s="1"/>
  <c r="G77" i="217"/>
  <c r="L77" i="217" s="1"/>
  <c r="G76" i="217"/>
  <c r="L76" i="217" s="1"/>
  <c r="G75" i="217"/>
  <c r="L75" i="217" s="1"/>
  <c r="G74" i="217"/>
  <c r="L74" i="217" s="1"/>
  <c r="G72" i="217"/>
  <c r="G71" i="217"/>
  <c r="L71" i="217" s="1"/>
  <c r="G70" i="217"/>
  <c r="L70" i="217" s="1"/>
  <c r="G69" i="217"/>
  <c r="L69" i="217" s="1"/>
  <c r="G68" i="217"/>
  <c r="L68" i="217" s="1"/>
  <c r="G67" i="217"/>
  <c r="L67" i="217" s="1"/>
  <c r="G66" i="217"/>
  <c r="L66" i="217" s="1"/>
  <c r="G62" i="217"/>
  <c r="L62" i="217" s="1"/>
  <c r="G60" i="217"/>
  <c r="L60" i="217" s="1"/>
  <c r="G58" i="217"/>
  <c r="L58" i="217" s="1"/>
  <c r="G56" i="217"/>
  <c r="L56" i="217" s="1"/>
  <c r="G53" i="217"/>
  <c r="L53" i="217" s="1"/>
  <c r="G51" i="217"/>
  <c r="L51" i="217" s="1"/>
  <c r="G49" i="217"/>
  <c r="L49" i="217" s="1"/>
  <c r="G45" i="217"/>
  <c r="L45" i="217" s="1"/>
  <c r="G44" i="217"/>
  <c r="L44" i="217" s="1"/>
  <c r="G43" i="217"/>
  <c r="G42" i="217"/>
  <c r="L42" i="217" s="1"/>
  <c r="G41" i="217"/>
  <c r="L41" i="217" s="1"/>
  <c r="G40" i="217"/>
  <c r="L40" i="217" s="1"/>
  <c r="G39" i="217"/>
  <c r="L39" i="217" s="1"/>
  <c r="G38" i="217"/>
  <c r="L38" i="217" s="1"/>
  <c r="G36" i="217"/>
  <c r="G35" i="217"/>
  <c r="L35" i="217" s="1"/>
  <c r="G34" i="217"/>
  <c r="L34" i="217" s="1"/>
  <c r="G33" i="217"/>
  <c r="L33" i="217" s="1"/>
  <c r="G32" i="217"/>
  <c r="L32" i="217" s="1"/>
  <c r="G31" i="217"/>
  <c r="G30" i="217"/>
  <c r="L30" i="217" s="1"/>
  <c r="G74" i="154"/>
  <c r="G56" i="154"/>
  <c r="G48" i="154"/>
  <c r="L48" i="154" s="1"/>
  <c r="G45" i="154"/>
  <c r="L45" i="154" s="1"/>
  <c r="G41" i="154"/>
  <c r="L41" i="154" s="1"/>
  <c r="G37" i="154"/>
  <c r="L37" i="154" s="1"/>
  <c r="G33" i="154"/>
  <c r="L33" i="154" s="1"/>
  <c r="G81" i="146"/>
  <c r="L81" i="146" s="1"/>
  <c r="G80" i="146"/>
  <c r="L80" i="146" s="1"/>
  <c r="G79" i="146"/>
  <c r="G78" i="146"/>
  <c r="L78" i="146" s="1"/>
  <c r="G77" i="146"/>
  <c r="L77" i="146" s="1"/>
  <c r="G76" i="146"/>
  <c r="L76" i="146" s="1"/>
  <c r="G75" i="146"/>
  <c r="L75" i="146" s="1"/>
  <c r="G74" i="146"/>
  <c r="G73" i="146"/>
  <c r="L73" i="146" s="1"/>
  <c r="G72" i="146"/>
  <c r="G71" i="146"/>
  <c r="L71" i="146" s="1"/>
  <c r="G70" i="146"/>
  <c r="L70" i="146" s="1"/>
  <c r="G69" i="146"/>
  <c r="L69" i="146" s="1"/>
  <c r="G68" i="146"/>
  <c r="L68" i="146" s="1"/>
  <c r="G67" i="146"/>
  <c r="L67" i="146" s="1"/>
  <c r="G66" i="146"/>
  <c r="L66" i="146" s="1"/>
  <c r="G63" i="146"/>
  <c r="L63" i="146" s="1"/>
  <c r="G62" i="146"/>
  <c r="L62" i="146" s="1"/>
  <c r="G61" i="146"/>
  <c r="G60" i="146"/>
  <c r="L60" i="146" s="1"/>
  <c r="G59" i="146"/>
  <c r="L59" i="146" s="1"/>
  <c r="G58" i="146"/>
  <c r="L58" i="146" s="1"/>
  <c r="G57" i="146"/>
  <c r="L57" i="146" s="1"/>
  <c r="G56" i="146"/>
  <c r="G55" i="146"/>
  <c r="L55" i="146" s="1"/>
  <c r="G54" i="146"/>
  <c r="G53" i="146"/>
  <c r="L53" i="146" s="1"/>
  <c r="G52" i="146"/>
  <c r="L52" i="146" s="1"/>
  <c r="G51" i="146"/>
  <c r="L51" i="146" s="1"/>
  <c r="G50" i="146"/>
  <c r="L50" i="146" s="1"/>
  <c r="G49" i="146"/>
  <c r="L49" i="146" s="1"/>
  <c r="G48" i="146"/>
  <c r="L48" i="146" s="1"/>
  <c r="G45" i="146"/>
  <c r="L45" i="146" s="1"/>
  <c r="G44" i="146"/>
  <c r="L44" i="146" s="1"/>
  <c r="G43" i="146"/>
  <c r="G25" i="146" s="1"/>
  <c r="P10" i="208" s="1"/>
  <c r="G42" i="146"/>
  <c r="L42" i="146" s="1"/>
  <c r="G41" i="146"/>
  <c r="L41" i="146" s="1"/>
  <c r="G40" i="146"/>
  <c r="L40" i="146" s="1"/>
  <c r="G39" i="146"/>
  <c r="L39" i="146" s="1"/>
  <c r="G38" i="146"/>
  <c r="G20" i="146" s="1"/>
  <c r="K10" i="208" s="1"/>
  <c r="G37" i="146"/>
  <c r="L37" i="146" s="1"/>
  <c r="G36" i="146"/>
  <c r="G35" i="146"/>
  <c r="L35" i="146" s="1"/>
  <c r="G34" i="146"/>
  <c r="L34" i="146" s="1"/>
  <c r="G33" i="146"/>
  <c r="L33" i="146" s="1"/>
  <c r="G32" i="146"/>
  <c r="L32" i="146" s="1"/>
  <c r="G31" i="146"/>
  <c r="L31" i="146" s="1"/>
  <c r="G30" i="146"/>
  <c r="L30" i="146" s="1"/>
  <c r="G82" i="164"/>
  <c r="L82" i="164" s="1"/>
  <c r="G82" i="165"/>
  <c r="L82" i="165" s="1"/>
  <c r="G82" i="166"/>
  <c r="L82" i="166" s="1"/>
  <c r="G82" i="167"/>
  <c r="L82" i="167" s="1"/>
  <c r="G82" i="168"/>
  <c r="L82" i="168" s="1"/>
  <c r="G82" i="169"/>
  <c r="L82" i="169" s="1"/>
  <c r="G82" i="219"/>
  <c r="L82" i="219" s="1"/>
  <c r="G82" i="170"/>
  <c r="G82" i="220"/>
  <c r="G82" i="217" s="1"/>
  <c r="L82" i="217" s="1"/>
  <c r="G82" i="163"/>
  <c r="L82" i="163" s="1"/>
  <c r="G64" i="164"/>
  <c r="L64" i="164" s="1"/>
  <c r="G64" i="165"/>
  <c r="L64" i="165" s="1"/>
  <c r="G64" i="166"/>
  <c r="L64" i="166" s="1"/>
  <c r="G64" i="167"/>
  <c r="L64" i="167" s="1"/>
  <c r="G64" i="168"/>
  <c r="L64" i="168" s="1"/>
  <c r="G64" i="169"/>
  <c r="L64" i="169" s="1"/>
  <c r="G64" i="219"/>
  <c r="L64" i="219" s="1"/>
  <c r="G64" i="170"/>
  <c r="G64" i="171"/>
  <c r="L64" i="171" s="1"/>
  <c r="G64" i="163"/>
  <c r="L64" i="163" s="1"/>
  <c r="G46" i="164"/>
  <c r="G28" i="164" s="1"/>
  <c r="S12" i="208" s="1"/>
  <c r="G46" i="165"/>
  <c r="L46" i="165" s="1"/>
  <c r="G46" i="166"/>
  <c r="L46" i="166" s="1"/>
  <c r="G46" i="167"/>
  <c r="L46" i="167" s="1"/>
  <c r="G46" i="168"/>
  <c r="G28" i="168" s="1"/>
  <c r="S24" i="208" s="1"/>
  <c r="G46" i="169"/>
  <c r="L46" i="169" s="1"/>
  <c r="G46" i="219"/>
  <c r="G28" i="219" s="1"/>
  <c r="L28" i="219" s="1"/>
  <c r="G46" i="170"/>
  <c r="G28" i="170" s="1"/>
  <c r="G46" i="220"/>
  <c r="G46" i="217" s="1"/>
  <c r="L46" i="217" s="1"/>
  <c r="G46" i="163"/>
  <c r="G12" i="164"/>
  <c r="C12" i="208" s="1"/>
  <c r="G13" i="164"/>
  <c r="D12" i="208" s="1"/>
  <c r="G14" i="164"/>
  <c r="G15" i="164"/>
  <c r="G16" i="164"/>
  <c r="G17" i="164"/>
  <c r="G18" i="164"/>
  <c r="I12" i="208" s="1"/>
  <c r="G19" i="164"/>
  <c r="J12" i="208" s="1"/>
  <c r="G20" i="164"/>
  <c r="K12" i="208" s="1"/>
  <c r="G21" i="164"/>
  <c r="L12" i="208" s="1"/>
  <c r="G22" i="164"/>
  <c r="G23" i="164"/>
  <c r="G24" i="164"/>
  <c r="G25" i="164"/>
  <c r="G26" i="164"/>
  <c r="G27" i="164"/>
  <c r="G12" i="165"/>
  <c r="G13" i="165"/>
  <c r="G14" i="165"/>
  <c r="E15" i="208" s="1"/>
  <c r="G15" i="165"/>
  <c r="G16" i="165"/>
  <c r="G15" i="208" s="1"/>
  <c r="G17" i="165"/>
  <c r="H15" i="208" s="1"/>
  <c r="G18" i="165"/>
  <c r="I15" i="208" s="1"/>
  <c r="G19" i="165"/>
  <c r="J15" i="208" s="1"/>
  <c r="G20" i="165"/>
  <c r="G21" i="165"/>
  <c r="G22" i="165"/>
  <c r="G23" i="165"/>
  <c r="N15" i="208" s="1"/>
  <c r="G24" i="165"/>
  <c r="G25" i="165"/>
  <c r="G26" i="165"/>
  <c r="Q15" i="208" s="1"/>
  <c r="G27" i="165"/>
  <c r="G12" i="166"/>
  <c r="G13" i="166"/>
  <c r="G14" i="166"/>
  <c r="G15" i="166"/>
  <c r="G16" i="166"/>
  <c r="G17" i="166"/>
  <c r="H18" i="208" s="1"/>
  <c r="G18" i="166"/>
  <c r="I18" i="208" s="1"/>
  <c r="G19" i="166"/>
  <c r="G20" i="166"/>
  <c r="G21" i="166"/>
  <c r="G22" i="166"/>
  <c r="G23" i="166"/>
  <c r="G24" i="166"/>
  <c r="G25" i="166"/>
  <c r="P18" i="208" s="1"/>
  <c r="G26" i="166"/>
  <c r="L26" i="166" s="1"/>
  <c r="G27" i="166"/>
  <c r="G28" i="166"/>
  <c r="S18" i="208" s="1"/>
  <c r="G12" i="167"/>
  <c r="G13" i="167"/>
  <c r="G14" i="167"/>
  <c r="E21" i="208" s="1"/>
  <c r="G15" i="167"/>
  <c r="F21" i="208" s="1"/>
  <c r="G16" i="167"/>
  <c r="G21" i="208" s="1"/>
  <c r="G17" i="167"/>
  <c r="H21" i="208" s="1"/>
  <c r="G18" i="167"/>
  <c r="I21" i="208" s="1"/>
  <c r="G19" i="167"/>
  <c r="J21" i="208" s="1"/>
  <c r="G20" i="167"/>
  <c r="G21" i="167"/>
  <c r="G22" i="167"/>
  <c r="G23" i="167"/>
  <c r="G24" i="167"/>
  <c r="G25" i="167"/>
  <c r="G26" i="167"/>
  <c r="Q21" i="208" s="1"/>
  <c r="G27" i="167"/>
  <c r="G12" i="168"/>
  <c r="G13" i="168"/>
  <c r="G14" i="168"/>
  <c r="G15" i="168"/>
  <c r="G16" i="168"/>
  <c r="G17" i="168"/>
  <c r="G18" i="168"/>
  <c r="I24" i="208" s="1"/>
  <c r="G19" i="168"/>
  <c r="G20" i="168"/>
  <c r="G21" i="168"/>
  <c r="G22" i="168"/>
  <c r="G23" i="168"/>
  <c r="G24" i="168"/>
  <c r="G25" i="168"/>
  <c r="P24" i="208" s="1"/>
  <c r="G26" i="168"/>
  <c r="G27" i="168"/>
  <c r="G12" i="169"/>
  <c r="G13" i="169"/>
  <c r="D27" i="208" s="1"/>
  <c r="G14" i="169"/>
  <c r="G15" i="169"/>
  <c r="G16" i="169"/>
  <c r="G17" i="169"/>
  <c r="G18" i="169"/>
  <c r="I27" i="208" s="1"/>
  <c r="G19" i="169"/>
  <c r="G20" i="169"/>
  <c r="G21" i="169"/>
  <c r="G22" i="169"/>
  <c r="G23" i="169"/>
  <c r="G24" i="169"/>
  <c r="G25" i="169"/>
  <c r="P27" i="208" s="1"/>
  <c r="G26" i="169"/>
  <c r="G27" i="169"/>
  <c r="G28" i="169"/>
  <c r="G12" i="219"/>
  <c r="L12" i="219" s="1"/>
  <c r="G13" i="219"/>
  <c r="G14" i="219"/>
  <c r="L14" i="219" s="1"/>
  <c r="G15" i="219"/>
  <c r="G16" i="219"/>
  <c r="G17" i="219"/>
  <c r="L17" i="219" s="1"/>
  <c r="G18" i="219"/>
  <c r="G19" i="219"/>
  <c r="G20" i="219"/>
  <c r="G21" i="219"/>
  <c r="G22" i="219"/>
  <c r="G23" i="219"/>
  <c r="G24" i="219"/>
  <c r="G25" i="219"/>
  <c r="G26" i="219"/>
  <c r="G27" i="219"/>
  <c r="L27" i="219" s="1"/>
  <c r="G12" i="170"/>
  <c r="G13" i="170"/>
  <c r="G14" i="170"/>
  <c r="G15" i="170"/>
  <c r="G16" i="170"/>
  <c r="G17" i="170"/>
  <c r="G18" i="170"/>
  <c r="I30" i="208" s="1"/>
  <c r="G19" i="170"/>
  <c r="G20" i="170"/>
  <c r="G21" i="170"/>
  <c r="G22" i="170"/>
  <c r="G23" i="170"/>
  <c r="G24" i="170"/>
  <c r="G25" i="170"/>
  <c r="P30" i="208" s="1"/>
  <c r="G26" i="170"/>
  <c r="G27" i="170"/>
  <c r="G13" i="220"/>
  <c r="L13" i="220" s="1"/>
  <c r="G15" i="220"/>
  <c r="L15" i="220" s="1"/>
  <c r="G17" i="220"/>
  <c r="L17" i="220" s="1"/>
  <c r="G20" i="220"/>
  <c r="L20" i="220" s="1"/>
  <c r="G22" i="220"/>
  <c r="L22" i="220" s="1"/>
  <c r="G24" i="220"/>
  <c r="L24" i="220" s="1"/>
  <c r="G26" i="220"/>
  <c r="L26" i="220" s="1"/>
  <c r="G12" i="171"/>
  <c r="G13" i="171"/>
  <c r="G14" i="171"/>
  <c r="G15" i="171"/>
  <c r="G16" i="171"/>
  <c r="G17" i="171"/>
  <c r="G18" i="171"/>
  <c r="I33" i="208" s="1"/>
  <c r="G19" i="171"/>
  <c r="G20" i="171"/>
  <c r="G21" i="171"/>
  <c r="G22" i="171"/>
  <c r="G23" i="171"/>
  <c r="G24" i="171"/>
  <c r="G25" i="171"/>
  <c r="P33" i="208" s="1"/>
  <c r="G26" i="171"/>
  <c r="G27" i="171"/>
  <c r="G12" i="163"/>
  <c r="G13" i="163"/>
  <c r="G14" i="163"/>
  <c r="G15" i="163"/>
  <c r="G16" i="163"/>
  <c r="G17" i="163"/>
  <c r="G18" i="163"/>
  <c r="I9" i="208" s="1"/>
  <c r="G19" i="163"/>
  <c r="G20" i="163"/>
  <c r="G21" i="163"/>
  <c r="G22" i="163"/>
  <c r="G23" i="163"/>
  <c r="G24" i="163"/>
  <c r="G25" i="163"/>
  <c r="P9" i="208" s="1"/>
  <c r="G26" i="163"/>
  <c r="G27" i="163"/>
  <c r="G82" i="156"/>
  <c r="L82" i="156" s="1"/>
  <c r="G82" i="157"/>
  <c r="G82" i="158"/>
  <c r="L82" i="158" s="1"/>
  <c r="G82" i="159"/>
  <c r="L82" i="159" s="1"/>
  <c r="G82" i="160"/>
  <c r="L82" i="160" s="1"/>
  <c r="G82" i="161"/>
  <c r="G82" i="218"/>
  <c r="L82" i="218" s="1"/>
  <c r="G82" i="162"/>
  <c r="L82" i="162" s="1"/>
  <c r="G82" i="155"/>
  <c r="L82" i="155" s="1"/>
  <c r="G64" i="156"/>
  <c r="L64" i="156" s="1"/>
  <c r="G64" i="157"/>
  <c r="L64" i="157" s="1"/>
  <c r="G64" i="158"/>
  <c r="L64" i="158" s="1"/>
  <c r="G64" i="159"/>
  <c r="L64" i="159" s="1"/>
  <c r="G64" i="160"/>
  <c r="L64" i="160" s="1"/>
  <c r="G64" i="161"/>
  <c r="L64" i="161" s="1"/>
  <c r="G64" i="218"/>
  <c r="L64" i="218" s="1"/>
  <c r="G64" i="162"/>
  <c r="L64" i="162" s="1"/>
  <c r="G64" i="155"/>
  <c r="L64" i="155" s="1"/>
  <c r="G46" i="156"/>
  <c r="L46" i="156" s="1"/>
  <c r="G46" i="157"/>
  <c r="L46" i="157" s="1"/>
  <c r="G46" i="158"/>
  <c r="L46" i="158" s="1"/>
  <c r="G46" i="159"/>
  <c r="L46" i="159" s="1"/>
  <c r="G46" i="160"/>
  <c r="L46" i="160" s="1"/>
  <c r="G46" i="161"/>
  <c r="L46" i="161" s="1"/>
  <c r="G46" i="218"/>
  <c r="L46" i="218" s="1"/>
  <c r="G46" i="162"/>
  <c r="L46" i="162" s="1"/>
  <c r="G46" i="155"/>
  <c r="L46" i="155" s="1"/>
  <c r="G12" i="156"/>
  <c r="G13" i="156"/>
  <c r="G14" i="156"/>
  <c r="G15" i="156"/>
  <c r="G16" i="156"/>
  <c r="G17" i="156"/>
  <c r="G18" i="156"/>
  <c r="G19" i="156"/>
  <c r="J11" i="208" s="1"/>
  <c r="G20" i="156"/>
  <c r="K11" i="208" s="1"/>
  <c r="G21" i="156"/>
  <c r="L11" i="208" s="1"/>
  <c r="G22" i="156"/>
  <c r="G23" i="156"/>
  <c r="G24" i="156"/>
  <c r="G25" i="156"/>
  <c r="G26" i="156"/>
  <c r="G27" i="156"/>
  <c r="G12" i="157"/>
  <c r="G13" i="157"/>
  <c r="G14" i="157"/>
  <c r="E14" i="208" s="1"/>
  <c r="G15" i="157"/>
  <c r="G16" i="157"/>
  <c r="G14" i="208" s="1"/>
  <c r="G17" i="157"/>
  <c r="H14" i="208" s="1"/>
  <c r="G18" i="157"/>
  <c r="G19" i="157"/>
  <c r="J14" i="208" s="1"/>
  <c r="G20" i="157"/>
  <c r="G21" i="157"/>
  <c r="G22" i="157"/>
  <c r="M14" i="208" s="1"/>
  <c r="G23" i="157"/>
  <c r="N14" i="208" s="1"/>
  <c r="G24" i="157"/>
  <c r="G25" i="157"/>
  <c r="G26" i="157"/>
  <c r="Q14" i="208" s="1"/>
  <c r="G27" i="157"/>
  <c r="G12" i="158"/>
  <c r="G13" i="158"/>
  <c r="G14" i="158"/>
  <c r="G15" i="158"/>
  <c r="G16" i="158"/>
  <c r="G17" i="208" s="1"/>
  <c r="G17" i="158"/>
  <c r="H17" i="208" s="1"/>
  <c r="G18" i="158"/>
  <c r="G19" i="158"/>
  <c r="G20" i="158"/>
  <c r="G21" i="158"/>
  <c r="G22" i="158"/>
  <c r="G23" i="158"/>
  <c r="N17" i="208" s="1"/>
  <c r="G24" i="158"/>
  <c r="G25" i="158"/>
  <c r="G26" i="158"/>
  <c r="G27" i="158"/>
  <c r="G12" i="159"/>
  <c r="G13" i="159"/>
  <c r="G14" i="159"/>
  <c r="E20" i="208" s="1"/>
  <c r="G15" i="159"/>
  <c r="F20" i="208" s="1"/>
  <c r="G16" i="159"/>
  <c r="G20" i="208" s="1"/>
  <c r="G17" i="159"/>
  <c r="H20" i="208" s="1"/>
  <c r="G18" i="159"/>
  <c r="G19" i="159"/>
  <c r="J20" i="208" s="1"/>
  <c r="G20" i="159"/>
  <c r="G21" i="159"/>
  <c r="G22" i="159"/>
  <c r="M20" i="208" s="1"/>
  <c r="G23" i="159"/>
  <c r="N20" i="208" s="1"/>
  <c r="G24" i="159"/>
  <c r="G25" i="159"/>
  <c r="G26" i="159"/>
  <c r="Q20" i="208" s="1"/>
  <c r="G27" i="159"/>
  <c r="G12" i="160"/>
  <c r="G13" i="160"/>
  <c r="G14" i="160"/>
  <c r="G15" i="160"/>
  <c r="G16" i="160"/>
  <c r="G17" i="160"/>
  <c r="G18" i="160"/>
  <c r="G19" i="160"/>
  <c r="G20" i="160"/>
  <c r="G21" i="160"/>
  <c r="G22" i="160"/>
  <c r="G23" i="160"/>
  <c r="G24" i="160"/>
  <c r="G25" i="160"/>
  <c r="G26" i="160"/>
  <c r="G27" i="160"/>
  <c r="G12" i="161"/>
  <c r="G13" i="161"/>
  <c r="G14" i="161"/>
  <c r="G15" i="161"/>
  <c r="G16" i="161"/>
  <c r="G17" i="161"/>
  <c r="G18" i="161"/>
  <c r="G19" i="161"/>
  <c r="G20" i="161"/>
  <c r="G21" i="161"/>
  <c r="G22" i="161"/>
  <c r="G23" i="161"/>
  <c r="G24" i="161"/>
  <c r="G25" i="161"/>
  <c r="G26" i="161"/>
  <c r="G27" i="161"/>
  <c r="G12" i="218"/>
  <c r="L12" i="218" s="1"/>
  <c r="G13" i="218"/>
  <c r="G14" i="218"/>
  <c r="L14" i="218" s="1"/>
  <c r="G15" i="218"/>
  <c r="L15" i="218" s="1"/>
  <c r="G16" i="218"/>
  <c r="G17" i="218"/>
  <c r="L17" i="218" s="1"/>
  <c r="G18" i="218"/>
  <c r="L18" i="218" s="1"/>
  <c r="G19" i="218"/>
  <c r="G20" i="218"/>
  <c r="L20" i="218" s="1"/>
  <c r="G21" i="218"/>
  <c r="L21" i="218" s="1"/>
  <c r="G22" i="218"/>
  <c r="G23" i="218"/>
  <c r="G24" i="218"/>
  <c r="G25" i="218"/>
  <c r="G26" i="218"/>
  <c r="G27" i="218"/>
  <c r="L27" i="218" s="1"/>
  <c r="G12" i="162"/>
  <c r="G13" i="162"/>
  <c r="G14" i="162"/>
  <c r="G15" i="162"/>
  <c r="G16" i="162"/>
  <c r="G17" i="162"/>
  <c r="G18" i="162"/>
  <c r="G19" i="162"/>
  <c r="G20" i="162"/>
  <c r="G21" i="162"/>
  <c r="G22" i="162"/>
  <c r="G23" i="162"/>
  <c r="G24" i="162"/>
  <c r="G25" i="162"/>
  <c r="G26" i="162"/>
  <c r="G27" i="162"/>
  <c r="G12" i="155"/>
  <c r="G13" i="155"/>
  <c r="G14" i="155"/>
  <c r="G15" i="155"/>
  <c r="G16" i="155"/>
  <c r="G17" i="155"/>
  <c r="G18" i="155"/>
  <c r="G19" i="155"/>
  <c r="G20" i="155"/>
  <c r="G21" i="155"/>
  <c r="G22" i="155"/>
  <c r="G23" i="155"/>
  <c r="G24" i="155"/>
  <c r="G25" i="155"/>
  <c r="G26" i="155"/>
  <c r="G27" i="155"/>
  <c r="G28" i="135"/>
  <c r="G28" i="136"/>
  <c r="G12" i="134"/>
  <c r="G13" i="134"/>
  <c r="G14" i="134"/>
  <c r="G15" i="134"/>
  <c r="G16" i="134"/>
  <c r="G17" i="134"/>
  <c r="G18" i="134"/>
  <c r="G19" i="134"/>
  <c r="G20" i="134"/>
  <c r="G21" i="134"/>
  <c r="G22" i="134"/>
  <c r="G23" i="134"/>
  <c r="G24" i="134"/>
  <c r="G25" i="134"/>
  <c r="G26" i="134"/>
  <c r="G27" i="134"/>
  <c r="G18" i="174" l="1"/>
  <c r="I13" i="209" s="1"/>
  <c r="G22" i="174"/>
  <c r="G26" i="174"/>
  <c r="G19" i="177"/>
  <c r="J22" i="209" s="1"/>
  <c r="G27" i="177"/>
  <c r="G18" i="178"/>
  <c r="I25" i="209" s="1"/>
  <c r="G20" i="173"/>
  <c r="K10" i="209" s="1"/>
  <c r="G21" i="174"/>
  <c r="G25" i="174"/>
  <c r="G15" i="177"/>
  <c r="F22" i="209" s="1"/>
  <c r="G46" i="175"/>
  <c r="G15" i="175"/>
  <c r="G23" i="175"/>
  <c r="N16" i="209" s="1"/>
  <c r="G27" i="175"/>
  <c r="G14" i="176"/>
  <c r="G18" i="222"/>
  <c r="G22" i="222"/>
  <c r="G26" i="222"/>
  <c r="G18" i="173"/>
  <c r="I10" i="209" s="1"/>
  <c r="G14" i="175"/>
  <c r="E16" i="209" s="1"/>
  <c r="G18" i="175"/>
  <c r="I16" i="209" s="1"/>
  <c r="G26" i="175"/>
  <c r="Q16" i="209" s="1"/>
  <c r="G16" i="177"/>
  <c r="G22" i="209" s="1"/>
  <c r="G20" i="177"/>
  <c r="K22" i="209" s="1"/>
  <c r="G24" i="177"/>
  <c r="G13" i="222"/>
  <c r="G25" i="222"/>
  <c r="G22" i="206"/>
  <c r="L22" i="206" s="1"/>
  <c r="K8" i="208"/>
  <c r="L20" i="155"/>
  <c r="K32" i="208"/>
  <c r="L20" i="162"/>
  <c r="K26" i="208"/>
  <c r="L20" i="161"/>
  <c r="K23" i="208"/>
  <c r="L20" i="160"/>
  <c r="K20" i="208"/>
  <c r="L20" i="159"/>
  <c r="K17" i="208"/>
  <c r="L20" i="158"/>
  <c r="K14" i="208"/>
  <c r="L20" i="157"/>
  <c r="K30" i="208"/>
  <c r="L20" i="170"/>
  <c r="K18" i="208"/>
  <c r="L20" i="166"/>
  <c r="K15" i="208"/>
  <c r="L20" i="165"/>
  <c r="K26" i="209"/>
  <c r="L20" i="191"/>
  <c r="K9" i="209"/>
  <c r="L20" i="194"/>
  <c r="G20" i="223"/>
  <c r="L20" i="223" s="1"/>
  <c r="L56" i="223"/>
  <c r="K9" i="208"/>
  <c r="L20" i="163"/>
  <c r="K33" i="208"/>
  <c r="L20" i="171"/>
  <c r="K27" i="208"/>
  <c r="L20" i="169"/>
  <c r="K24" i="208"/>
  <c r="L20" i="168"/>
  <c r="K21" i="208"/>
  <c r="L20" i="167"/>
  <c r="K14" i="209"/>
  <c r="L20" i="187"/>
  <c r="K32" i="209"/>
  <c r="L20" i="192"/>
  <c r="K30" i="209"/>
  <c r="L20" i="202"/>
  <c r="G20" i="206"/>
  <c r="G82" i="152"/>
  <c r="L82" i="152" s="1"/>
  <c r="G82" i="148"/>
  <c r="G18" i="183"/>
  <c r="I28" i="209" s="1"/>
  <c r="G26" i="206"/>
  <c r="Q6" i="209" s="1"/>
  <c r="P17" i="209"/>
  <c r="L25" i="188"/>
  <c r="P9" i="209"/>
  <c r="L25" i="194"/>
  <c r="P8" i="208"/>
  <c r="L25" i="155"/>
  <c r="P32" i="208"/>
  <c r="L25" i="162"/>
  <c r="P26" i="208"/>
  <c r="L25" i="161"/>
  <c r="P23" i="208"/>
  <c r="L25" i="160"/>
  <c r="P17" i="208"/>
  <c r="L25" i="158"/>
  <c r="G46" i="222"/>
  <c r="L46" i="222" s="1"/>
  <c r="G19" i="174"/>
  <c r="G23" i="174"/>
  <c r="G27" i="174"/>
  <c r="G13" i="176"/>
  <c r="G25" i="176"/>
  <c r="P19" i="209" s="1"/>
  <c r="G25" i="178"/>
  <c r="P25" i="209" s="1"/>
  <c r="G20" i="183"/>
  <c r="K28" i="209" s="1"/>
  <c r="G24" i="183"/>
  <c r="G46" i="183"/>
  <c r="G24" i="206"/>
  <c r="O6" i="209" s="1"/>
  <c r="G28" i="160"/>
  <c r="S23" i="208" s="1"/>
  <c r="G16" i="206"/>
  <c r="L16" i="206" s="1"/>
  <c r="G28" i="162"/>
  <c r="G28" i="158"/>
  <c r="S17" i="208" s="1"/>
  <c r="G19" i="175"/>
  <c r="J16" i="209" s="1"/>
  <c r="G28" i="187"/>
  <c r="S14" i="209" s="1"/>
  <c r="J32" i="208"/>
  <c r="L19" i="162"/>
  <c r="J26" i="208"/>
  <c r="L19" i="161"/>
  <c r="J17" i="208"/>
  <c r="L19" i="158"/>
  <c r="J27" i="208"/>
  <c r="L19" i="169"/>
  <c r="J24" i="208"/>
  <c r="L19" i="168"/>
  <c r="J31" i="209"/>
  <c r="L19" i="180"/>
  <c r="J8" i="208"/>
  <c r="L19" i="155"/>
  <c r="J23" i="208"/>
  <c r="L19" i="160"/>
  <c r="J9" i="208"/>
  <c r="L19" i="163"/>
  <c r="J33" i="208"/>
  <c r="L19" i="171"/>
  <c r="J30" i="208"/>
  <c r="L19" i="170"/>
  <c r="J18" i="208"/>
  <c r="L19" i="166"/>
  <c r="G64" i="205"/>
  <c r="L64" i="205" s="1"/>
  <c r="J17" i="209"/>
  <c r="L19" i="188"/>
  <c r="J9" i="209"/>
  <c r="L19" i="194"/>
  <c r="L27" i="155"/>
  <c r="R8" i="208"/>
  <c r="R23" i="208"/>
  <c r="L27" i="160"/>
  <c r="R9" i="208"/>
  <c r="L27" i="163"/>
  <c r="R33" i="208"/>
  <c r="L27" i="171"/>
  <c r="R30" i="208"/>
  <c r="L27" i="170"/>
  <c r="R18" i="208"/>
  <c r="L27" i="166"/>
  <c r="R17" i="209"/>
  <c r="L27" i="188"/>
  <c r="L27" i="194"/>
  <c r="R9" i="209"/>
  <c r="R32" i="208"/>
  <c r="L27" i="162"/>
  <c r="R26" i="208"/>
  <c r="L27" i="161"/>
  <c r="R17" i="208"/>
  <c r="L27" i="158"/>
  <c r="L27" i="169"/>
  <c r="R27" i="208"/>
  <c r="R24" i="208"/>
  <c r="L27" i="168"/>
  <c r="R31" i="209"/>
  <c r="L27" i="180"/>
  <c r="L26" i="162"/>
  <c r="Q32" i="208"/>
  <c r="Q26" i="208"/>
  <c r="L26" i="161"/>
  <c r="Q17" i="208"/>
  <c r="L26" i="158"/>
  <c r="Q27" i="208"/>
  <c r="L26" i="169"/>
  <c r="Q24" i="208"/>
  <c r="L26" i="168"/>
  <c r="G26" i="223"/>
  <c r="L26" i="223" s="1"/>
  <c r="L62" i="223"/>
  <c r="Q8" i="208"/>
  <c r="L26" i="155"/>
  <c r="L26" i="160"/>
  <c r="Q23" i="208"/>
  <c r="Q9" i="208"/>
  <c r="L26" i="163"/>
  <c r="Q33" i="208"/>
  <c r="L26" i="171"/>
  <c r="Q30" i="208"/>
  <c r="L26" i="170"/>
  <c r="Q26" i="209"/>
  <c r="L26" i="191"/>
  <c r="L26" i="206"/>
  <c r="Q32" i="209"/>
  <c r="L26" i="192"/>
  <c r="Q30" i="209"/>
  <c r="L26" i="202"/>
  <c r="L24" i="162"/>
  <c r="O32" i="208"/>
  <c r="O17" i="208"/>
  <c r="L24" i="158"/>
  <c r="L24" i="168"/>
  <c r="O24" i="208"/>
  <c r="O32" i="209"/>
  <c r="L24" i="192"/>
  <c r="G24" i="223"/>
  <c r="L24" i="223" s="1"/>
  <c r="L60" i="223"/>
  <c r="O8" i="208"/>
  <c r="L24" i="155"/>
  <c r="O23" i="208"/>
  <c r="L24" i="160"/>
  <c r="O9" i="208"/>
  <c r="L24" i="163"/>
  <c r="O33" i="208"/>
  <c r="L24" i="171"/>
  <c r="O30" i="208"/>
  <c r="L24" i="170"/>
  <c r="O18" i="208"/>
  <c r="L24" i="166"/>
  <c r="O30" i="209"/>
  <c r="L24" i="202"/>
  <c r="N8" i="208"/>
  <c r="L23" i="155"/>
  <c r="N23" i="208"/>
  <c r="L23" i="160"/>
  <c r="L23" i="163"/>
  <c r="N9" i="208"/>
  <c r="L23" i="171"/>
  <c r="N33" i="208"/>
  <c r="L23" i="170"/>
  <c r="N30" i="208"/>
  <c r="N18" i="208"/>
  <c r="L23" i="166"/>
  <c r="L23" i="180"/>
  <c r="N31" i="209"/>
  <c r="L23" i="205"/>
  <c r="N32" i="208"/>
  <c r="L23" i="162"/>
  <c r="N26" i="208"/>
  <c r="L23" i="161"/>
  <c r="L23" i="169"/>
  <c r="N27" i="208"/>
  <c r="N24" i="208"/>
  <c r="L23" i="168"/>
  <c r="N21" i="208"/>
  <c r="L23" i="167"/>
  <c r="L23" i="194"/>
  <c r="N9" i="209"/>
  <c r="M8" i="208"/>
  <c r="L22" i="155"/>
  <c r="M23" i="208"/>
  <c r="L22" i="160"/>
  <c r="M9" i="208"/>
  <c r="L22" i="163"/>
  <c r="M33" i="208"/>
  <c r="L22" i="171"/>
  <c r="L22" i="170"/>
  <c r="M30" i="208"/>
  <c r="M18" i="208"/>
  <c r="L22" i="166"/>
  <c r="L22" i="165"/>
  <c r="M15" i="208"/>
  <c r="G22" i="223"/>
  <c r="L22" i="223" s="1"/>
  <c r="L58" i="223"/>
  <c r="L22" i="162"/>
  <c r="M32" i="208"/>
  <c r="M26" i="208"/>
  <c r="L22" i="161"/>
  <c r="L22" i="158"/>
  <c r="M17" i="208"/>
  <c r="M27" i="208"/>
  <c r="L22" i="169"/>
  <c r="M24" i="208"/>
  <c r="L22" i="168"/>
  <c r="M21" i="208"/>
  <c r="L22" i="167"/>
  <c r="G22" i="153"/>
  <c r="L40" i="153"/>
  <c r="M26" i="209"/>
  <c r="L22" i="191"/>
  <c r="M32" i="209"/>
  <c r="L22" i="192"/>
  <c r="M30" i="209"/>
  <c r="L22" i="202"/>
  <c r="L8" i="208"/>
  <c r="L21" i="155"/>
  <c r="L23" i="208"/>
  <c r="L21" i="160"/>
  <c r="L20" i="208"/>
  <c r="L21" i="159"/>
  <c r="L9" i="208"/>
  <c r="L21" i="163"/>
  <c r="L21" i="171"/>
  <c r="L33" i="208"/>
  <c r="L21" i="170"/>
  <c r="L30" i="208"/>
  <c r="L18" i="208"/>
  <c r="L21" i="166"/>
  <c r="L15" i="208"/>
  <c r="L21" i="165"/>
  <c r="L32" i="208"/>
  <c r="L21" i="162"/>
  <c r="L26" i="208"/>
  <c r="L21" i="161"/>
  <c r="L17" i="208"/>
  <c r="L21" i="158"/>
  <c r="L21" i="157"/>
  <c r="L14" i="208"/>
  <c r="L21" i="169"/>
  <c r="L27" i="208"/>
  <c r="L24" i="208"/>
  <c r="L21" i="168"/>
  <c r="L21" i="208"/>
  <c r="L21" i="167"/>
  <c r="L17" i="209"/>
  <c r="L21" i="188"/>
  <c r="L9" i="209"/>
  <c r="L21" i="194"/>
  <c r="L31" i="209"/>
  <c r="L21" i="180"/>
  <c r="H8" i="208"/>
  <c r="L17" i="155"/>
  <c r="H26" i="208"/>
  <c r="L17" i="161"/>
  <c r="H11" i="208"/>
  <c r="L17" i="156"/>
  <c r="H27" i="208"/>
  <c r="L17" i="169"/>
  <c r="H24" i="208"/>
  <c r="L17" i="168"/>
  <c r="G28" i="155"/>
  <c r="S8" i="208" s="1"/>
  <c r="H32" i="208"/>
  <c r="L17" i="162"/>
  <c r="G28" i="218"/>
  <c r="L28" i="218" s="1"/>
  <c r="H23" i="208"/>
  <c r="L17" i="160"/>
  <c r="G28" i="159"/>
  <c r="S20" i="208" s="1"/>
  <c r="G28" i="156"/>
  <c r="L28" i="156" s="1"/>
  <c r="H9" i="208"/>
  <c r="L17" i="163"/>
  <c r="H33" i="208"/>
  <c r="L17" i="171"/>
  <c r="H30" i="208"/>
  <c r="L17" i="170"/>
  <c r="H12" i="208"/>
  <c r="L17" i="164"/>
  <c r="G46" i="205"/>
  <c r="G17" i="177"/>
  <c r="H22" i="209" s="1"/>
  <c r="G46" i="173"/>
  <c r="L46" i="173" s="1"/>
  <c r="G17" i="176"/>
  <c r="H19" i="209" s="1"/>
  <c r="G46" i="177"/>
  <c r="L46" i="177" s="1"/>
  <c r="G46" i="223"/>
  <c r="L46" i="223" s="1"/>
  <c r="G64" i="175"/>
  <c r="L64" i="175" s="1"/>
  <c r="H9" i="209"/>
  <c r="L17" i="194"/>
  <c r="H31" i="209"/>
  <c r="L17" i="180"/>
  <c r="I8" i="208"/>
  <c r="L18" i="155"/>
  <c r="I26" i="208"/>
  <c r="L18" i="161"/>
  <c r="I20" i="208"/>
  <c r="L18" i="159"/>
  <c r="I11" i="208"/>
  <c r="L18" i="156"/>
  <c r="I14" i="209"/>
  <c r="L18" i="187"/>
  <c r="I32" i="209"/>
  <c r="L18" i="192"/>
  <c r="G18" i="223"/>
  <c r="L18" i="223" s="1"/>
  <c r="L54" i="223"/>
  <c r="I32" i="208"/>
  <c r="L18" i="162"/>
  <c r="I23" i="208"/>
  <c r="L18" i="160"/>
  <c r="I17" i="208"/>
  <c r="L18" i="158"/>
  <c r="I14" i="208"/>
  <c r="L18" i="157"/>
  <c r="I26" i="209"/>
  <c r="L18" i="191"/>
  <c r="I11" i="209"/>
  <c r="L18" i="186"/>
  <c r="I30" i="209"/>
  <c r="L18" i="202"/>
  <c r="F32" i="208"/>
  <c r="L15" i="162"/>
  <c r="F23" i="208"/>
  <c r="L15" i="160"/>
  <c r="F17" i="208"/>
  <c r="L15" i="158"/>
  <c r="F9" i="208"/>
  <c r="L15" i="163"/>
  <c r="F33" i="208"/>
  <c r="L15" i="171"/>
  <c r="F30" i="208"/>
  <c r="L15" i="170"/>
  <c r="L15" i="166"/>
  <c r="F18" i="208"/>
  <c r="L15" i="164"/>
  <c r="F12" i="208"/>
  <c r="F31" i="209"/>
  <c r="L15" i="180"/>
  <c r="F8" i="208"/>
  <c r="L15" i="155"/>
  <c r="F26" i="208"/>
  <c r="L15" i="161"/>
  <c r="F11" i="208"/>
  <c r="L15" i="156"/>
  <c r="F27" i="208"/>
  <c r="L15" i="169"/>
  <c r="F24" i="208"/>
  <c r="L15" i="168"/>
  <c r="F17" i="209"/>
  <c r="L15" i="188"/>
  <c r="F9" i="209"/>
  <c r="L15" i="194"/>
  <c r="L15" i="205"/>
  <c r="G32" i="208"/>
  <c r="L16" i="162"/>
  <c r="G23" i="208"/>
  <c r="L16" i="160"/>
  <c r="G9" i="208"/>
  <c r="L16" i="163"/>
  <c r="G33" i="208"/>
  <c r="L16" i="171"/>
  <c r="L16" i="170"/>
  <c r="G30" i="208"/>
  <c r="L16" i="166"/>
  <c r="G18" i="208"/>
  <c r="G26" i="209"/>
  <c r="L16" i="191"/>
  <c r="G6" i="209"/>
  <c r="G16" i="223"/>
  <c r="L16" i="223" s="1"/>
  <c r="L52" i="223"/>
  <c r="G8" i="208"/>
  <c r="L16" i="155"/>
  <c r="L16" i="161"/>
  <c r="G26" i="208"/>
  <c r="G27" i="208"/>
  <c r="L16" i="169"/>
  <c r="L16" i="168"/>
  <c r="G24" i="208"/>
  <c r="G32" i="209"/>
  <c r="L16" i="192"/>
  <c r="G30" i="209"/>
  <c r="L16" i="202"/>
  <c r="E32" i="208"/>
  <c r="L14" i="162"/>
  <c r="L14" i="160"/>
  <c r="E23" i="208"/>
  <c r="L14" i="163"/>
  <c r="E9" i="208"/>
  <c r="E33" i="208"/>
  <c r="L14" i="171"/>
  <c r="E30" i="208"/>
  <c r="L14" i="170"/>
  <c r="E12" i="208"/>
  <c r="L14" i="164"/>
  <c r="G14" i="153"/>
  <c r="L32" i="153"/>
  <c r="E26" i="209"/>
  <c r="L14" i="191"/>
  <c r="L14" i="202"/>
  <c r="E30" i="209"/>
  <c r="E8" i="208"/>
  <c r="L14" i="155"/>
  <c r="L14" i="161"/>
  <c r="E26" i="208"/>
  <c r="L14" i="156"/>
  <c r="E11" i="208"/>
  <c r="E27" i="208"/>
  <c r="L14" i="169"/>
  <c r="E24" i="208"/>
  <c r="L14" i="168"/>
  <c r="E11" i="209"/>
  <c r="L14" i="186"/>
  <c r="E32" i="209"/>
  <c r="L14" i="192"/>
  <c r="G14" i="223"/>
  <c r="L14" i="223" s="1"/>
  <c r="L50" i="223"/>
  <c r="G28" i="134"/>
  <c r="D32" i="208"/>
  <c r="L13" i="162"/>
  <c r="D23" i="208"/>
  <c r="L13" i="160"/>
  <c r="D14" i="208"/>
  <c r="L13" i="157"/>
  <c r="D9" i="208"/>
  <c r="L13" i="163"/>
  <c r="L13" i="171"/>
  <c r="D33" i="208"/>
  <c r="D30" i="208"/>
  <c r="L13" i="170"/>
  <c r="L13" i="165"/>
  <c r="D15" i="208"/>
  <c r="G13" i="217"/>
  <c r="L13" i="217" s="1"/>
  <c r="L31" i="217"/>
  <c r="L13" i="194"/>
  <c r="D9" i="209"/>
  <c r="D8" i="208"/>
  <c r="L13" i="155"/>
  <c r="D26" i="208"/>
  <c r="L13" i="161"/>
  <c r="L13" i="159"/>
  <c r="D20" i="208"/>
  <c r="D11" i="208"/>
  <c r="L13" i="156"/>
  <c r="D24" i="208"/>
  <c r="L13" i="168"/>
  <c r="D21" i="208"/>
  <c r="L13" i="167"/>
  <c r="C8" i="208"/>
  <c r="L12" i="155"/>
  <c r="C26" i="208"/>
  <c r="L12" i="161"/>
  <c r="C20" i="208"/>
  <c r="L12" i="159"/>
  <c r="S11" i="208"/>
  <c r="C11" i="208"/>
  <c r="L12" i="156"/>
  <c r="S27" i="208"/>
  <c r="L28" i="169"/>
  <c r="C27" i="208"/>
  <c r="L12" i="169"/>
  <c r="C24" i="208"/>
  <c r="L12" i="168"/>
  <c r="C21" i="208"/>
  <c r="L12" i="167"/>
  <c r="G28" i="163"/>
  <c r="L46" i="163"/>
  <c r="G46" i="153"/>
  <c r="L46" i="153" s="1"/>
  <c r="L46" i="170"/>
  <c r="G64" i="153"/>
  <c r="L64" i="153" s="1"/>
  <c r="L64" i="170"/>
  <c r="G82" i="153"/>
  <c r="L82" i="153" s="1"/>
  <c r="L82" i="170"/>
  <c r="C26" i="209"/>
  <c r="L12" i="191"/>
  <c r="G64" i="173"/>
  <c r="L64" i="194"/>
  <c r="G64" i="177"/>
  <c r="L64" i="177" s="1"/>
  <c r="L64" i="198"/>
  <c r="C8" i="209"/>
  <c r="L12" i="185"/>
  <c r="C11" i="209"/>
  <c r="L12" i="186"/>
  <c r="C20" i="209"/>
  <c r="L12" i="189"/>
  <c r="L12" i="203"/>
  <c r="C33" i="209"/>
  <c r="S12" i="209"/>
  <c r="L28" i="195"/>
  <c r="G28" i="199"/>
  <c r="L46" i="199"/>
  <c r="C32" i="209"/>
  <c r="L12" i="192"/>
  <c r="L46" i="219"/>
  <c r="L82" i="220"/>
  <c r="L82" i="148"/>
  <c r="L46" i="220"/>
  <c r="P220" i="213"/>
  <c r="L64" i="186"/>
  <c r="L82" i="161"/>
  <c r="L28" i="168"/>
  <c r="L46" i="168"/>
  <c r="C32" i="208"/>
  <c r="L12" i="162"/>
  <c r="C23" i="208"/>
  <c r="L12" i="160"/>
  <c r="C14" i="208"/>
  <c r="L12" i="157"/>
  <c r="C9" i="208"/>
  <c r="L12" i="163"/>
  <c r="C33" i="208"/>
  <c r="L12" i="171"/>
  <c r="S30" i="208"/>
  <c r="L28" i="170"/>
  <c r="C30" i="208"/>
  <c r="L12" i="170"/>
  <c r="C15" i="208"/>
  <c r="L12" i="165"/>
  <c r="C14" i="209"/>
  <c r="L12" i="187"/>
  <c r="C6" i="209"/>
  <c r="L12" i="206"/>
  <c r="C21" i="209"/>
  <c r="L12" i="198"/>
  <c r="C15" i="209"/>
  <c r="L12" i="196"/>
  <c r="C27" i="209"/>
  <c r="L12" i="200"/>
  <c r="G12" i="223"/>
  <c r="L12" i="223" s="1"/>
  <c r="L48" i="223"/>
  <c r="C24" i="209"/>
  <c r="L12" i="199"/>
  <c r="L28" i="191"/>
  <c r="L64" i="183"/>
  <c r="L46" i="175"/>
  <c r="L82" i="157"/>
  <c r="L28" i="164"/>
  <c r="L46" i="164"/>
  <c r="L28" i="166"/>
  <c r="L46" i="186"/>
  <c r="G51" i="216"/>
  <c r="L51" i="216" s="1"/>
  <c r="G59" i="216"/>
  <c r="G81" i="216"/>
  <c r="L81" i="216" s="1"/>
  <c r="G31" i="152"/>
  <c r="L31" i="152" s="1"/>
  <c r="G35" i="152"/>
  <c r="L35" i="152" s="1"/>
  <c r="G39" i="152"/>
  <c r="L39" i="152" s="1"/>
  <c r="G43" i="152"/>
  <c r="G53" i="151"/>
  <c r="L53" i="151" s="1"/>
  <c r="G61" i="151"/>
  <c r="G67" i="151"/>
  <c r="L67" i="151" s="1"/>
  <c r="G37" i="150"/>
  <c r="G41" i="150"/>
  <c r="L41" i="150" s="1"/>
  <c r="G45" i="150"/>
  <c r="G55" i="149"/>
  <c r="L55" i="149" s="1"/>
  <c r="G63" i="149"/>
  <c r="L63" i="149" s="1"/>
  <c r="G69" i="149"/>
  <c r="L69" i="149" s="1"/>
  <c r="G31" i="148"/>
  <c r="L31" i="148" s="1"/>
  <c r="G39" i="148"/>
  <c r="L39" i="148" s="1"/>
  <c r="G49" i="147"/>
  <c r="L49" i="147" s="1"/>
  <c r="G57" i="147"/>
  <c r="G71" i="147"/>
  <c r="L71" i="147" s="1"/>
  <c r="G46" i="171"/>
  <c r="G52" i="154"/>
  <c r="L52" i="154" s="1"/>
  <c r="G60" i="154"/>
  <c r="L60" i="154" s="1"/>
  <c r="G66" i="154"/>
  <c r="L66" i="154" s="1"/>
  <c r="G30" i="216"/>
  <c r="L30" i="216" s="1"/>
  <c r="G32" i="216"/>
  <c r="L32" i="216" s="1"/>
  <c r="G34" i="216"/>
  <c r="G36" i="216"/>
  <c r="G38" i="216"/>
  <c r="G40" i="216"/>
  <c r="G42" i="216"/>
  <c r="G44" i="216"/>
  <c r="G48" i="152"/>
  <c r="L48" i="152" s="1"/>
  <c r="G52" i="152"/>
  <c r="L52" i="152" s="1"/>
  <c r="G56" i="152"/>
  <c r="G60" i="152"/>
  <c r="G66" i="152"/>
  <c r="L66" i="152" s="1"/>
  <c r="G74" i="152"/>
  <c r="G30" i="151"/>
  <c r="L30" i="151" s="1"/>
  <c r="G32" i="151"/>
  <c r="L32" i="151" s="1"/>
  <c r="G34" i="151"/>
  <c r="L34" i="151" s="1"/>
  <c r="G36" i="151"/>
  <c r="G38" i="151"/>
  <c r="G40" i="151"/>
  <c r="L40" i="151" s="1"/>
  <c r="G42" i="151"/>
  <c r="L42" i="151" s="1"/>
  <c r="G44" i="151"/>
  <c r="L44" i="151" s="1"/>
  <c r="G50" i="150"/>
  <c r="G54" i="150"/>
  <c r="G58" i="150"/>
  <c r="L58" i="150" s="1"/>
  <c r="G62" i="150"/>
  <c r="G68" i="150"/>
  <c r="G76" i="150"/>
  <c r="L76" i="150" s="1"/>
  <c r="G30" i="149"/>
  <c r="G34" i="149"/>
  <c r="L34" i="149" s="1"/>
  <c r="G38" i="149"/>
  <c r="G42" i="149"/>
  <c r="L42" i="149" s="1"/>
  <c r="G48" i="148"/>
  <c r="L48" i="148" s="1"/>
  <c r="G52" i="148"/>
  <c r="G56" i="148"/>
  <c r="G60" i="148"/>
  <c r="G70" i="148"/>
  <c r="G78" i="148"/>
  <c r="G32" i="147"/>
  <c r="L32" i="147" s="1"/>
  <c r="G36" i="147"/>
  <c r="G40" i="147"/>
  <c r="G44" i="147"/>
  <c r="G31" i="154"/>
  <c r="L31" i="154" s="1"/>
  <c r="G35" i="154"/>
  <c r="L35" i="154" s="1"/>
  <c r="G39" i="154"/>
  <c r="L39" i="154" s="1"/>
  <c r="G43" i="154"/>
  <c r="G55" i="216"/>
  <c r="G63" i="216"/>
  <c r="L63" i="216" s="1"/>
  <c r="G73" i="216"/>
  <c r="G33" i="152"/>
  <c r="L33" i="152" s="1"/>
  <c r="G37" i="152"/>
  <c r="L37" i="152" s="1"/>
  <c r="G41" i="152"/>
  <c r="L41" i="152" s="1"/>
  <c r="G45" i="152"/>
  <c r="L45" i="152" s="1"/>
  <c r="G49" i="151"/>
  <c r="L49" i="151" s="1"/>
  <c r="G57" i="151"/>
  <c r="L57" i="151" s="1"/>
  <c r="G75" i="151"/>
  <c r="L75" i="151" s="1"/>
  <c r="G33" i="150"/>
  <c r="G39" i="150"/>
  <c r="L39" i="150" s="1"/>
  <c r="G43" i="150"/>
  <c r="G51" i="149"/>
  <c r="L51" i="149" s="1"/>
  <c r="G59" i="149"/>
  <c r="L59" i="149" s="1"/>
  <c r="G77" i="149"/>
  <c r="L77" i="149" s="1"/>
  <c r="G35" i="148"/>
  <c r="G43" i="148"/>
  <c r="G53" i="147"/>
  <c r="L53" i="147" s="1"/>
  <c r="G61" i="147"/>
  <c r="G79" i="147"/>
  <c r="G24" i="181"/>
  <c r="G82" i="171"/>
  <c r="L82" i="171" s="1"/>
  <c r="G25" i="220"/>
  <c r="G18" i="153"/>
  <c r="I31" i="208" s="1"/>
  <c r="G30" i="154"/>
  <c r="L30" i="154" s="1"/>
  <c r="G32" i="154"/>
  <c r="L32" i="154" s="1"/>
  <c r="G34" i="154"/>
  <c r="L34" i="154" s="1"/>
  <c r="G36" i="154"/>
  <c r="G38" i="154"/>
  <c r="G20" i="154" s="1"/>
  <c r="K34" i="208" s="1"/>
  <c r="G40" i="154"/>
  <c r="L40" i="154" s="1"/>
  <c r="G42" i="154"/>
  <c r="G44" i="154"/>
  <c r="L44" i="154" s="1"/>
  <c r="G50" i="154"/>
  <c r="L50" i="154" s="1"/>
  <c r="G54" i="154"/>
  <c r="G58" i="154"/>
  <c r="L58" i="154" s="1"/>
  <c r="G62" i="154"/>
  <c r="L62" i="154" s="1"/>
  <c r="G70" i="154"/>
  <c r="L70" i="154" s="1"/>
  <c r="G78" i="154"/>
  <c r="L78" i="154" s="1"/>
  <c r="G30" i="152"/>
  <c r="L30" i="152" s="1"/>
  <c r="G32" i="152"/>
  <c r="L32" i="152" s="1"/>
  <c r="G34" i="152"/>
  <c r="L34" i="152" s="1"/>
  <c r="G36" i="152"/>
  <c r="G38" i="152"/>
  <c r="G40" i="152"/>
  <c r="L40" i="152" s="1"/>
  <c r="G42" i="152"/>
  <c r="G44" i="152"/>
  <c r="L44" i="152" s="1"/>
  <c r="G50" i="152"/>
  <c r="L50" i="152" s="1"/>
  <c r="G54" i="152"/>
  <c r="L54" i="152" s="1"/>
  <c r="G58" i="152"/>
  <c r="L58" i="152" s="1"/>
  <c r="G62" i="152"/>
  <c r="L62" i="152" s="1"/>
  <c r="G70" i="152"/>
  <c r="L70" i="152" s="1"/>
  <c r="G78" i="152"/>
  <c r="G38" i="150"/>
  <c r="G40" i="150"/>
  <c r="G42" i="150"/>
  <c r="G44" i="150"/>
  <c r="G48" i="150"/>
  <c r="L48" i="150" s="1"/>
  <c r="G52" i="150"/>
  <c r="G56" i="150"/>
  <c r="G60" i="150"/>
  <c r="G72" i="150"/>
  <c r="G80" i="150"/>
  <c r="G32" i="149"/>
  <c r="G36" i="149"/>
  <c r="G40" i="149"/>
  <c r="L40" i="149" s="1"/>
  <c r="G44" i="149"/>
  <c r="L44" i="149" s="1"/>
  <c r="G50" i="148"/>
  <c r="G54" i="148"/>
  <c r="G58" i="148"/>
  <c r="L58" i="148" s="1"/>
  <c r="G62" i="148"/>
  <c r="G66" i="148"/>
  <c r="L66" i="148" s="1"/>
  <c r="G74" i="148"/>
  <c r="G30" i="147"/>
  <c r="L30" i="147" s="1"/>
  <c r="G34" i="147"/>
  <c r="G38" i="147"/>
  <c r="G42" i="147"/>
  <c r="G22" i="180"/>
  <c r="G28" i="226"/>
  <c r="L28" i="226" s="1"/>
  <c r="G26" i="181"/>
  <c r="G16" i="181"/>
  <c r="G14" i="181"/>
  <c r="G17" i="175"/>
  <c r="H16" i="209" s="1"/>
  <c r="G25" i="175"/>
  <c r="G12" i="176"/>
  <c r="G25" i="183"/>
  <c r="P28" i="209" s="1"/>
  <c r="G16" i="222"/>
  <c r="G20" i="222"/>
  <c r="G24" i="222"/>
  <c r="G16" i="175"/>
  <c r="G16" i="209" s="1"/>
  <c r="G20" i="175"/>
  <c r="K16" i="209" s="1"/>
  <c r="G24" i="175"/>
  <c r="G14" i="177"/>
  <c r="E22" i="209" s="1"/>
  <c r="G18" i="177"/>
  <c r="I22" i="209" s="1"/>
  <c r="G19" i="222"/>
  <c r="G23" i="222"/>
  <c r="G46" i="180"/>
  <c r="L46" i="180" s="1"/>
  <c r="G14" i="206"/>
  <c r="G18" i="206"/>
  <c r="G28" i="185"/>
  <c r="G28" i="189"/>
  <c r="G22" i="181"/>
  <c r="G18" i="181"/>
  <c r="I34" i="209" s="1"/>
  <c r="G46" i="181"/>
  <c r="L46" i="181" s="1"/>
  <c r="G28" i="197"/>
  <c r="G28" i="225"/>
  <c r="L28" i="225" s="1"/>
  <c r="G16" i="180"/>
  <c r="G26" i="180"/>
  <c r="G14" i="180"/>
  <c r="G12" i="180"/>
  <c r="G24" i="180"/>
  <c r="G53" i="182"/>
  <c r="L53" i="182" s="1"/>
  <c r="G17" i="205"/>
  <c r="G61" i="182"/>
  <c r="G25" i="182" s="1"/>
  <c r="P7" i="209" s="1"/>
  <c r="G25" i="205"/>
  <c r="G55" i="182"/>
  <c r="L55" i="182" s="1"/>
  <c r="G19" i="205"/>
  <c r="G64" i="222"/>
  <c r="L64" i="222" s="1"/>
  <c r="G28" i="224"/>
  <c r="L28" i="224" s="1"/>
  <c r="G28" i="192"/>
  <c r="G64" i="181"/>
  <c r="L64" i="181" s="1"/>
  <c r="G15" i="181"/>
  <c r="G19" i="181"/>
  <c r="G23" i="181"/>
  <c r="G27" i="181"/>
  <c r="G28" i="200"/>
  <c r="G13" i="206"/>
  <c r="G15" i="206"/>
  <c r="G17" i="206"/>
  <c r="G19" i="206"/>
  <c r="G21" i="206"/>
  <c r="G23" i="206"/>
  <c r="G25" i="206"/>
  <c r="G27" i="206"/>
  <c r="G64" i="180"/>
  <c r="L64" i="180" s="1"/>
  <c r="G64" i="223"/>
  <c r="L64" i="223" s="1"/>
  <c r="G28" i="202"/>
  <c r="G51" i="182"/>
  <c r="L51" i="182" s="1"/>
  <c r="G49" i="182"/>
  <c r="L49" i="182" s="1"/>
  <c r="G13" i="205"/>
  <c r="G57" i="182"/>
  <c r="L57" i="182" s="1"/>
  <c r="G21" i="205"/>
  <c r="G48" i="182"/>
  <c r="L48" i="182" s="1"/>
  <c r="G50" i="182"/>
  <c r="L50" i="182" s="1"/>
  <c r="G52" i="182"/>
  <c r="L52" i="182" s="1"/>
  <c r="G54" i="182"/>
  <c r="G56" i="182"/>
  <c r="G58" i="182"/>
  <c r="L58" i="182" s="1"/>
  <c r="G60" i="182"/>
  <c r="L60" i="182" s="1"/>
  <c r="G62" i="182"/>
  <c r="L62" i="182" s="1"/>
  <c r="G64" i="174"/>
  <c r="L64" i="174" s="1"/>
  <c r="G64" i="178"/>
  <c r="L64" i="178" s="1"/>
  <c r="G63" i="182"/>
  <c r="L63" i="182" s="1"/>
  <c r="G27" i="205"/>
  <c r="G64" i="176"/>
  <c r="L64" i="176" s="1"/>
  <c r="G13" i="181"/>
  <c r="G17" i="181"/>
  <c r="G21" i="181"/>
  <c r="G28" i="196"/>
  <c r="G28" i="203"/>
  <c r="G64" i="206"/>
  <c r="L64" i="206" s="1"/>
  <c r="G28" i="198"/>
  <c r="G13" i="180"/>
  <c r="G59" i="182"/>
  <c r="L59" i="182" s="1"/>
  <c r="G32" i="182"/>
  <c r="L32" i="182" s="1"/>
  <c r="G14" i="205"/>
  <c r="G36" i="182"/>
  <c r="G18" i="205"/>
  <c r="G40" i="182"/>
  <c r="L40" i="182" s="1"/>
  <c r="G22" i="205"/>
  <c r="G44" i="182"/>
  <c r="L44" i="182" s="1"/>
  <c r="G26" i="205"/>
  <c r="G13" i="173"/>
  <c r="G17" i="173"/>
  <c r="G21" i="173"/>
  <c r="G12" i="174"/>
  <c r="G46" i="174"/>
  <c r="L46" i="174" s="1"/>
  <c r="G28" i="186"/>
  <c r="G18" i="176"/>
  <c r="G22" i="176"/>
  <c r="G26" i="176"/>
  <c r="G13" i="177"/>
  <c r="G21" i="177"/>
  <c r="G12" i="178"/>
  <c r="G16" i="178"/>
  <c r="G24" i="178"/>
  <c r="G46" i="178"/>
  <c r="L46" i="178" s="1"/>
  <c r="G28" i="190"/>
  <c r="G15" i="183"/>
  <c r="G19" i="183"/>
  <c r="G23" i="183"/>
  <c r="G27" i="183"/>
  <c r="G14" i="222"/>
  <c r="L14" i="222" s="1"/>
  <c r="G12" i="173"/>
  <c r="G16" i="173"/>
  <c r="G24" i="173"/>
  <c r="G15" i="174"/>
  <c r="G22" i="175"/>
  <c r="G21" i="176"/>
  <c r="G12" i="177"/>
  <c r="G15" i="178"/>
  <c r="G19" i="178"/>
  <c r="G23" i="178"/>
  <c r="G27" i="178"/>
  <c r="G14" i="183"/>
  <c r="G22" i="183"/>
  <c r="G26" i="183"/>
  <c r="G17" i="222"/>
  <c r="L17" i="222" s="1"/>
  <c r="G21" i="222"/>
  <c r="L21" i="222" s="1"/>
  <c r="G12" i="181"/>
  <c r="G13" i="182"/>
  <c r="G30" i="182"/>
  <c r="L30" i="182" s="1"/>
  <c r="G12" i="205"/>
  <c r="G34" i="182"/>
  <c r="L34" i="182" s="1"/>
  <c r="G16" i="205"/>
  <c r="G38" i="182"/>
  <c r="G20" i="205"/>
  <c r="G42" i="182"/>
  <c r="L42" i="182" s="1"/>
  <c r="G24" i="205"/>
  <c r="G15" i="173"/>
  <c r="G19" i="173"/>
  <c r="G23" i="173"/>
  <c r="G27" i="173"/>
  <c r="G14" i="174"/>
  <c r="G13" i="175"/>
  <c r="G21" i="175"/>
  <c r="G16" i="176"/>
  <c r="G20" i="176"/>
  <c r="G24" i="176"/>
  <c r="G46" i="176"/>
  <c r="L46" i="176" s="1"/>
  <c r="G28" i="188"/>
  <c r="G23" i="177"/>
  <c r="G14" i="178"/>
  <c r="G22" i="178"/>
  <c r="G26" i="178"/>
  <c r="G13" i="183"/>
  <c r="G17" i="183"/>
  <c r="G21" i="183"/>
  <c r="G12" i="222"/>
  <c r="L12" i="222" s="1"/>
  <c r="G14" i="173"/>
  <c r="G22" i="173"/>
  <c r="G26" i="173"/>
  <c r="G13" i="174"/>
  <c r="G17" i="174"/>
  <c r="G12" i="175"/>
  <c r="G15" i="176"/>
  <c r="G19" i="176"/>
  <c r="G23" i="176"/>
  <c r="G27" i="176"/>
  <c r="G22" i="177"/>
  <c r="G26" i="177"/>
  <c r="Q22" i="209" s="1"/>
  <c r="G13" i="178"/>
  <c r="G17" i="178"/>
  <c r="G21" i="178"/>
  <c r="G12" i="183"/>
  <c r="G16" i="183"/>
  <c r="G15" i="222"/>
  <c r="L15" i="222" s="1"/>
  <c r="G27" i="222"/>
  <c r="L27" i="222" s="1"/>
  <c r="G46" i="206"/>
  <c r="L46" i="206" s="1"/>
  <c r="G28" i="194"/>
  <c r="G46" i="146"/>
  <c r="L46" i="146" s="1"/>
  <c r="G46" i="216"/>
  <c r="L46" i="216" s="1"/>
  <c r="G46" i="151"/>
  <c r="L46" i="151" s="1"/>
  <c r="G46" i="149"/>
  <c r="L46" i="149" s="1"/>
  <c r="G46" i="147"/>
  <c r="L46" i="147" s="1"/>
  <c r="G64" i="154"/>
  <c r="L64" i="154" s="1"/>
  <c r="G64" i="152"/>
  <c r="L64" i="152" s="1"/>
  <c r="G64" i="150"/>
  <c r="L64" i="150" s="1"/>
  <c r="G64" i="148"/>
  <c r="L64" i="148" s="1"/>
  <c r="G82" i="146"/>
  <c r="L82" i="146" s="1"/>
  <c r="G82" i="216"/>
  <c r="L82" i="216" s="1"/>
  <c r="G82" i="151"/>
  <c r="L82" i="151" s="1"/>
  <c r="G82" i="149"/>
  <c r="L82" i="149" s="1"/>
  <c r="G82" i="147"/>
  <c r="L82" i="147" s="1"/>
  <c r="G20" i="217"/>
  <c r="L20" i="217" s="1"/>
  <c r="G24" i="217"/>
  <c r="L24" i="217" s="1"/>
  <c r="G46" i="152"/>
  <c r="L46" i="152" s="1"/>
  <c r="G46" i="150"/>
  <c r="L46" i="150" s="1"/>
  <c r="G46" i="148"/>
  <c r="L46" i="148" s="1"/>
  <c r="G64" i="146"/>
  <c r="L64" i="146" s="1"/>
  <c r="G64" i="216"/>
  <c r="L64" i="216" s="1"/>
  <c r="G64" i="151"/>
  <c r="L64" i="151" s="1"/>
  <c r="G64" i="149"/>
  <c r="L64" i="149" s="1"/>
  <c r="G64" i="147"/>
  <c r="L64" i="147" s="1"/>
  <c r="G82" i="150"/>
  <c r="L82" i="150" s="1"/>
  <c r="G13" i="146"/>
  <c r="G17" i="146"/>
  <c r="G21" i="146"/>
  <c r="G15" i="217"/>
  <c r="L15" i="217" s="1"/>
  <c r="G22" i="217"/>
  <c r="L22" i="217" s="1"/>
  <c r="G26" i="217"/>
  <c r="L26" i="217" s="1"/>
  <c r="G48" i="217"/>
  <c r="L48" i="217" s="1"/>
  <c r="G64" i="220"/>
  <c r="L64" i="220" s="1"/>
  <c r="G12" i="220"/>
  <c r="L12" i="220" s="1"/>
  <c r="G50" i="217"/>
  <c r="L50" i="217" s="1"/>
  <c r="G14" i="220"/>
  <c r="L14" i="220" s="1"/>
  <c r="G52" i="217"/>
  <c r="L52" i="217" s="1"/>
  <c r="G16" i="220"/>
  <c r="L16" i="220" s="1"/>
  <c r="G54" i="217"/>
  <c r="G18" i="217" s="1"/>
  <c r="G18" i="220"/>
  <c r="G57" i="217"/>
  <c r="L57" i="217" s="1"/>
  <c r="G21" i="220"/>
  <c r="L21" i="220" s="1"/>
  <c r="G59" i="217"/>
  <c r="G23" i="220"/>
  <c r="L23" i="220" s="1"/>
  <c r="G63" i="217"/>
  <c r="L63" i="217" s="1"/>
  <c r="G27" i="220"/>
  <c r="L27" i="220" s="1"/>
  <c r="G12" i="153"/>
  <c r="G16" i="153"/>
  <c r="G20" i="153"/>
  <c r="K31" i="208" s="1"/>
  <c r="G24" i="153"/>
  <c r="G27" i="146"/>
  <c r="G19" i="146"/>
  <c r="G17" i="217"/>
  <c r="L17" i="217" s="1"/>
  <c r="G26" i="153"/>
  <c r="G26" i="146"/>
  <c r="G18" i="146"/>
  <c r="I10" i="208" s="1"/>
  <c r="G27" i="153"/>
  <c r="G19" i="153"/>
  <c r="G12" i="146"/>
  <c r="G16" i="146"/>
  <c r="G24" i="146"/>
  <c r="G13" i="153"/>
  <c r="G17" i="153"/>
  <c r="G21" i="153"/>
  <c r="G23" i="146"/>
  <c r="G15" i="146"/>
  <c r="G22" i="146"/>
  <c r="G14" i="146"/>
  <c r="G23" i="153"/>
  <c r="G15" i="153"/>
  <c r="G61" i="217"/>
  <c r="G25" i="217" s="1"/>
  <c r="G49" i="154"/>
  <c r="L49" i="154" s="1"/>
  <c r="G51" i="154"/>
  <c r="L51" i="154" s="1"/>
  <c r="G53" i="154"/>
  <c r="L53" i="154" s="1"/>
  <c r="G55" i="154"/>
  <c r="L55" i="154" s="1"/>
  <c r="G57" i="154"/>
  <c r="L57" i="154" s="1"/>
  <c r="G59" i="154"/>
  <c r="L59" i="154" s="1"/>
  <c r="G61" i="154"/>
  <c r="L61" i="154" s="1"/>
  <c r="G63" i="154"/>
  <c r="L63" i="154" s="1"/>
  <c r="G67" i="154"/>
  <c r="L67" i="154" s="1"/>
  <c r="G69" i="154"/>
  <c r="L69" i="154" s="1"/>
  <c r="G71" i="154"/>
  <c r="L71" i="154" s="1"/>
  <c r="G73" i="154"/>
  <c r="L73" i="154" s="1"/>
  <c r="G75" i="154"/>
  <c r="L75" i="154" s="1"/>
  <c r="G77" i="154"/>
  <c r="L77" i="154" s="1"/>
  <c r="G79" i="154"/>
  <c r="G81" i="154"/>
  <c r="L81" i="154" s="1"/>
  <c r="G31" i="216"/>
  <c r="G33" i="216"/>
  <c r="L33" i="216" s="1"/>
  <c r="G35" i="216"/>
  <c r="L35" i="216" s="1"/>
  <c r="G37" i="216"/>
  <c r="G19" i="216" s="1"/>
  <c r="G39" i="216"/>
  <c r="L39" i="216" s="1"/>
  <c r="G41" i="216"/>
  <c r="G43" i="216"/>
  <c r="G45" i="216"/>
  <c r="L45" i="216" s="1"/>
  <c r="G49" i="216"/>
  <c r="G53" i="216"/>
  <c r="L53" i="216" s="1"/>
  <c r="G57" i="216"/>
  <c r="L57" i="216" s="1"/>
  <c r="G61" i="216"/>
  <c r="G67" i="216"/>
  <c r="G69" i="216"/>
  <c r="L69" i="216" s="1"/>
  <c r="G71" i="216"/>
  <c r="L71" i="216" s="1"/>
  <c r="G75" i="216"/>
  <c r="L75" i="216" s="1"/>
  <c r="G77" i="216"/>
  <c r="G79" i="216"/>
  <c r="G49" i="152"/>
  <c r="L49" i="152" s="1"/>
  <c r="G51" i="152"/>
  <c r="L51" i="152" s="1"/>
  <c r="G53" i="152"/>
  <c r="L53" i="152" s="1"/>
  <c r="G55" i="152"/>
  <c r="L55" i="152" s="1"/>
  <c r="G57" i="152"/>
  <c r="L57" i="152" s="1"/>
  <c r="G59" i="152"/>
  <c r="L59" i="152" s="1"/>
  <c r="G61" i="152"/>
  <c r="G63" i="152"/>
  <c r="L63" i="152" s="1"/>
  <c r="G67" i="152"/>
  <c r="L67" i="152" s="1"/>
  <c r="G69" i="152"/>
  <c r="L69" i="152" s="1"/>
  <c r="G71" i="152"/>
  <c r="L71" i="152" s="1"/>
  <c r="G73" i="152"/>
  <c r="L73" i="152" s="1"/>
  <c r="G75" i="152"/>
  <c r="L75" i="152" s="1"/>
  <c r="G77" i="152"/>
  <c r="L77" i="152" s="1"/>
  <c r="G79" i="152"/>
  <c r="G81" i="152"/>
  <c r="L81" i="152" s="1"/>
  <c r="G31" i="151"/>
  <c r="L31" i="151" s="1"/>
  <c r="G33" i="151"/>
  <c r="L33" i="151" s="1"/>
  <c r="G35" i="151"/>
  <c r="L35" i="151" s="1"/>
  <c r="G37" i="151"/>
  <c r="L37" i="151" s="1"/>
  <c r="G39" i="151"/>
  <c r="L39" i="151" s="1"/>
  <c r="G41" i="151"/>
  <c r="L41" i="151" s="1"/>
  <c r="G43" i="151"/>
  <c r="G45" i="151"/>
  <c r="L45" i="151" s="1"/>
  <c r="G51" i="151"/>
  <c r="L51" i="151" s="1"/>
  <c r="G55" i="151"/>
  <c r="L55" i="151" s="1"/>
  <c r="G59" i="151"/>
  <c r="L59" i="151" s="1"/>
  <c r="G63" i="151"/>
  <c r="L63" i="151" s="1"/>
  <c r="G69" i="151"/>
  <c r="L69" i="151" s="1"/>
  <c r="G71" i="151"/>
  <c r="L71" i="151" s="1"/>
  <c r="G73" i="151"/>
  <c r="L73" i="151" s="1"/>
  <c r="G77" i="151"/>
  <c r="L77" i="151" s="1"/>
  <c r="G79" i="151"/>
  <c r="G81" i="151"/>
  <c r="L81" i="151" s="1"/>
  <c r="G31" i="150"/>
  <c r="L31" i="150" s="1"/>
  <c r="G35" i="150"/>
  <c r="G49" i="150"/>
  <c r="L49" i="150" s="1"/>
  <c r="G51" i="150"/>
  <c r="G53" i="150"/>
  <c r="G55" i="150"/>
  <c r="G57" i="150"/>
  <c r="L57" i="150" s="1"/>
  <c r="G59" i="150"/>
  <c r="L59" i="150" s="1"/>
  <c r="G61" i="150"/>
  <c r="G63" i="150"/>
  <c r="G67" i="150"/>
  <c r="L67" i="150" s="1"/>
  <c r="G69" i="150"/>
  <c r="G71" i="150"/>
  <c r="G73" i="150"/>
  <c r="G75" i="150"/>
  <c r="L75" i="150" s="1"/>
  <c r="G77" i="150"/>
  <c r="L77" i="150" s="1"/>
  <c r="G79" i="150"/>
  <c r="G81" i="150"/>
  <c r="G31" i="149"/>
  <c r="G33" i="149"/>
  <c r="L33" i="149" s="1"/>
  <c r="G35" i="149"/>
  <c r="G37" i="149"/>
  <c r="L37" i="149" s="1"/>
  <c r="G39" i="149"/>
  <c r="L39" i="149" s="1"/>
  <c r="G41" i="149"/>
  <c r="L41" i="149" s="1"/>
  <c r="G43" i="149"/>
  <c r="G45" i="149"/>
  <c r="L45" i="149" s="1"/>
  <c r="G49" i="149"/>
  <c r="G53" i="149"/>
  <c r="G57" i="149"/>
  <c r="L57" i="149" s="1"/>
  <c r="G61" i="149"/>
  <c r="G67" i="149"/>
  <c r="G71" i="149"/>
  <c r="G73" i="149"/>
  <c r="L73" i="149" s="1"/>
  <c r="G75" i="149"/>
  <c r="L75" i="149" s="1"/>
  <c r="G79" i="149"/>
  <c r="G81" i="149"/>
  <c r="L81" i="149" s="1"/>
  <c r="G33" i="148"/>
  <c r="G37" i="148"/>
  <c r="G41" i="148"/>
  <c r="G45" i="148"/>
  <c r="G49" i="148"/>
  <c r="L49" i="148" s="1"/>
  <c r="G51" i="148"/>
  <c r="G53" i="148"/>
  <c r="G55" i="148"/>
  <c r="G57" i="148"/>
  <c r="L57" i="148" s="1"/>
  <c r="G59" i="148"/>
  <c r="G61" i="148"/>
  <c r="G63" i="148"/>
  <c r="G67" i="148"/>
  <c r="L67" i="148" s="1"/>
  <c r="G69" i="148"/>
  <c r="G71" i="148"/>
  <c r="G73" i="148"/>
  <c r="G75" i="148"/>
  <c r="L75" i="148" s="1"/>
  <c r="G77" i="148"/>
  <c r="G79" i="148"/>
  <c r="G81" i="148"/>
  <c r="G31" i="147"/>
  <c r="L31" i="147" s="1"/>
  <c r="G33" i="147"/>
  <c r="L33" i="147" s="1"/>
  <c r="G35" i="147"/>
  <c r="G37" i="147"/>
  <c r="G39" i="147"/>
  <c r="G41" i="147"/>
  <c r="G43" i="147"/>
  <c r="G45" i="147"/>
  <c r="G51" i="147"/>
  <c r="L51" i="147" s="1"/>
  <c r="G55" i="147"/>
  <c r="G59" i="147"/>
  <c r="G63" i="147"/>
  <c r="G67" i="147"/>
  <c r="L67" i="147" s="1"/>
  <c r="G69" i="147"/>
  <c r="L69" i="147" s="1"/>
  <c r="G73" i="147"/>
  <c r="G75" i="147"/>
  <c r="G77" i="147"/>
  <c r="G81" i="147"/>
  <c r="G68" i="154"/>
  <c r="L68" i="154" s="1"/>
  <c r="G72" i="154"/>
  <c r="G76" i="154"/>
  <c r="L76" i="154" s="1"/>
  <c r="G80" i="154"/>
  <c r="L80" i="154" s="1"/>
  <c r="G48" i="216"/>
  <c r="L48" i="216" s="1"/>
  <c r="G50" i="216"/>
  <c r="L50" i="216" s="1"/>
  <c r="G52" i="216"/>
  <c r="G54" i="216"/>
  <c r="G56" i="216"/>
  <c r="G58" i="216"/>
  <c r="G60" i="216"/>
  <c r="G62" i="216"/>
  <c r="G66" i="216"/>
  <c r="L66" i="216" s="1"/>
  <c r="G68" i="216"/>
  <c r="L68" i="216" s="1"/>
  <c r="G70" i="216"/>
  <c r="G72" i="216"/>
  <c r="G74" i="216"/>
  <c r="G76" i="216"/>
  <c r="G78" i="216"/>
  <c r="G80" i="216"/>
  <c r="G68" i="152"/>
  <c r="L68" i="152" s="1"/>
  <c r="G72" i="152"/>
  <c r="G76" i="152"/>
  <c r="L76" i="152" s="1"/>
  <c r="G80" i="152"/>
  <c r="L80" i="152" s="1"/>
  <c r="G48" i="151"/>
  <c r="L48" i="151" s="1"/>
  <c r="G50" i="151"/>
  <c r="L50" i="151" s="1"/>
  <c r="G52" i="151"/>
  <c r="L52" i="151" s="1"/>
  <c r="G54" i="151"/>
  <c r="G56" i="151"/>
  <c r="G58" i="151"/>
  <c r="L58" i="151" s="1"/>
  <c r="G60" i="151"/>
  <c r="L60" i="151" s="1"/>
  <c r="G62" i="151"/>
  <c r="L62" i="151" s="1"/>
  <c r="G66" i="151"/>
  <c r="L66" i="151" s="1"/>
  <c r="G68" i="151"/>
  <c r="L68" i="151" s="1"/>
  <c r="G70" i="151"/>
  <c r="L70" i="151" s="1"/>
  <c r="G72" i="151"/>
  <c r="G74" i="151"/>
  <c r="G76" i="151"/>
  <c r="L76" i="151" s="1"/>
  <c r="G78" i="151"/>
  <c r="L78" i="151" s="1"/>
  <c r="G80" i="151"/>
  <c r="L80" i="151" s="1"/>
  <c r="G30" i="150"/>
  <c r="L30" i="150" s="1"/>
  <c r="G32" i="150"/>
  <c r="G34" i="150"/>
  <c r="G36" i="150"/>
  <c r="G66" i="150"/>
  <c r="L66" i="150" s="1"/>
  <c r="G70" i="150"/>
  <c r="G74" i="150"/>
  <c r="G78" i="150"/>
  <c r="G48" i="149"/>
  <c r="G50" i="149"/>
  <c r="G52" i="149"/>
  <c r="L52" i="149" s="1"/>
  <c r="G54" i="149"/>
  <c r="G56" i="149"/>
  <c r="G58" i="149"/>
  <c r="L58" i="149" s="1"/>
  <c r="G60" i="149"/>
  <c r="L60" i="149" s="1"/>
  <c r="G62" i="149"/>
  <c r="L62" i="149" s="1"/>
  <c r="G66" i="149"/>
  <c r="G68" i="149"/>
  <c r="G70" i="149"/>
  <c r="L70" i="149" s="1"/>
  <c r="G72" i="149"/>
  <c r="G74" i="149"/>
  <c r="G76" i="149"/>
  <c r="L76" i="149" s="1"/>
  <c r="G78" i="149"/>
  <c r="L78" i="149" s="1"/>
  <c r="G80" i="149"/>
  <c r="L80" i="149" s="1"/>
  <c r="G30" i="148"/>
  <c r="L30" i="148" s="1"/>
  <c r="G32" i="148"/>
  <c r="G34" i="148"/>
  <c r="G36" i="148"/>
  <c r="G38" i="148"/>
  <c r="G40" i="148"/>
  <c r="L40" i="148" s="1"/>
  <c r="G42" i="148"/>
  <c r="G44" i="148"/>
  <c r="G68" i="148"/>
  <c r="G72" i="148"/>
  <c r="G76" i="148"/>
  <c r="L76" i="148" s="1"/>
  <c r="G80" i="148"/>
  <c r="G48" i="147"/>
  <c r="L48" i="147" s="1"/>
  <c r="G50" i="147"/>
  <c r="L50" i="147" s="1"/>
  <c r="G52" i="147"/>
  <c r="G54" i="147"/>
  <c r="G56" i="147"/>
  <c r="G58" i="147"/>
  <c r="G60" i="147"/>
  <c r="G62" i="147"/>
  <c r="G66" i="147"/>
  <c r="L66" i="147" s="1"/>
  <c r="G68" i="147"/>
  <c r="L68" i="147" s="1"/>
  <c r="G70" i="147"/>
  <c r="G72" i="147"/>
  <c r="G74" i="147"/>
  <c r="G76" i="147"/>
  <c r="G78" i="147"/>
  <c r="G80" i="147"/>
  <c r="G28" i="161"/>
  <c r="G28" i="157"/>
  <c r="G28" i="167"/>
  <c r="G28" i="165"/>
  <c r="K72" i="170"/>
  <c r="K72" i="171"/>
  <c r="K54" i="171"/>
  <c r="K36" i="171"/>
  <c r="E14" i="215"/>
  <c r="D14" i="215"/>
  <c r="E13" i="215"/>
  <c r="D13" i="215"/>
  <c r="E12" i="215"/>
  <c r="M201" i="213"/>
  <c r="L201" i="213"/>
  <c r="M200" i="213"/>
  <c r="L200" i="213"/>
  <c r="M199" i="213"/>
  <c r="L199" i="213"/>
  <c r="M198" i="213"/>
  <c r="L198" i="213"/>
  <c r="M197" i="213"/>
  <c r="L197" i="213"/>
  <c r="M196" i="213"/>
  <c r="L196" i="213"/>
  <c r="M195" i="213"/>
  <c r="L195" i="213"/>
  <c r="M194" i="213"/>
  <c r="L194" i="213"/>
  <c r="M193" i="213"/>
  <c r="L193" i="213"/>
  <c r="M192" i="213"/>
  <c r="L192" i="213"/>
  <c r="M191" i="213"/>
  <c r="L191" i="213"/>
  <c r="M190" i="213"/>
  <c r="L190" i="213"/>
  <c r="M189" i="213"/>
  <c r="L189" i="213"/>
  <c r="M188" i="213"/>
  <c r="L188" i="213"/>
  <c r="M187" i="213"/>
  <c r="L187" i="213"/>
  <c r="M186" i="213"/>
  <c r="L186" i="213"/>
  <c r="M183" i="213"/>
  <c r="L183" i="213"/>
  <c r="M182" i="213"/>
  <c r="L182" i="213"/>
  <c r="M181" i="213"/>
  <c r="L181" i="213"/>
  <c r="M180" i="213"/>
  <c r="L180" i="213"/>
  <c r="M179" i="213"/>
  <c r="L179" i="213"/>
  <c r="M178" i="213"/>
  <c r="L178" i="213"/>
  <c r="M177" i="213"/>
  <c r="L177" i="213"/>
  <c r="M176" i="213"/>
  <c r="L176" i="213"/>
  <c r="M175" i="213"/>
  <c r="L175" i="213"/>
  <c r="M174" i="213"/>
  <c r="L174" i="213"/>
  <c r="M173" i="213"/>
  <c r="L173" i="213"/>
  <c r="M172" i="213"/>
  <c r="L172" i="213"/>
  <c r="M171" i="213"/>
  <c r="L171" i="213"/>
  <c r="M170" i="213"/>
  <c r="L170" i="213"/>
  <c r="M169" i="213"/>
  <c r="L169" i="213"/>
  <c r="M168" i="213"/>
  <c r="L168" i="213"/>
  <c r="M165" i="213"/>
  <c r="L165" i="213"/>
  <c r="M164" i="213"/>
  <c r="L164" i="213"/>
  <c r="M163" i="213"/>
  <c r="L163" i="213"/>
  <c r="M162" i="213"/>
  <c r="L162" i="213"/>
  <c r="M161" i="213"/>
  <c r="L161" i="213"/>
  <c r="M160" i="213"/>
  <c r="L160" i="213"/>
  <c r="M159" i="213"/>
  <c r="L159" i="213"/>
  <c r="M158" i="213"/>
  <c r="L158" i="213"/>
  <c r="M157" i="213"/>
  <c r="L157" i="213"/>
  <c r="M156" i="213"/>
  <c r="L156" i="213"/>
  <c r="M155" i="213"/>
  <c r="L155" i="213"/>
  <c r="M154" i="213"/>
  <c r="L154" i="213"/>
  <c r="M153" i="213"/>
  <c r="L153" i="213"/>
  <c r="M152" i="213"/>
  <c r="L152" i="213"/>
  <c r="M151" i="213"/>
  <c r="L151" i="213"/>
  <c r="M150" i="213"/>
  <c r="L150" i="213"/>
  <c r="M147" i="213"/>
  <c r="L147" i="213"/>
  <c r="M146" i="213"/>
  <c r="L146" i="213"/>
  <c r="M145" i="213"/>
  <c r="L145" i="213"/>
  <c r="M144" i="213"/>
  <c r="L144" i="213"/>
  <c r="M143" i="213"/>
  <c r="L143" i="213"/>
  <c r="M142" i="213"/>
  <c r="L142" i="213"/>
  <c r="M141" i="213"/>
  <c r="L141" i="213"/>
  <c r="M140" i="213"/>
  <c r="L140" i="213"/>
  <c r="M139" i="213"/>
  <c r="L139" i="213"/>
  <c r="M138" i="213"/>
  <c r="L138" i="213"/>
  <c r="M137" i="213"/>
  <c r="L137" i="213"/>
  <c r="M136" i="213"/>
  <c r="L136" i="213"/>
  <c r="M135" i="213"/>
  <c r="L135" i="213"/>
  <c r="M134" i="213"/>
  <c r="L134" i="213"/>
  <c r="M133" i="213"/>
  <c r="L133" i="213"/>
  <c r="M132" i="213"/>
  <c r="L132" i="213"/>
  <c r="M129" i="213"/>
  <c r="L129" i="213"/>
  <c r="M128" i="213"/>
  <c r="L128" i="213"/>
  <c r="M127" i="213"/>
  <c r="L127" i="213"/>
  <c r="M126" i="213"/>
  <c r="L126" i="213"/>
  <c r="M125" i="213"/>
  <c r="L125" i="213"/>
  <c r="M124" i="213"/>
  <c r="L124" i="213"/>
  <c r="M123" i="213"/>
  <c r="L123" i="213"/>
  <c r="M122" i="213"/>
  <c r="L122" i="213"/>
  <c r="M121" i="213"/>
  <c r="L121" i="213"/>
  <c r="M120" i="213"/>
  <c r="L120" i="213"/>
  <c r="M119" i="213"/>
  <c r="L119" i="213"/>
  <c r="M118" i="213"/>
  <c r="L118" i="213"/>
  <c r="M117" i="213"/>
  <c r="L117" i="213"/>
  <c r="M116" i="213"/>
  <c r="L116" i="213"/>
  <c r="M115" i="213"/>
  <c r="L115" i="213"/>
  <c r="M114" i="213"/>
  <c r="L114" i="213"/>
  <c r="M111" i="213"/>
  <c r="L111" i="213"/>
  <c r="M110" i="213"/>
  <c r="L110" i="213"/>
  <c r="M109" i="213"/>
  <c r="L109" i="213"/>
  <c r="M108" i="213"/>
  <c r="L108" i="213"/>
  <c r="M107" i="213"/>
  <c r="L107" i="213"/>
  <c r="M106" i="213"/>
  <c r="L106" i="213"/>
  <c r="M105" i="213"/>
  <c r="L105" i="213"/>
  <c r="M104" i="213"/>
  <c r="L104" i="213"/>
  <c r="K104" i="213" s="1"/>
  <c r="M103" i="213"/>
  <c r="L103" i="213"/>
  <c r="M102" i="213"/>
  <c r="L102" i="213"/>
  <c r="M101" i="213"/>
  <c r="L101" i="213"/>
  <c r="M100" i="213"/>
  <c r="L100" i="213"/>
  <c r="M99" i="213"/>
  <c r="L99" i="213"/>
  <c r="M98" i="213"/>
  <c r="L98" i="213"/>
  <c r="M97" i="213"/>
  <c r="L97" i="213"/>
  <c r="M96" i="213"/>
  <c r="L96" i="213"/>
  <c r="M93" i="213"/>
  <c r="L93" i="213"/>
  <c r="M92" i="213"/>
  <c r="L92" i="213"/>
  <c r="M91" i="213"/>
  <c r="L91" i="213"/>
  <c r="M90" i="213"/>
  <c r="L90" i="213"/>
  <c r="M89" i="213"/>
  <c r="L89" i="213"/>
  <c r="M88" i="213"/>
  <c r="L88" i="213"/>
  <c r="M87" i="213"/>
  <c r="L87" i="213"/>
  <c r="M86" i="213"/>
  <c r="L86" i="213"/>
  <c r="M85" i="213"/>
  <c r="L85" i="213"/>
  <c r="M84" i="213"/>
  <c r="L84" i="213"/>
  <c r="M83" i="213"/>
  <c r="L83" i="213"/>
  <c r="M82" i="213"/>
  <c r="L82" i="213"/>
  <c r="M81" i="213"/>
  <c r="L81" i="213"/>
  <c r="M80" i="213"/>
  <c r="L80" i="213"/>
  <c r="M79" i="213"/>
  <c r="L79" i="213"/>
  <c r="M78" i="213"/>
  <c r="L78" i="213"/>
  <c r="M75" i="213"/>
  <c r="L75" i="213"/>
  <c r="M74" i="213"/>
  <c r="L74" i="213"/>
  <c r="M73" i="213"/>
  <c r="L73" i="213"/>
  <c r="M72" i="213"/>
  <c r="L72" i="213"/>
  <c r="M71" i="213"/>
  <c r="L71" i="213"/>
  <c r="M70" i="213"/>
  <c r="L70" i="213"/>
  <c r="M69" i="213"/>
  <c r="L69" i="213"/>
  <c r="M68" i="213"/>
  <c r="L68" i="213"/>
  <c r="M67" i="213"/>
  <c r="L67" i="213"/>
  <c r="M66" i="213"/>
  <c r="L66" i="213"/>
  <c r="M65" i="213"/>
  <c r="L65" i="213"/>
  <c r="M64" i="213"/>
  <c r="L64" i="213"/>
  <c r="M63" i="213"/>
  <c r="L63" i="213"/>
  <c r="M62" i="213"/>
  <c r="L62" i="213"/>
  <c r="M61" i="213"/>
  <c r="L61" i="213"/>
  <c r="M60" i="213"/>
  <c r="L60" i="213"/>
  <c r="M57" i="213"/>
  <c r="L57" i="213"/>
  <c r="M56" i="213"/>
  <c r="L56" i="213"/>
  <c r="M55" i="213"/>
  <c r="L55" i="213"/>
  <c r="M54" i="213"/>
  <c r="L54" i="213"/>
  <c r="M53" i="213"/>
  <c r="L53" i="213"/>
  <c r="M52" i="213"/>
  <c r="L52" i="213"/>
  <c r="M51" i="213"/>
  <c r="L51" i="213"/>
  <c r="M50" i="213"/>
  <c r="L50" i="213"/>
  <c r="M49" i="213"/>
  <c r="L49" i="213"/>
  <c r="M48" i="213"/>
  <c r="L48" i="213"/>
  <c r="M47" i="213"/>
  <c r="L47" i="213"/>
  <c r="M46" i="213"/>
  <c r="L46" i="213"/>
  <c r="M45" i="213"/>
  <c r="L45" i="213"/>
  <c r="M44" i="213"/>
  <c r="L44" i="213"/>
  <c r="M43" i="213"/>
  <c r="L43" i="213"/>
  <c r="M42" i="213"/>
  <c r="L42" i="213"/>
  <c r="M39" i="213"/>
  <c r="L39" i="213"/>
  <c r="M38" i="213"/>
  <c r="L38" i="213"/>
  <c r="M37" i="213"/>
  <c r="L37" i="213"/>
  <c r="M36" i="213"/>
  <c r="L36" i="213"/>
  <c r="M35" i="213"/>
  <c r="L35" i="213"/>
  <c r="M34" i="213"/>
  <c r="L34" i="213"/>
  <c r="M33" i="213"/>
  <c r="L33" i="213"/>
  <c r="M32" i="213"/>
  <c r="L32" i="213"/>
  <c r="M31" i="213"/>
  <c r="L31" i="213"/>
  <c r="M30" i="213"/>
  <c r="L30" i="213"/>
  <c r="M29" i="213"/>
  <c r="L29" i="213"/>
  <c r="M28" i="213"/>
  <c r="L28" i="213"/>
  <c r="M27" i="213"/>
  <c r="L27" i="213"/>
  <c r="M26" i="213"/>
  <c r="L26" i="213"/>
  <c r="M25" i="213"/>
  <c r="L25" i="213"/>
  <c r="M24" i="213"/>
  <c r="L24" i="213"/>
  <c r="M21" i="213"/>
  <c r="L21" i="213"/>
  <c r="L219" i="213" s="1"/>
  <c r="M20" i="213"/>
  <c r="M218" i="213" s="1"/>
  <c r="L20" i="213"/>
  <c r="M19" i="213"/>
  <c r="L19" i="213"/>
  <c r="M18" i="213"/>
  <c r="L18" i="213"/>
  <c r="L216" i="213" s="1"/>
  <c r="M17" i="213"/>
  <c r="M215" i="213" s="1"/>
  <c r="L17" i="213"/>
  <c r="M16" i="213"/>
  <c r="L16" i="213"/>
  <c r="M15" i="213"/>
  <c r="L15" i="213"/>
  <c r="L213" i="213" s="1"/>
  <c r="M14" i="213"/>
  <c r="M212" i="213" s="1"/>
  <c r="L14" i="213"/>
  <c r="L212" i="213" s="1"/>
  <c r="M13" i="213"/>
  <c r="L13" i="213"/>
  <c r="M12" i="213"/>
  <c r="M210" i="213" s="1"/>
  <c r="L12" i="213"/>
  <c r="M11" i="213"/>
  <c r="L11" i="213"/>
  <c r="L209" i="213" s="1"/>
  <c r="M10" i="213"/>
  <c r="L10" i="213"/>
  <c r="L208" i="213" s="1"/>
  <c r="M9" i="213"/>
  <c r="M207" i="213" s="1"/>
  <c r="L9" i="213"/>
  <c r="M8" i="213"/>
  <c r="L8" i="213"/>
  <c r="M7" i="213"/>
  <c r="M205" i="213" s="1"/>
  <c r="L7" i="213"/>
  <c r="L205" i="213" s="1"/>
  <c r="M6" i="213"/>
  <c r="M204" i="213" s="1"/>
  <c r="L6" i="213"/>
  <c r="L166" i="213"/>
  <c r="L217" i="213"/>
  <c r="L201" i="211"/>
  <c r="K201" i="211"/>
  <c r="L200" i="211"/>
  <c r="K200" i="211"/>
  <c r="L199" i="211"/>
  <c r="K199" i="211"/>
  <c r="L198" i="211"/>
  <c r="K198" i="211"/>
  <c r="L197" i="211"/>
  <c r="K197" i="211"/>
  <c r="L196" i="211"/>
  <c r="K196" i="211"/>
  <c r="L195" i="211"/>
  <c r="K195" i="211"/>
  <c r="L194" i="211"/>
  <c r="K194" i="211"/>
  <c r="L193" i="211"/>
  <c r="K193" i="211"/>
  <c r="L192" i="211"/>
  <c r="K192" i="211"/>
  <c r="L191" i="211"/>
  <c r="K191" i="211"/>
  <c r="L190" i="211"/>
  <c r="K190" i="211"/>
  <c r="L189" i="211"/>
  <c r="K189" i="211"/>
  <c r="L188" i="211"/>
  <c r="K188" i="211"/>
  <c r="L187" i="211"/>
  <c r="K187" i="211"/>
  <c r="L186" i="211"/>
  <c r="K186" i="211"/>
  <c r="L183" i="211"/>
  <c r="K183" i="211"/>
  <c r="L182" i="211"/>
  <c r="K182" i="211"/>
  <c r="L181" i="211"/>
  <c r="K181" i="211"/>
  <c r="L180" i="211"/>
  <c r="K180" i="211"/>
  <c r="L179" i="211"/>
  <c r="K179" i="211"/>
  <c r="L178" i="211"/>
  <c r="K178" i="211"/>
  <c r="L177" i="211"/>
  <c r="K177" i="211"/>
  <c r="L176" i="211"/>
  <c r="K176" i="211"/>
  <c r="L175" i="211"/>
  <c r="K175" i="211"/>
  <c r="L174" i="211"/>
  <c r="K174" i="211"/>
  <c r="L173" i="211"/>
  <c r="K173" i="211"/>
  <c r="L172" i="211"/>
  <c r="K172" i="211"/>
  <c r="L171" i="211"/>
  <c r="K171" i="211"/>
  <c r="L170" i="211"/>
  <c r="K170" i="211"/>
  <c r="L169" i="211"/>
  <c r="K169" i="211"/>
  <c r="L168" i="211"/>
  <c r="K168" i="211"/>
  <c r="L165" i="211"/>
  <c r="K165" i="211"/>
  <c r="L164" i="211"/>
  <c r="K164" i="211"/>
  <c r="L163" i="211"/>
  <c r="K163" i="211"/>
  <c r="L162" i="211"/>
  <c r="K162" i="211"/>
  <c r="L161" i="211"/>
  <c r="K161" i="211"/>
  <c r="L160" i="211"/>
  <c r="K160" i="211"/>
  <c r="L159" i="211"/>
  <c r="K159" i="211"/>
  <c r="L158" i="211"/>
  <c r="K158" i="211"/>
  <c r="L157" i="211"/>
  <c r="K157" i="211"/>
  <c r="L156" i="211"/>
  <c r="K156" i="211"/>
  <c r="L155" i="211"/>
  <c r="K155" i="211"/>
  <c r="L154" i="211"/>
  <c r="K154" i="211"/>
  <c r="L153" i="211"/>
  <c r="K153" i="211"/>
  <c r="L152" i="211"/>
  <c r="K152" i="211"/>
  <c r="L151" i="211"/>
  <c r="K151" i="211"/>
  <c r="M151" i="211" s="1"/>
  <c r="L150" i="211"/>
  <c r="K150" i="211"/>
  <c r="L147" i="211"/>
  <c r="K147" i="211"/>
  <c r="L146" i="211"/>
  <c r="K146" i="211"/>
  <c r="L145" i="211"/>
  <c r="K145" i="211"/>
  <c r="L144" i="211"/>
  <c r="K144" i="211"/>
  <c r="L143" i="211"/>
  <c r="K143" i="211"/>
  <c r="L142" i="211"/>
  <c r="K142" i="211"/>
  <c r="L141" i="211"/>
  <c r="K141" i="211"/>
  <c r="L140" i="211"/>
  <c r="K140" i="211"/>
  <c r="L139" i="211"/>
  <c r="K139" i="211"/>
  <c r="L138" i="211"/>
  <c r="K138" i="211"/>
  <c r="L137" i="211"/>
  <c r="K137" i="211"/>
  <c r="L136" i="211"/>
  <c r="K136" i="211"/>
  <c r="L135" i="211"/>
  <c r="K135" i="211"/>
  <c r="L134" i="211"/>
  <c r="K134" i="211"/>
  <c r="L133" i="211"/>
  <c r="K133" i="211"/>
  <c r="L132" i="211"/>
  <c r="K132" i="211"/>
  <c r="L129" i="211"/>
  <c r="K129" i="211"/>
  <c r="L128" i="211"/>
  <c r="K128" i="211"/>
  <c r="L127" i="211"/>
  <c r="K127" i="211"/>
  <c r="L126" i="211"/>
  <c r="K126" i="211"/>
  <c r="L125" i="211"/>
  <c r="K125" i="211"/>
  <c r="L124" i="211"/>
  <c r="K124" i="211"/>
  <c r="L123" i="211"/>
  <c r="K123" i="211"/>
  <c r="L122" i="211"/>
  <c r="K122" i="211"/>
  <c r="L121" i="211"/>
  <c r="K121" i="211"/>
  <c r="L120" i="211"/>
  <c r="K120" i="211"/>
  <c r="L119" i="211"/>
  <c r="K119" i="211"/>
  <c r="L118" i="211"/>
  <c r="K118" i="211"/>
  <c r="L117" i="211"/>
  <c r="K117" i="211"/>
  <c r="L116" i="211"/>
  <c r="K116" i="211"/>
  <c r="L115" i="211"/>
  <c r="K115" i="211"/>
  <c r="L114" i="211"/>
  <c r="K114" i="211"/>
  <c r="L111" i="211"/>
  <c r="K111" i="211"/>
  <c r="L110" i="211"/>
  <c r="K110" i="211"/>
  <c r="L109" i="211"/>
  <c r="K109" i="211"/>
  <c r="L108" i="211"/>
  <c r="K108" i="211"/>
  <c r="L107" i="211"/>
  <c r="K107" i="211"/>
  <c r="L106" i="211"/>
  <c r="K106" i="211"/>
  <c r="L105" i="211"/>
  <c r="K105" i="211"/>
  <c r="L104" i="211"/>
  <c r="K104" i="211"/>
  <c r="L103" i="211"/>
  <c r="K103" i="211"/>
  <c r="L102" i="211"/>
  <c r="K102" i="211"/>
  <c r="L101" i="211"/>
  <c r="K101" i="211"/>
  <c r="L100" i="211"/>
  <c r="K100" i="211"/>
  <c r="L99" i="211"/>
  <c r="K99" i="211"/>
  <c r="L98" i="211"/>
  <c r="K98" i="211"/>
  <c r="L97" i="211"/>
  <c r="K97" i="211"/>
  <c r="L96" i="211"/>
  <c r="K96" i="211"/>
  <c r="L93" i="211"/>
  <c r="K93" i="211"/>
  <c r="L92" i="211"/>
  <c r="K92" i="211"/>
  <c r="L91" i="211"/>
  <c r="K91" i="211"/>
  <c r="L90" i="211"/>
  <c r="K90" i="211"/>
  <c r="L89" i="211"/>
  <c r="K89" i="211"/>
  <c r="L88" i="211"/>
  <c r="K88" i="211"/>
  <c r="L87" i="211"/>
  <c r="K87" i="211"/>
  <c r="L86" i="211"/>
  <c r="K86" i="211"/>
  <c r="L85" i="211"/>
  <c r="K85" i="211"/>
  <c r="L84" i="211"/>
  <c r="K84" i="211"/>
  <c r="L83" i="211"/>
  <c r="K83" i="211"/>
  <c r="L82" i="211"/>
  <c r="K82" i="211"/>
  <c r="L81" i="211"/>
  <c r="K81" i="211"/>
  <c r="L80" i="211"/>
  <c r="K80" i="211"/>
  <c r="L79" i="211"/>
  <c r="K79" i="211"/>
  <c r="L78" i="211"/>
  <c r="K78" i="211"/>
  <c r="L75" i="211"/>
  <c r="K75" i="211"/>
  <c r="L74" i="211"/>
  <c r="K74" i="211"/>
  <c r="L73" i="211"/>
  <c r="K73" i="211"/>
  <c r="L72" i="211"/>
  <c r="K72" i="211"/>
  <c r="L71" i="211"/>
  <c r="K71" i="211"/>
  <c r="L70" i="211"/>
  <c r="K70" i="211"/>
  <c r="L69" i="211"/>
  <c r="K69" i="211"/>
  <c r="L68" i="211"/>
  <c r="K68" i="211"/>
  <c r="L67" i="211"/>
  <c r="K67" i="211"/>
  <c r="L66" i="211"/>
  <c r="K66" i="211"/>
  <c r="L65" i="211"/>
  <c r="K65" i="211"/>
  <c r="L64" i="211"/>
  <c r="K64" i="211"/>
  <c r="L63" i="211"/>
  <c r="K63" i="211"/>
  <c r="L62" i="211"/>
  <c r="K62" i="211"/>
  <c r="L61" i="211"/>
  <c r="K61" i="211"/>
  <c r="L60" i="211"/>
  <c r="K60" i="211"/>
  <c r="L57" i="211"/>
  <c r="K57" i="211"/>
  <c r="L56" i="211"/>
  <c r="K56" i="211"/>
  <c r="L55" i="211"/>
  <c r="K55" i="211"/>
  <c r="L54" i="211"/>
  <c r="K54" i="211"/>
  <c r="L53" i="211"/>
  <c r="K53" i="211"/>
  <c r="L52" i="211"/>
  <c r="K52" i="211"/>
  <c r="L51" i="211"/>
  <c r="K51" i="211"/>
  <c r="L50" i="211"/>
  <c r="K50" i="211"/>
  <c r="L49" i="211"/>
  <c r="K49" i="211"/>
  <c r="L48" i="211"/>
  <c r="K48" i="211"/>
  <c r="L47" i="211"/>
  <c r="K47" i="211"/>
  <c r="L46" i="211"/>
  <c r="K46" i="211"/>
  <c r="L45" i="211"/>
  <c r="K45" i="211"/>
  <c r="L44" i="211"/>
  <c r="K44" i="211"/>
  <c r="L43" i="211"/>
  <c r="K43" i="211"/>
  <c r="L42" i="211"/>
  <c r="K42" i="211"/>
  <c r="L39" i="211"/>
  <c r="K39" i="211"/>
  <c r="L38" i="211"/>
  <c r="K38" i="211"/>
  <c r="L37" i="211"/>
  <c r="K37" i="211"/>
  <c r="L36" i="211"/>
  <c r="K36" i="211"/>
  <c r="L35" i="211"/>
  <c r="K35" i="211"/>
  <c r="L34" i="211"/>
  <c r="K34" i="211"/>
  <c r="L33" i="211"/>
  <c r="K33" i="211"/>
  <c r="L32" i="211"/>
  <c r="K32" i="211"/>
  <c r="L31" i="211"/>
  <c r="K31" i="211"/>
  <c r="L30" i="211"/>
  <c r="K30" i="211"/>
  <c r="L29" i="211"/>
  <c r="K29" i="211"/>
  <c r="L28" i="211"/>
  <c r="K28" i="211"/>
  <c r="L27" i="211"/>
  <c r="K27" i="211"/>
  <c r="L26" i="211"/>
  <c r="K26" i="211"/>
  <c r="L25" i="211"/>
  <c r="K25" i="211"/>
  <c r="L24" i="211"/>
  <c r="K24" i="211"/>
  <c r="L21" i="211"/>
  <c r="K21" i="211"/>
  <c r="L20" i="211"/>
  <c r="K20" i="211"/>
  <c r="L19" i="211"/>
  <c r="K19" i="211"/>
  <c r="L18" i="211"/>
  <c r="K18" i="211"/>
  <c r="L17" i="211"/>
  <c r="K17" i="211"/>
  <c r="L16" i="211"/>
  <c r="K16" i="211"/>
  <c r="L15" i="211"/>
  <c r="K15" i="211"/>
  <c r="L14" i="211"/>
  <c r="K14" i="211"/>
  <c r="L13" i="211"/>
  <c r="K13" i="211"/>
  <c r="L12" i="211"/>
  <c r="K12" i="211"/>
  <c r="L11" i="211"/>
  <c r="K11" i="211"/>
  <c r="L10" i="211"/>
  <c r="K10" i="211"/>
  <c r="L9" i="211"/>
  <c r="K9" i="211"/>
  <c r="L8" i="211"/>
  <c r="K8" i="211"/>
  <c r="L7" i="211"/>
  <c r="K7" i="211"/>
  <c r="L6" i="211"/>
  <c r="K6" i="211"/>
  <c r="F63" i="186"/>
  <c r="F62" i="186"/>
  <c r="F61" i="186"/>
  <c r="F60" i="186"/>
  <c r="F59" i="186"/>
  <c r="F58" i="186"/>
  <c r="F57" i="186"/>
  <c r="F56" i="186"/>
  <c r="F55" i="186"/>
  <c r="F54" i="186"/>
  <c r="F53" i="186"/>
  <c r="F52" i="186"/>
  <c r="F51" i="186"/>
  <c r="F50" i="186"/>
  <c r="F49" i="186"/>
  <c r="F48" i="186"/>
  <c r="F45" i="186"/>
  <c r="F27" i="186" s="1"/>
  <c r="F44" i="186"/>
  <c r="F26" i="186" s="1"/>
  <c r="F43" i="186"/>
  <c r="F25" i="186" s="1"/>
  <c r="F42" i="186"/>
  <c r="F24" i="186" s="1"/>
  <c r="F41" i="186"/>
  <c r="F23" i="186" s="1"/>
  <c r="F40" i="186"/>
  <c r="F22" i="186" s="1"/>
  <c r="F39" i="186"/>
  <c r="F21" i="186" s="1"/>
  <c r="F38" i="186"/>
  <c r="F20" i="186" s="1"/>
  <c r="F37" i="186"/>
  <c r="F36" i="186"/>
  <c r="F18" i="186" s="1"/>
  <c r="F35" i="186"/>
  <c r="F17" i="186" s="1"/>
  <c r="F34" i="186"/>
  <c r="F33" i="186"/>
  <c r="F15" i="186" s="1"/>
  <c r="F32" i="186"/>
  <c r="F31" i="186"/>
  <c r="F30" i="186"/>
  <c r="F12" i="186" s="1"/>
  <c r="F63" i="187"/>
  <c r="F62" i="187"/>
  <c r="F61" i="187"/>
  <c r="F60" i="187"/>
  <c r="F59" i="187"/>
  <c r="F58" i="187"/>
  <c r="F57" i="187"/>
  <c r="F56" i="187"/>
  <c r="F55" i="187"/>
  <c r="F54" i="187"/>
  <c r="F53" i="187"/>
  <c r="F52" i="187"/>
  <c r="F51" i="187"/>
  <c r="F50" i="187"/>
  <c r="F49" i="187"/>
  <c r="F48" i="187"/>
  <c r="F45" i="187"/>
  <c r="F27" i="187" s="1"/>
  <c r="F44" i="187"/>
  <c r="F26" i="187" s="1"/>
  <c r="F43" i="187"/>
  <c r="F25" i="187" s="1"/>
  <c r="F42" i="187"/>
  <c r="F24" i="187" s="1"/>
  <c r="F41" i="187"/>
  <c r="F23" i="187" s="1"/>
  <c r="F40" i="187"/>
  <c r="F22" i="187" s="1"/>
  <c r="F39" i="187"/>
  <c r="F38" i="187"/>
  <c r="F20" i="187" s="1"/>
  <c r="F37" i="187"/>
  <c r="F19" i="187" s="1"/>
  <c r="F36" i="187"/>
  <c r="F18" i="187" s="1"/>
  <c r="F35" i="187"/>
  <c r="F17" i="187" s="1"/>
  <c r="F34" i="187"/>
  <c r="F16" i="187" s="1"/>
  <c r="F33" i="187"/>
  <c r="F15" i="187" s="1"/>
  <c r="F32" i="187"/>
  <c r="F31" i="187"/>
  <c r="F13" i="187" s="1"/>
  <c r="F30" i="187"/>
  <c r="F12" i="187" s="1"/>
  <c r="F63" i="188"/>
  <c r="F62" i="188"/>
  <c r="F61" i="188"/>
  <c r="F60" i="188"/>
  <c r="F59" i="188"/>
  <c r="F58" i="188"/>
  <c r="F57" i="188"/>
  <c r="F56" i="188"/>
  <c r="F55" i="188"/>
  <c r="F54" i="188"/>
  <c r="F53" i="188"/>
  <c r="F52" i="188"/>
  <c r="F51" i="188"/>
  <c r="F50" i="188"/>
  <c r="F49" i="188"/>
  <c r="F48" i="188"/>
  <c r="F45" i="188"/>
  <c r="F27" i="188" s="1"/>
  <c r="F44" i="188"/>
  <c r="F26" i="188" s="1"/>
  <c r="F43" i="188"/>
  <c r="F25" i="188" s="1"/>
  <c r="F42" i="188"/>
  <c r="F24" i="188" s="1"/>
  <c r="F41" i="188"/>
  <c r="F23" i="188" s="1"/>
  <c r="F40" i="188"/>
  <c r="F22" i="188" s="1"/>
  <c r="F39" i="188"/>
  <c r="F21" i="188" s="1"/>
  <c r="F38" i="188"/>
  <c r="F20" i="188" s="1"/>
  <c r="F37" i="188"/>
  <c r="F36" i="188"/>
  <c r="F18" i="188" s="1"/>
  <c r="F35" i="188"/>
  <c r="F17" i="188" s="1"/>
  <c r="F34" i="188"/>
  <c r="F16" i="188" s="1"/>
  <c r="F33" i="188"/>
  <c r="F15" i="188" s="1"/>
  <c r="F32" i="188"/>
  <c r="F14" i="188" s="1"/>
  <c r="F31" i="188"/>
  <c r="F13" i="188" s="1"/>
  <c r="F30" i="188"/>
  <c r="F63" i="189"/>
  <c r="F62" i="189"/>
  <c r="F61" i="189"/>
  <c r="F60" i="189"/>
  <c r="F59" i="189"/>
  <c r="F58" i="189"/>
  <c r="F57" i="189"/>
  <c r="F56" i="189"/>
  <c r="F55" i="189"/>
  <c r="F54" i="189"/>
  <c r="F53" i="189"/>
  <c r="F52" i="189"/>
  <c r="F51" i="189"/>
  <c r="F50" i="189"/>
  <c r="F49" i="189"/>
  <c r="F48" i="189"/>
  <c r="F45" i="189"/>
  <c r="F27" i="189" s="1"/>
  <c r="F44" i="189"/>
  <c r="F26" i="189" s="1"/>
  <c r="F43" i="189"/>
  <c r="F25" i="189" s="1"/>
  <c r="F42" i="189"/>
  <c r="F24" i="189" s="1"/>
  <c r="F41" i="189"/>
  <c r="F23" i="189" s="1"/>
  <c r="F40" i="189"/>
  <c r="F22" i="189" s="1"/>
  <c r="F39" i="189"/>
  <c r="F21" i="189" s="1"/>
  <c r="F38" i="189"/>
  <c r="F20" i="189" s="1"/>
  <c r="F37" i="189"/>
  <c r="F19" i="189" s="1"/>
  <c r="F36" i="189"/>
  <c r="F18" i="189" s="1"/>
  <c r="F35" i="189"/>
  <c r="F17" i="189" s="1"/>
  <c r="F34" i="189"/>
  <c r="F16" i="189" s="1"/>
  <c r="F33" i="189"/>
  <c r="F15" i="189" s="1"/>
  <c r="F32" i="189"/>
  <c r="F31" i="189"/>
  <c r="F13" i="189" s="1"/>
  <c r="F30" i="189"/>
  <c r="F12" i="189" s="1"/>
  <c r="F63" i="190"/>
  <c r="F62" i="190"/>
  <c r="F61" i="190"/>
  <c r="F60" i="190"/>
  <c r="F59" i="190"/>
  <c r="F58" i="190"/>
  <c r="F57" i="190"/>
  <c r="F56" i="190"/>
  <c r="F55" i="190"/>
  <c r="F54" i="190"/>
  <c r="F53" i="190"/>
  <c r="F52" i="190"/>
  <c r="F51" i="190"/>
  <c r="F50" i="190"/>
  <c r="F49" i="190"/>
  <c r="F48" i="190"/>
  <c r="F45" i="190"/>
  <c r="F44" i="190"/>
  <c r="F26" i="190" s="1"/>
  <c r="F43" i="190"/>
  <c r="F25" i="190" s="1"/>
  <c r="F42" i="190"/>
  <c r="F24" i="190" s="1"/>
  <c r="F41" i="190"/>
  <c r="F23" i="190" s="1"/>
  <c r="F40" i="190"/>
  <c r="F22" i="190" s="1"/>
  <c r="F39" i="190"/>
  <c r="F21" i="190" s="1"/>
  <c r="F38" i="190"/>
  <c r="F20" i="190" s="1"/>
  <c r="F37" i="190"/>
  <c r="F19" i="190" s="1"/>
  <c r="F36" i="190"/>
  <c r="F18" i="190" s="1"/>
  <c r="F35" i="190"/>
  <c r="F17" i="190" s="1"/>
  <c r="F34" i="190"/>
  <c r="F16" i="190" s="1"/>
  <c r="F33" i="190"/>
  <c r="F15" i="190" s="1"/>
  <c r="F32" i="190"/>
  <c r="F14" i="190" s="1"/>
  <c r="F31" i="190"/>
  <c r="F13" i="190" s="1"/>
  <c r="F30" i="190"/>
  <c r="F12" i="190" s="1"/>
  <c r="F63" i="191"/>
  <c r="F62" i="191"/>
  <c r="F61" i="191"/>
  <c r="F60" i="191"/>
  <c r="F59" i="191"/>
  <c r="F58" i="191"/>
  <c r="F57" i="191"/>
  <c r="F56" i="191"/>
  <c r="F55" i="191"/>
  <c r="F54" i="191"/>
  <c r="F53" i="191"/>
  <c r="F52" i="191"/>
  <c r="F51" i="191"/>
  <c r="F50" i="191"/>
  <c r="F49" i="191"/>
  <c r="F48" i="191"/>
  <c r="F45" i="191"/>
  <c r="F27" i="191" s="1"/>
  <c r="F44" i="191"/>
  <c r="F26" i="191" s="1"/>
  <c r="F43" i="191"/>
  <c r="F25" i="191" s="1"/>
  <c r="F42" i="191"/>
  <c r="F24" i="191" s="1"/>
  <c r="F41" i="191"/>
  <c r="F23" i="191" s="1"/>
  <c r="F40" i="191"/>
  <c r="F22" i="191" s="1"/>
  <c r="F39" i="191"/>
  <c r="F21" i="191" s="1"/>
  <c r="F38" i="191"/>
  <c r="F20" i="191" s="1"/>
  <c r="F37" i="191"/>
  <c r="F19" i="191" s="1"/>
  <c r="F36" i="191"/>
  <c r="F18" i="191" s="1"/>
  <c r="F35" i="191"/>
  <c r="F17" i="191" s="1"/>
  <c r="F34" i="191"/>
  <c r="F16" i="191" s="1"/>
  <c r="F33" i="191"/>
  <c r="F15" i="191" s="1"/>
  <c r="F32" i="191"/>
  <c r="F31" i="191"/>
  <c r="F13" i="191" s="1"/>
  <c r="F30" i="191"/>
  <c r="F12" i="191" s="1"/>
  <c r="F63" i="224"/>
  <c r="F62" i="224"/>
  <c r="F61" i="224"/>
  <c r="F60" i="224"/>
  <c r="F59" i="224"/>
  <c r="F58" i="224"/>
  <c r="F57" i="224"/>
  <c r="F56" i="224"/>
  <c r="F55" i="224"/>
  <c r="F54" i="224"/>
  <c r="F53" i="224"/>
  <c r="F52" i="224"/>
  <c r="F51" i="224"/>
  <c r="F50" i="224"/>
  <c r="F49" i="224"/>
  <c r="F48" i="224"/>
  <c r="F45" i="224"/>
  <c r="F44" i="224"/>
  <c r="F26" i="224" s="1"/>
  <c r="F43" i="224"/>
  <c r="F25" i="224" s="1"/>
  <c r="F42" i="224"/>
  <c r="F24" i="224" s="1"/>
  <c r="F41" i="224"/>
  <c r="F23" i="224" s="1"/>
  <c r="F40" i="224"/>
  <c r="F22" i="224" s="1"/>
  <c r="F39" i="224"/>
  <c r="F21" i="224" s="1"/>
  <c r="F38" i="224"/>
  <c r="F20" i="224" s="1"/>
  <c r="F37" i="224"/>
  <c r="F19" i="224" s="1"/>
  <c r="F36" i="224"/>
  <c r="F18" i="224" s="1"/>
  <c r="F35" i="224"/>
  <c r="F17" i="224" s="1"/>
  <c r="F34" i="224"/>
  <c r="F16" i="224" s="1"/>
  <c r="F33" i="224"/>
  <c r="F15" i="224" s="1"/>
  <c r="F32" i="224"/>
  <c r="F31" i="224"/>
  <c r="F13" i="224" s="1"/>
  <c r="F30" i="224"/>
  <c r="F12" i="224" s="1"/>
  <c r="F63" i="192"/>
  <c r="F62" i="192"/>
  <c r="F61" i="192"/>
  <c r="F60" i="192"/>
  <c r="F59" i="192"/>
  <c r="F58" i="192"/>
  <c r="F57" i="192"/>
  <c r="F56" i="192"/>
  <c r="F55" i="192"/>
  <c r="F54" i="192"/>
  <c r="F53" i="192"/>
  <c r="F52" i="192"/>
  <c r="F51" i="192"/>
  <c r="F50" i="192"/>
  <c r="F49" i="192"/>
  <c r="F48" i="192"/>
  <c r="F45" i="192"/>
  <c r="F27" i="192" s="1"/>
  <c r="F44" i="192"/>
  <c r="F26" i="192" s="1"/>
  <c r="F43" i="192"/>
  <c r="F25" i="192" s="1"/>
  <c r="F42" i="192"/>
  <c r="F24" i="192" s="1"/>
  <c r="F41" i="192"/>
  <c r="F23" i="192" s="1"/>
  <c r="F40" i="192"/>
  <c r="F22" i="192" s="1"/>
  <c r="F39" i="192"/>
  <c r="F21" i="192" s="1"/>
  <c r="F38" i="192"/>
  <c r="F20" i="192" s="1"/>
  <c r="F37" i="192"/>
  <c r="F19" i="192" s="1"/>
  <c r="F36" i="192"/>
  <c r="F18" i="192" s="1"/>
  <c r="F35" i="192"/>
  <c r="F17" i="192" s="1"/>
  <c r="F34" i="192"/>
  <c r="F16" i="192" s="1"/>
  <c r="F33" i="192"/>
  <c r="F15" i="192" s="1"/>
  <c r="F32" i="192"/>
  <c r="F31" i="192"/>
  <c r="F13" i="192" s="1"/>
  <c r="F30" i="192"/>
  <c r="F12" i="192" s="1"/>
  <c r="F63" i="194"/>
  <c r="F62" i="194"/>
  <c r="F61" i="194"/>
  <c r="F60" i="194"/>
  <c r="F59" i="194"/>
  <c r="F58" i="194"/>
  <c r="F57" i="194"/>
  <c r="F56" i="194"/>
  <c r="F55" i="194"/>
  <c r="F54" i="194"/>
  <c r="F53" i="194"/>
  <c r="F52" i="194"/>
  <c r="F51" i="194"/>
  <c r="F50" i="194"/>
  <c r="F49" i="194"/>
  <c r="F48" i="194"/>
  <c r="F45" i="194"/>
  <c r="F27" i="194" s="1"/>
  <c r="F44" i="194"/>
  <c r="F43" i="194"/>
  <c r="F42" i="194"/>
  <c r="F24" i="194" s="1"/>
  <c r="F41" i="194"/>
  <c r="F23" i="194" s="1"/>
  <c r="F40" i="194"/>
  <c r="F22" i="194" s="1"/>
  <c r="F39" i="194"/>
  <c r="F21" i="194" s="1"/>
  <c r="F38" i="194"/>
  <c r="F20" i="194" s="1"/>
  <c r="F37" i="194"/>
  <c r="F19" i="194" s="1"/>
  <c r="F36" i="194"/>
  <c r="F18" i="194" s="1"/>
  <c r="F35" i="194"/>
  <c r="F34" i="194"/>
  <c r="F33" i="194"/>
  <c r="F15" i="194" s="1"/>
  <c r="F32" i="194"/>
  <c r="F31" i="194"/>
  <c r="F13" i="194" s="1"/>
  <c r="F30" i="194"/>
  <c r="F12" i="194" s="1"/>
  <c r="F63" i="195"/>
  <c r="F62" i="195"/>
  <c r="F61" i="195"/>
  <c r="F60" i="195"/>
  <c r="F59" i="195"/>
  <c r="F58" i="195"/>
  <c r="F57" i="195"/>
  <c r="F56" i="195"/>
  <c r="F55" i="195"/>
  <c r="F54" i="195"/>
  <c r="F53" i="195"/>
  <c r="F52" i="195"/>
  <c r="F51" i="195"/>
  <c r="F50" i="195"/>
  <c r="F49" i="195"/>
  <c r="F48" i="195"/>
  <c r="F45" i="195"/>
  <c r="F27" i="195" s="1"/>
  <c r="F44" i="195"/>
  <c r="F26" i="195" s="1"/>
  <c r="F43" i="195"/>
  <c r="F25" i="195" s="1"/>
  <c r="F42" i="195"/>
  <c r="F24" i="195" s="1"/>
  <c r="F41" i="195"/>
  <c r="F23" i="195" s="1"/>
  <c r="F40" i="195"/>
  <c r="F22" i="195" s="1"/>
  <c r="F39" i="195"/>
  <c r="F38" i="195"/>
  <c r="F20" i="195" s="1"/>
  <c r="F37" i="195"/>
  <c r="F19" i="195" s="1"/>
  <c r="F36" i="195"/>
  <c r="F18" i="195" s="1"/>
  <c r="F35" i="195"/>
  <c r="F17" i="195" s="1"/>
  <c r="F34" i="195"/>
  <c r="F16" i="195" s="1"/>
  <c r="F33" i="195"/>
  <c r="F15" i="195" s="1"/>
  <c r="F32" i="195"/>
  <c r="F31" i="195"/>
  <c r="F13" i="195" s="1"/>
  <c r="F30" i="195"/>
  <c r="F12" i="195" s="1"/>
  <c r="F63" i="196"/>
  <c r="F62" i="196"/>
  <c r="F61" i="196"/>
  <c r="F60" i="196"/>
  <c r="F59" i="196"/>
  <c r="F58" i="196"/>
  <c r="F57" i="196"/>
  <c r="F56" i="196"/>
  <c r="F55" i="196"/>
  <c r="F54" i="196"/>
  <c r="F53" i="196"/>
  <c r="F52" i="196"/>
  <c r="F51" i="196"/>
  <c r="F50" i="196"/>
  <c r="F49" i="196"/>
  <c r="F48" i="196"/>
  <c r="F45" i="196"/>
  <c r="F44" i="196"/>
  <c r="F26" i="196" s="1"/>
  <c r="F43" i="196"/>
  <c r="F25" i="196" s="1"/>
  <c r="F42" i="196"/>
  <c r="F24" i="196" s="1"/>
  <c r="F41" i="196"/>
  <c r="F23" i="196" s="1"/>
  <c r="F40" i="196"/>
  <c r="F22" i="196" s="1"/>
  <c r="F39" i="196"/>
  <c r="F21" i="196" s="1"/>
  <c r="F38" i="196"/>
  <c r="F20" i="196" s="1"/>
  <c r="F37" i="196"/>
  <c r="F19" i="196" s="1"/>
  <c r="F36" i="196"/>
  <c r="F18" i="196" s="1"/>
  <c r="F35" i="196"/>
  <c r="F17" i="196" s="1"/>
  <c r="F34" i="196"/>
  <c r="F16" i="196" s="1"/>
  <c r="F33" i="196"/>
  <c r="F15" i="196" s="1"/>
  <c r="F32" i="196"/>
  <c r="F31" i="196"/>
  <c r="F13" i="196" s="1"/>
  <c r="F30" i="196"/>
  <c r="F12" i="196" s="1"/>
  <c r="F63" i="197"/>
  <c r="F62" i="197"/>
  <c r="F61" i="197"/>
  <c r="F60" i="197"/>
  <c r="F59" i="197"/>
  <c r="F58" i="197"/>
  <c r="F57" i="197"/>
  <c r="F56" i="197"/>
  <c r="F55" i="197"/>
  <c r="F54" i="197"/>
  <c r="F53" i="197"/>
  <c r="F52" i="197"/>
  <c r="F51" i="197"/>
  <c r="F50" i="197"/>
  <c r="F49" i="197"/>
  <c r="F48" i="197"/>
  <c r="F45" i="197"/>
  <c r="F27" i="197" s="1"/>
  <c r="F44" i="197"/>
  <c r="F26" i="197" s="1"/>
  <c r="F43" i="197"/>
  <c r="F42" i="197"/>
  <c r="F24" i="197" s="1"/>
  <c r="F41" i="197"/>
  <c r="F23" i="197" s="1"/>
  <c r="F40" i="197"/>
  <c r="F22" i="197" s="1"/>
  <c r="F39" i="197"/>
  <c r="F21" i="197" s="1"/>
  <c r="F38" i="197"/>
  <c r="F20" i="197" s="1"/>
  <c r="F37" i="197"/>
  <c r="F19" i="197" s="1"/>
  <c r="F36" i="197"/>
  <c r="F18" i="197" s="1"/>
  <c r="F35" i="197"/>
  <c r="F17" i="197" s="1"/>
  <c r="F34" i="197"/>
  <c r="F16" i="197" s="1"/>
  <c r="F33" i="197"/>
  <c r="F15" i="197" s="1"/>
  <c r="F32" i="197"/>
  <c r="F31" i="197"/>
  <c r="F13" i="197" s="1"/>
  <c r="F30" i="197"/>
  <c r="F12" i="197" s="1"/>
  <c r="F63" i="198"/>
  <c r="F62" i="198"/>
  <c r="F61" i="198"/>
  <c r="F60" i="198"/>
  <c r="F59" i="198"/>
  <c r="F58" i="198"/>
  <c r="F57" i="198"/>
  <c r="F56" i="198"/>
  <c r="F55" i="198"/>
  <c r="F54" i="198"/>
  <c r="F53" i="198"/>
  <c r="F52" i="198"/>
  <c r="F51" i="198"/>
  <c r="F50" i="198"/>
  <c r="F49" i="198"/>
  <c r="F48" i="198"/>
  <c r="F45" i="198"/>
  <c r="F27" i="198" s="1"/>
  <c r="F44" i="198"/>
  <c r="F26" i="198" s="1"/>
  <c r="F43" i="198"/>
  <c r="F42" i="198"/>
  <c r="F24" i="198" s="1"/>
  <c r="F41" i="198"/>
  <c r="F23" i="198" s="1"/>
  <c r="F40" i="198"/>
  <c r="F22" i="198" s="1"/>
  <c r="F39" i="198"/>
  <c r="F21" i="198" s="1"/>
  <c r="F38" i="198"/>
  <c r="F20" i="198" s="1"/>
  <c r="F37" i="198"/>
  <c r="F19" i="198" s="1"/>
  <c r="F36" i="198"/>
  <c r="F18" i="198" s="1"/>
  <c r="F35" i="198"/>
  <c r="F17" i="198" s="1"/>
  <c r="F34" i="198"/>
  <c r="F16" i="198" s="1"/>
  <c r="F33" i="198"/>
  <c r="F15" i="198" s="1"/>
  <c r="F32" i="198"/>
  <c r="F14" i="198" s="1"/>
  <c r="F31" i="198"/>
  <c r="F13" i="198" s="1"/>
  <c r="F30" i="198"/>
  <c r="F12" i="198" s="1"/>
  <c r="F63" i="199"/>
  <c r="F62" i="199"/>
  <c r="F61" i="199"/>
  <c r="F60" i="199"/>
  <c r="F59" i="199"/>
  <c r="F58" i="199"/>
  <c r="F57" i="199"/>
  <c r="F56" i="199"/>
  <c r="F55" i="199"/>
  <c r="F54" i="199"/>
  <c r="F53" i="199"/>
  <c r="F52" i="199"/>
  <c r="F51" i="199"/>
  <c r="F50" i="199"/>
  <c r="F49" i="199"/>
  <c r="F48" i="199"/>
  <c r="F45" i="199"/>
  <c r="F27" i="199" s="1"/>
  <c r="F44" i="199"/>
  <c r="F26" i="199" s="1"/>
  <c r="F43" i="199"/>
  <c r="F42" i="199"/>
  <c r="F24" i="199" s="1"/>
  <c r="F41" i="199"/>
  <c r="F23" i="199" s="1"/>
  <c r="F40" i="199"/>
  <c r="F22" i="199" s="1"/>
  <c r="F39" i="199"/>
  <c r="F21" i="199" s="1"/>
  <c r="F38" i="199"/>
  <c r="F20" i="199" s="1"/>
  <c r="F37" i="199"/>
  <c r="F19" i="199" s="1"/>
  <c r="F36" i="199"/>
  <c r="F18" i="199" s="1"/>
  <c r="F35" i="199"/>
  <c r="F17" i="199" s="1"/>
  <c r="F34" i="199"/>
  <c r="F16" i="199" s="1"/>
  <c r="F33" i="199"/>
  <c r="F15" i="199" s="1"/>
  <c r="F32" i="199"/>
  <c r="F14" i="199" s="1"/>
  <c r="F31" i="199"/>
  <c r="F13" i="199" s="1"/>
  <c r="F30" i="199"/>
  <c r="F12" i="199" s="1"/>
  <c r="F63" i="200"/>
  <c r="F62" i="200"/>
  <c r="F61" i="200"/>
  <c r="F60" i="200"/>
  <c r="F59" i="200"/>
  <c r="F58" i="200"/>
  <c r="F57" i="200"/>
  <c r="F56" i="200"/>
  <c r="F55" i="200"/>
  <c r="F54" i="200"/>
  <c r="F53" i="200"/>
  <c r="F52" i="200"/>
  <c r="F51" i="200"/>
  <c r="F50" i="200"/>
  <c r="F49" i="200"/>
  <c r="F48" i="200"/>
  <c r="F45" i="200"/>
  <c r="F27" i="200" s="1"/>
  <c r="F44" i="200"/>
  <c r="F26" i="200" s="1"/>
  <c r="F43" i="200"/>
  <c r="F25" i="200" s="1"/>
  <c r="F42" i="200"/>
  <c r="F24" i="200" s="1"/>
  <c r="F41" i="200"/>
  <c r="F23" i="200" s="1"/>
  <c r="F40" i="200"/>
  <c r="F22" i="200" s="1"/>
  <c r="F39" i="200"/>
  <c r="F21" i="200" s="1"/>
  <c r="F38" i="200"/>
  <c r="F20" i="200" s="1"/>
  <c r="F37" i="200"/>
  <c r="F19" i="200" s="1"/>
  <c r="F36" i="200"/>
  <c r="F18" i="200" s="1"/>
  <c r="F35" i="200"/>
  <c r="F17" i="200" s="1"/>
  <c r="F34" i="200"/>
  <c r="F16" i="200" s="1"/>
  <c r="F33" i="200"/>
  <c r="F15" i="200" s="1"/>
  <c r="F32" i="200"/>
  <c r="F14" i="200" s="1"/>
  <c r="F31" i="200"/>
  <c r="F13" i="200" s="1"/>
  <c r="F30" i="200"/>
  <c r="F12" i="200" s="1"/>
  <c r="F63" i="225"/>
  <c r="F62" i="225"/>
  <c r="F61" i="225"/>
  <c r="F60" i="225"/>
  <c r="F59" i="225"/>
  <c r="F58" i="225"/>
  <c r="F57" i="225"/>
  <c r="F56" i="225"/>
  <c r="F55" i="225"/>
  <c r="F54" i="225"/>
  <c r="F53" i="225"/>
  <c r="F52" i="225"/>
  <c r="F51" i="225"/>
  <c r="F50" i="225"/>
  <c r="F49" i="225"/>
  <c r="F48" i="225"/>
  <c r="F45" i="225"/>
  <c r="F27" i="225" s="1"/>
  <c r="F44" i="225"/>
  <c r="F26" i="225" s="1"/>
  <c r="F43" i="225"/>
  <c r="F25" i="225" s="1"/>
  <c r="F42" i="225"/>
  <c r="F24" i="225" s="1"/>
  <c r="F41" i="225"/>
  <c r="F23" i="225" s="1"/>
  <c r="F40" i="225"/>
  <c r="F22" i="225" s="1"/>
  <c r="F39" i="225"/>
  <c r="F21" i="225" s="1"/>
  <c r="F38" i="225"/>
  <c r="F20" i="225" s="1"/>
  <c r="F37" i="225"/>
  <c r="F36" i="225"/>
  <c r="F18" i="225" s="1"/>
  <c r="F35" i="225"/>
  <c r="F17" i="225" s="1"/>
  <c r="F34" i="225"/>
  <c r="F16" i="225" s="1"/>
  <c r="F33" i="225"/>
  <c r="F15" i="225" s="1"/>
  <c r="F32" i="225"/>
  <c r="F31" i="225"/>
  <c r="F13" i="225" s="1"/>
  <c r="F30" i="225"/>
  <c r="F63" i="202"/>
  <c r="F63" i="180" s="1"/>
  <c r="F62" i="202"/>
  <c r="F62" i="180" s="1"/>
  <c r="F61" i="202"/>
  <c r="F61" i="180" s="1"/>
  <c r="F60" i="202"/>
  <c r="F60" i="180" s="1"/>
  <c r="F59" i="202"/>
  <c r="F59" i="180" s="1"/>
  <c r="F58" i="202"/>
  <c r="F58" i="180" s="1"/>
  <c r="F57" i="202"/>
  <c r="F57" i="180" s="1"/>
  <c r="F56" i="202"/>
  <c r="F56" i="180" s="1"/>
  <c r="F55" i="202"/>
  <c r="F55" i="180" s="1"/>
  <c r="F54" i="202"/>
  <c r="F54" i="180" s="1"/>
  <c r="F53" i="202"/>
  <c r="F53" i="180" s="1"/>
  <c r="F52" i="202"/>
  <c r="F52" i="180" s="1"/>
  <c r="F51" i="202"/>
  <c r="F51" i="180" s="1"/>
  <c r="F50" i="202"/>
  <c r="F49" i="202"/>
  <c r="F49" i="180" s="1"/>
  <c r="F48" i="202"/>
  <c r="F48" i="180" s="1"/>
  <c r="F45" i="202"/>
  <c r="F45" i="180" s="1"/>
  <c r="F27" i="180" s="1"/>
  <c r="F44" i="202"/>
  <c r="F44" i="180" s="1"/>
  <c r="F26" i="180" s="1"/>
  <c r="F43" i="202"/>
  <c r="F43" i="180" s="1"/>
  <c r="F25" i="180" s="1"/>
  <c r="F42" i="202"/>
  <c r="F42" i="180" s="1"/>
  <c r="F24" i="180" s="1"/>
  <c r="F41" i="202"/>
  <c r="F41" i="180" s="1"/>
  <c r="F23" i="180" s="1"/>
  <c r="F40" i="202"/>
  <c r="F40" i="180" s="1"/>
  <c r="F22" i="180" s="1"/>
  <c r="F39" i="202"/>
  <c r="F39" i="180" s="1"/>
  <c r="F21" i="180" s="1"/>
  <c r="F38" i="202"/>
  <c r="F38" i="180" s="1"/>
  <c r="F20" i="180" s="1"/>
  <c r="F37" i="202"/>
  <c r="F37" i="180" s="1"/>
  <c r="F19" i="180" s="1"/>
  <c r="F36" i="202"/>
  <c r="F36" i="180" s="1"/>
  <c r="F18" i="180" s="1"/>
  <c r="F35" i="202"/>
  <c r="F35" i="180" s="1"/>
  <c r="F17" i="180" s="1"/>
  <c r="F34" i="202"/>
  <c r="F34" i="180" s="1"/>
  <c r="F16" i="180" s="1"/>
  <c r="F33" i="202"/>
  <c r="F33" i="180" s="1"/>
  <c r="F15" i="180" s="1"/>
  <c r="F32" i="202"/>
  <c r="F32" i="180" s="1"/>
  <c r="F31" i="202"/>
  <c r="F31" i="180" s="1"/>
  <c r="F13" i="180" s="1"/>
  <c r="F30" i="202"/>
  <c r="F30" i="180" s="1"/>
  <c r="F12" i="180" s="1"/>
  <c r="F63" i="226"/>
  <c r="F63" i="223" s="1"/>
  <c r="F62" i="226"/>
  <c r="F62" i="223" s="1"/>
  <c r="F61" i="226"/>
  <c r="F61" i="223" s="1"/>
  <c r="F60" i="226"/>
  <c r="F60" i="223" s="1"/>
  <c r="F59" i="226"/>
  <c r="F59" i="223" s="1"/>
  <c r="F58" i="226"/>
  <c r="F58" i="223" s="1"/>
  <c r="F57" i="226"/>
  <c r="F57" i="223" s="1"/>
  <c r="F56" i="226"/>
  <c r="F56" i="223" s="1"/>
  <c r="F55" i="226"/>
  <c r="F55" i="223" s="1"/>
  <c r="F54" i="226"/>
  <c r="F54" i="223" s="1"/>
  <c r="F53" i="226"/>
  <c r="F53" i="223" s="1"/>
  <c r="F52" i="226"/>
  <c r="F52" i="223" s="1"/>
  <c r="F51" i="226"/>
  <c r="F51" i="223" s="1"/>
  <c r="F50" i="226"/>
  <c r="F49" i="226"/>
  <c r="F49" i="223" s="1"/>
  <c r="F48" i="226"/>
  <c r="F48" i="223" s="1"/>
  <c r="F45" i="226"/>
  <c r="F45" i="223" s="1"/>
  <c r="F27" i="223" s="1"/>
  <c r="F44" i="226"/>
  <c r="F44" i="223" s="1"/>
  <c r="F26" i="223" s="1"/>
  <c r="F43" i="226"/>
  <c r="F43" i="223" s="1"/>
  <c r="F25" i="223" s="1"/>
  <c r="F42" i="226"/>
  <c r="F42" i="223" s="1"/>
  <c r="F24" i="223" s="1"/>
  <c r="F41" i="226"/>
  <c r="F41" i="223" s="1"/>
  <c r="F23" i="223" s="1"/>
  <c r="F40" i="226"/>
  <c r="F40" i="223" s="1"/>
  <c r="F22" i="223" s="1"/>
  <c r="F39" i="226"/>
  <c r="F39" i="223" s="1"/>
  <c r="F21" i="223" s="1"/>
  <c r="F38" i="226"/>
  <c r="F38" i="223" s="1"/>
  <c r="F20" i="223" s="1"/>
  <c r="F37" i="226"/>
  <c r="F37" i="223" s="1"/>
  <c r="F19" i="223" s="1"/>
  <c r="F36" i="226"/>
  <c r="F36" i="223" s="1"/>
  <c r="F18" i="223" s="1"/>
  <c r="F35" i="226"/>
  <c r="F35" i="223" s="1"/>
  <c r="F17" i="223" s="1"/>
  <c r="F34" i="226"/>
  <c r="F34" i="223" s="1"/>
  <c r="F16" i="223" s="1"/>
  <c r="F33" i="226"/>
  <c r="F33" i="223" s="1"/>
  <c r="F15" i="223" s="1"/>
  <c r="F32" i="226"/>
  <c r="F32" i="223" s="1"/>
  <c r="F31" i="226"/>
  <c r="F31" i="223" s="1"/>
  <c r="F13" i="223" s="1"/>
  <c r="F30" i="226"/>
  <c r="F30" i="223" s="1"/>
  <c r="F12" i="223" s="1"/>
  <c r="F63" i="203"/>
  <c r="F62" i="203"/>
  <c r="F61" i="203"/>
  <c r="F60" i="203"/>
  <c r="F60" i="206" s="1"/>
  <c r="F59" i="203"/>
  <c r="F58" i="203"/>
  <c r="F57" i="203"/>
  <c r="F56" i="203"/>
  <c r="F56" i="206" s="1"/>
  <c r="F55" i="203"/>
  <c r="F54" i="203"/>
  <c r="F53" i="203"/>
  <c r="F53" i="206" s="1"/>
  <c r="F52" i="203"/>
  <c r="F52" i="206" s="1"/>
  <c r="F51" i="203"/>
  <c r="F50" i="203"/>
  <c r="F49" i="203"/>
  <c r="F48" i="203"/>
  <c r="F45" i="203"/>
  <c r="F27" i="203" s="1"/>
  <c r="F44" i="203"/>
  <c r="F26" i="203" s="1"/>
  <c r="F43" i="203"/>
  <c r="F25" i="203" s="1"/>
  <c r="F42" i="203"/>
  <c r="F24" i="203" s="1"/>
  <c r="F41" i="203"/>
  <c r="F23" i="203" s="1"/>
  <c r="F40" i="203"/>
  <c r="F22" i="203" s="1"/>
  <c r="F39" i="203"/>
  <c r="F38" i="203"/>
  <c r="F38" i="206" s="1"/>
  <c r="F37" i="203"/>
  <c r="F19" i="203" s="1"/>
  <c r="F36" i="203"/>
  <c r="F18" i="203" s="1"/>
  <c r="F35" i="203"/>
  <c r="F17" i="203" s="1"/>
  <c r="F34" i="203"/>
  <c r="F16" i="203" s="1"/>
  <c r="F33" i="203"/>
  <c r="F15" i="203" s="1"/>
  <c r="F32" i="203"/>
  <c r="F31" i="203"/>
  <c r="F13" i="203" s="1"/>
  <c r="F30" i="203"/>
  <c r="F30" i="206" s="1"/>
  <c r="F63" i="185"/>
  <c r="F63" i="173" s="1"/>
  <c r="F62" i="185"/>
  <c r="F61" i="185"/>
  <c r="F61" i="173" s="1"/>
  <c r="F60" i="185"/>
  <c r="F60" i="173" s="1"/>
  <c r="F59" i="185"/>
  <c r="F58" i="185"/>
  <c r="F57" i="185"/>
  <c r="F57" i="173" s="1"/>
  <c r="F56" i="185"/>
  <c r="F56" i="173" s="1"/>
  <c r="F55" i="185"/>
  <c r="F55" i="173" s="1"/>
  <c r="F54" i="185"/>
  <c r="F53" i="185"/>
  <c r="F53" i="173" s="1"/>
  <c r="F52" i="185"/>
  <c r="F52" i="173" s="1"/>
  <c r="F51" i="185"/>
  <c r="F51" i="173" s="1"/>
  <c r="F50" i="185"/>
  <c r="F49" i="185"/>
  <c r="F48" i="185"/>
  <c r="F48" i="173" s="1"/>
  <c r="F45" i="185"/>
  <c r="F45" i="173" s="1"/>
  <c r="F27" i="173" s="1"/>
  <c r="F44" i="185"/>
  <c r="F44" i="173" s="1"/>
  <c r="F43" i="185"/>
  <c r="F42" i="185"/>
  <c r="F41" i="185"/>
  <c r="F40" i="185"/>
  <c r="F40" i="173" s="1"/>
  <c r="F39" i="185"/>
  <c r="F39" i="173" s="1"/>
  <c r="F21" i="173" s="1"/>
  <c r="F38" i="185"/>
  <c r="F38" i="173" s="1"/>
  <c r="F20" i="173" s="1"/>
  <c r="F37" i="185"/>
  <c r="F37" i="173" s="1"/>
  <c r="F19" i="173" s="1"/>
  <c r="F36" i="185"/>
  <c r="F36" i="173" s="1"/>
  <c r="F35" i="185"/>
  <c r="F34" i="185"/>
  <c r="F34" i="205" s="1"/>
  <c r="F33" i="185"/>
  <c r="F33" i="173" s="1"/>
  <c r="F15" i="173" s="1"/>
  <c r="F32" i="185"/>
  <c r="F32" i="173" s="1"/>
  <c r="F31" i="185"/>
  <c r="F31" i="173" s="1"/>
  <c r="F30" i="185"/>
  <c r="F30" i="173" s="1"/>
  <c r="F12" i="173" s="1"/>
  <c r="F49" i="206"/>
  <c r="F13" i="186"/>
  <c r="F16" i="186"/>
  <c r="F19" i="186"/>
  <c r="F21" i="187"/>
  <c r="F19" i="188"/>
  <c r="F27" i="190"/>
  <c r="F27" i="224"/>
  <c r="F16" i="194"/>
  <c r="F21" i="195"/>
  <c r="F27" i="196"/>
  <c r="F25" i="197"/>
  <c r="F25" i="198"/>
  <c r="F25" i="199"/>
  <c r="F12" i="225"/>
  <c r="F19" i="225"/>
  <c r="F17" i="202"/>
  <c r="F19" i="226"/>
  <c r="F21" i="203"/>
  <c r="F25" i="202" l="1"/>
  <c r="F39" i="206"/>
  <c r="F27" i="226"/>
  <c r="F15" i="226"/>
  <c r="F21" i="202"/>
  <c r="F13" i="202"/>
  <c r="F45" i="205"/>
  <c r="F53" i="205"/>
  <c r="K138" i="213"/>
  <c r="K194" i="213"/>
  <c r="G12" i="217"/>
  <c r="L12" i="217" s="1"/>
  <c r="G12" i="154"/>
  <c r="C34" i="208" s="1"/>
  <c r="G28" i="173"/>
  <c r="S10" i="209" s="1"/>
  <c r="M6" i="209"/>
  <c r="L24" i="206"/>
  <c r="F12" i="226"/>
  <c r="G24" i="148"/>
  <c r="G20" i="150"/>
  <c r="K22" i="208" s="1"/>
  <c r="G19" i="182"/>
  <c r="J7" i="209" s="1"/>
  <c r="L28" i="187"/>
  <c r="M83" i="211"/>
  <c r="K53" i="150" s="1"/>
  <c r="K32" i="213"/>
  <c r="K88" i="213"/>
  <c r="K22" i="189" s="1"/>
  <c r="K120" i="213"/>
  <c r="K155" i="213"/>
  <c r="K178" i="213"/>
  <c r="L28" i="158"/>
  <c r="F23" i="226"/>
  <c r="F12" i="203"/>
  <c r="K12" i="203" s="1"/>
  <c r="F12" i="202"/>
  <c r="M101" i="211"/>
  <c r="M117" i="211"/>
  <c r="M133" i="211"/>
  <c r="M165" i="211"/>
  <c r="M183" i="211"/>
  <c r="M201" i="211"/>
  <c r="G18" i="150"/>
  <c r="I22" i="208" s="1"/>
  <c r="G16" i="217"/>
  <c r="L16" i="217" s="1"/>
  <c r="G23" i="182"/>
  <c r="L23" i="182" s="1"/>
  <c r="G15" i="182"/>
  <c r="F7" i="209" s="1"/>
  <c r="K5" i="209"/>
  <c r="L20" i="205"/>
  <c r="K19" i="209"/>
  <c r="L20" i="176"/>
  <c r="K6" i="209"/>
  <c r="L20" i="206"/>
  <c r="K98" i="213"/>
  <c r="K32" i="190" s="1"/>
  <c r="K111" i="213"/>
  <c r="K63" i="190" s="1"/>
  <c r="K126" i="213"/>
  <c r="K146" i="213"/>
  <c r="K162" i="213"/>
  <c r="K170" i="213"/>
  <c r="K186" i="213"/>
  <c r="F61" i="206"/>
  <c r="P6" i="209"/>
  <c r="L25" i="206"/>
  <c r="P5" i="209"/>
  <c r="L25" i="205"/>
  <c r="F35" i="173"/>
  <c r="F17" i="185"/>
  <c r="F41" i="173"/>
  <c r="K41" i="173" s="1"/>
  <c r="F41" i="205"/>
  <c r="F43" i="173"/>
  <c r="F25" i="173" s="1"/>
  <c r="F25" i="185"/>
  <c r="F49" i="173"/>
  <c r="F13" i="173" s="1"/>
  <c r="K13" i="173" s="1"/>
  <c r="F49" i="205"/>
  <c r="F49" i="182" s="1"/>
  <c r="K49" i="182" s="1"/>
  <c r="F59" i="173"/>
  <c r="K59" i="173" s="1"/>
  <c r="F59" i="205"/>
  <c r="F35" i="206"/>
  <c r="F17" i="194"/>
  <c r="F43" i="206"/>
  <c r="F25" i="194"/>
  <c r="F57" i="206"/>
  <c r="K57" i="206" s="1"/>
  <c r="L40" i="150"/>
  <c r="G22" i="150"/>
  <c r="L22" i="150" s="1"/>
  <c r="L46" i="171"/>
  <c r="G46" i="154"/>
  <c r="L46" i="154" s="1"/>
  <c r="L46" i="205"/>
  <c r="G28" i="205"/>
  <c r="S5" i="209" s="1"/>
  <c r="L28" i="162"/>
  <c r="S32" i="208"/>
  <c r="L46" i="183"/>
  <c r="G28" i="183"/>
  <c r="S28" i="209" s="1"/>
  <c r="F25" i="226"/>
  <c r="F21" i="226"/>
  <c r="F17" i="226"/>
  <c r="F13" i="226"/>
  <c r="F27" i="202"/>
  <c r="K27" i="202" s="1"/>
  <c r="F23" i="202"/>
  <c r="F19" i="202"/>
  <c r="F15" i="202"/>
  <c r="K15" i="202" s="1"/>
  <c r="F21" i="185"/>
  <c r="F33" i="205"/>
  <c r="F63" i="205"/>
  <c r="L202" i="213"/>
  <c r="G16" i="148"/>
  <c r="G16" i="208" s="1"/>
  <c r="L59" i="217"/>
  <c r="G23" i="217"/>
  <c r="L23" i="217" s="1"/>
  <c r="L28" i="160"/>
  <c r="K57" i="213"/>
  <c r="K45" i="187" s="1"/>
  <c r="K70" i="213"/>
  <c r="K58" i="188" s="1"/>
  <c r="K92" i="213"/>
  <c r="K62" i="189" s="1"/>
  <c r="K102" i="213"/>
  <c r="K54" i="190" s="1"/>
  <c r="K108" i="213"/>
  <c r="K60" i="190" s="1"/>
  <c r="K114" i="213"/>
  <c r="K132" i="213"/>
  <c r="K142" i="213"/>
  <c r="G24" i="150"/>
  <c r="G14" i="150"/>
  <c r="E22" i="208" s="1"/>
  <c r="G18" i="152"/>
  <c r="I28" i="208" s="1"/>
  <c r="G18" i="154"/>
  <c r="I34" i="208" s="1"/>
  <c r="G20" i="182"/>
  <c r="K7" i="209" s="1"/>
  <c r="F37" i="205"/>
  <c r="G28" i="171"/>
  <c r="L28" i="171" s="1"/>
  <c r="G20" i="148"/>
  <c r="K16" i="208" s="1"/>
  <c r="G27" i="217"/>
  <c r="L27" i="217" s="1"/>
  <c r="G25" i="147"/>
  <c r="G14" i="217"/>
  <c r="L14" i="217" s="1"/>
  <c r="G12" i="152"/>
  <c r="L12" i="152" s="1"/>
  <c r="G82" i="154"/>
  <c r="L82" i="154" s="1"/>
  <c r="G27" i="182"/>
  <c r="L27" i="182" s="1"/>
  <c r="G28" i="175"/>
  <c r="S16" i="209" s="1"/>
  <c r="G21" i="182"/>
  <c r="L21" i="182" s="1"/>
  <c r="G20" i="152"/>
  <c r="K28" i="208" s="1"/>
  <c r="L64" i="173"/>
  <c r="F53" i="182"/>
  <c r="G28" i="153"/>
  <c r="S31" i="208" s="1"/>
  <c r="G28" i="222"/>
  <c r="L28" i="222" s="1"/>
  <c r="G28" i="177"/>
  <c r="S22" i="209" s="1"/>
  <c r="L28" i="155"/>
  <c r="L28" i="159"/>
  <c r="J25" i="209"/>
  <c r="L19" i="178"/>
  <c r="J34" i="209"/>
  <c r="L19" i="181"/>
  <c r="J5" i="209"/>
  <c r="L19" i="205"/>
  <c r="J31" i="208"/>
  <c r="L19" i="153"/>
  <c r="J10" i="208"/>
  <c r="L19" i="146"/>
  <c r="J19" i="209"/>
  <c r="L19" i="176"/>
  <c r="J10" i="209"/>
  <c r="L19" i="173"/>
  <c r="J28" i="209"/>
  <c r="L19" i="183"/>
  <c r="J6" i="209"/>
  <c r="L19" i="206"/>
  <c r="G24" i="152"/>
  <c r="L27" i="176"/>
  <c r="R19" i="209"/>
  <c r="R10" i="209"/>
  <c r="L27" i="173"/>
  <c r="L27" i="183"/>
  <c r="R28" i="209"/>
  <c r="R5" i="209"/>
  <c r="L27" i="205"/>
  <c r="R6" i="209"/>
  <c r="L27" i="206"/>
  <c r="R31" i="208"/>
  <c r="L27" i="153"/>
  <c r="R10" i="208"/>
  <c r="L27" i="146"/>
  <c r="R25" i="209"/>
  <c r="L27" i="178"/>
  <c r="R34" i="209"/>
  <c r="L27" i="181"/>
  <c r="Q10" i="208"/>
  <c r="L26" i="146"/>
  <c r="L26" i="173"/>
  <c r="Q10" i="209"/>
  <c r="Q25" i="209"/>
  <c r="L26" i="178"/>
  <c r="Q28" i="209"/>
  <c r="L26" i="183"/>
  <c r="Q5" i="209"/>
  <c r="L26" i="205"/>
  <c r="Q31" i="209"/>
  <c r="L26" i="180"/>
  <c r="Q34" i="209"/>
  <c r="L26" i="181"/>
  <c r="Q31" i="208"/>
  <c r="L26" i="153"/>
  <c r="L26" i="176"/>
  <c r="Q19" i="209"/>
  <c r="O31" i="208"/>
  <c r="L24" i="153"/>
  <c r="O19" i="209"/>
  <c r="L24" i="176"/>
  <c r="O10" i="209"/>
  <c r="L24" i="173"/>
  <c r="O25" i="209"/>
  <c r="L24" i="178"/>
  <c r="G24" i="154"/>
  <c r="L42" i="154"/>
  <c r="O34" i="209"/>
  <c r="L24" i="181"/>
  <c r="O10" i="208"/>
  <c r="L24" i="146"/>
  <c r="O5" i="209"/>
  <c r="L24" i="205"/>
  <c r="O31" i="209"/>
  <c r="L24" i="180"/>
  <c r="N31" i="208"/>
  <c r="L23" i="153"/>
  <c r="N25" i="209"/>
  <c r="L23" i="178"/>
  <c r="N6" i="209"/>
  <c r="L23" i="206"/>
  <c r="L23" i="181"/>
  <c r="N34" i="209"/>
  <c r="N10" i="208"/>
  <c r="L23" i="146"/>
  <c r="N7" i="209"/>
  <c r="N19" i="209"/>
  <c r="L23" i="176"/>
  <c r="N22" i="209"/>
  <c r="L23" i="177"/>
  <c r="L23" i="173"/>
  <c r="N10" i="209"/>
  <c r="N28" i="209"/>
  <c r="L23" i="183"/>
  <c r="M10" i="208"/>
  <c r="L22" i="146"/>
  <c r="M22" i="209"/>
  <c r="L22" i="177"/>
  <c r="M10" i="209"/>
  <c r="L22" i="173"/>
  <c r="M25" i="209"/>
  <c r="L22" i="178"/>
  <c r="M28" i="209"/>
  <c r="L22" i="183"/>
  <c r="M16" i="209"/>
  <c r="L22" i="175"/>
  <c r="M19" i="209"/>
  <c r="L22" i="176"/>
  <c r="M5" i="209"/>
  <c r="L22" i="205"/>
  <c r="M34" i="209"/>
  <c r="L22" i="181"/>
  <c r="M31" i="209"/>
  <c r="L22" i="180"/>
  <c r="M31" i="208"/>
  <c r="L22" i="153"/>
  <c r="L25" i="209"/>
  <c r="L21" i="178"/>
  <c r="L21" i="183"/>
  <c r="L28" i="209"/>
  <c r="L16" i="209"/>
  <c r="L21" i="175"/>
  <c r="L7" i="209"/>
  <c r="L19" i="209"/>
  <c r="L21" i="176"/>
  <c r="L21" i="177"/>
  <c r="L22" i="209"/>
  <c r="L10" i="209"/>
  <c r="L21" i="173"/>
  <c r="L6" i="209"/>
  <c r="L21" i="206"/>
  <c r="L31" i="208"/>
  <c r="L21" i="153"/>
  <c r="L10" i="208"/>
  <c r="L21" i="146"/>
  <c r="L34" i="209"/>
  <c r="L21" i="181"/>
  <c r="L5" i="209"/>
  <c r="L21" i="205"/>
  <c r="G17" i="147"/>
  <c r="L35" i="147"/>
  <c r="H31" i="208"/>
  <c r="L17" i="153"/>
  <c r="L17" i="173"/>
  <c r="H10" i="209"/>
  <c r="H10" i="208"/>
  <c r="L17" i="146"/>
  <c r="L17" i="178"/>
  <c r="H25" i="209"/>
  <c r="L17" i="174"/>
  <c r="H13" i="209"/>
  <c r="L17" i="183"/>
  <c r="H28" i="209"/>
  <c r="G17" i="182"/>
  <c r="G28" i="223"/>
  <c r="L28" i="223" s="1"/>
  <c r="H34" i="209"/>
  <c r="L17" i="181"/>
  <c r="H6" i="209"/>
  <c r="L17" i="206"/>
  <c r="H5" i="209"/>
  <c r="L17" i="205"/>
  <c r="I19" i="209"/>
  <c r="L18" i="176"/>
  <c r="I6" i="209"/>
  <c r="L18" i="206"/>
  <c r="I5" i="209"/>
  <c r="L18" i="205"/>
  <c r="F10" i="208"/>
  <c r="L15" i="146"/>
  <c r="F25" i="209"/>
  <c r="L15" i="178"/>
  <c r="F28" i="209"/>
  <c r="L15" i="183"/>
  <c r="F31" i="208"/>
  <c r="L15" i="153"/>
  <c r="L15" i="176"/>
  <c r="F19" i="209"/>
  <c r="L15" i="173"/>
  <c r="F10" i="209"/>
  <c r="L15" i="174"/>
  <c r="F13" i="209"/>
  <c r="F6" i="209"/>
  <c r="L15" i="206"/>
  <c r="L15" i="181"/>
  <c r="F34" i="209"/>
  <c r="L16" i="183"/>
  <c r="G28" i="209"/>
  <c r="G5" i="209"/>
  <c r="L16" i="205"/>
  <c r="G10" i="208"/>
  <c r="L16" i="146"/>
  <c r="G31" i="208"/>
  <c r="L16" i="153"/>
  <c r="G19" i="209"/>
  <c r="L16" i="176"/>
  <c r="L16" i="173"/>
  <c r="G10" i="209"/>
  <c r="G25" i="209"/>
  <c r="L16" i="178"/>
  <c r="G31" i="209"/>
  <c r="L16" i="180"/>
  <c r="L16" i="181"/>
  <c r="G34" i="209"/>
  <c r="E10" i="208"/>
  <c r="L14" i="146"/>
  <c r="G28" i="180"/>
  <c r="S31" i="209" s="1"/>
  <c r="L14" i="174"/>
  <c r="E13" i="209"/>
  <c r="E5" i="209"/>
  <c r="L14" i="205"/>
  <c r="E6" i="209"/>
  <c r="L14" i="206"/>
  <c r="L14" i="181"/>
  <c r="E34" i="209"/>
  <c r="E10" i="209"/>
  <c r="L14" i="173"/>
  <c r="E25" i="209"/>
  <c r="L14" i="178"/>
  <c r="E28" i="209"/>
  <c r="L14" i="183"/>
  <c r="E31" i="209"/>
  <c r="L14" i="180"/>
  <c r="E31" i="208"/>
  <c r="L14" i="153"/>
  <c r="D31" i="208"/>
  <c r="L13" i="153"/>
  <c r="D10" i="208"/>
  <c r="L13" i="146"/>
  <c r="L13" i="178"/>
  <c r="D25" i="209"/>
  <c r="L13" i="174"/>
  <c r="D13" i="209"/>
  <c r="D28" i="209"/>
  <c r="L13" i="183"/>
  <c r="D7" i="209"/>
  <c r="L13" i="182"/>
  <c r="L13" i="177"/>
  <c r="D22" i="209"/>
  <c r="D34" i="209"/>
  <c r="L13" i="181"/>
  <c r="D5" i="209"/>
  <c r="L13" i="205"/>
  <c r="D16" i="209"/>
  <c r="L13" i="175"/>
  <c r="D10" i="209"/>
  <c r="L13" i="173"/>
  <c r="L13" i="180"/>
  <c r="D31" i="209"/>
  <c r="D6" i="209"/>
  <c r="L13" i="206"/>
  <c r="S15" i="208"/>
  <c r="L28" i="165"/>
  <c r="S26" i="208"/>
  <c r="L28" i="161"/>
  <c r="C16" i="209"/>
  <c r="L12" i="175"/>
  <c r="C5" i="209"/>
  <c r="L12" i="205"/>
  <c r="C34" i="209"/>
  <c r="L12" i="181"/>
  <c r="C10" i="209"/>
  <c r="L12" i="173"/>
  <c r="S23" i="209"/>
  <c r="L28" i="190"/>
  <c r="C25" i="209"/>
  <c r="L12" i="178"/>
  <c r="S11" i="209"/>
  <c r="L28" i="186"/>
  <c r="C13" i="209"/>
  <c r="L12" i="174"/>
  <c r="S21" i="209"/>
  <c r="L28" i="198"/>
  <c r="S33" i="209"/>
  <c r="L28" i="203"/>
  <c r="S27" i="209"/>
  <c r="L28" i="200"/>
  <c r="S32" i="209"/>
  <c r="L28" i="192"/>
  <c r="C31" i="209"/>
  <c r="L12" i="180"/>
  <c r="S8" i="209"/>
  <c r="L28" i="185"/>
  <c r="S21" i="208"/>
  <c r="L28" i="167"/>
  <c r="S14" i="208"/>
  <c r="L28" i="157"/>
  <c r="L28" i="153"/>
  <c r="C10" i="208"/>
  <c r="L12" i="146"/>
  <c r="L12" i="154"/>
  <c r="C31" i="208"/>
  <c r="L12" i="153"/>
  <c r="S9" i="209"/>
  <c r="L28" i="194"/>
  <c r="C28" i="209"/>
  <c r="L12" i="183"/>
  <c r="S17" i="209"/>
  <c r="L28" i="188"/>
  <c r="C22" i="209"/>
  <c r="L12" i="177"/>
  <c r="S15" i="209"/>
  <c r="L28" i="196"/>
  <c r="S30" i="209"/>
  <c r="L28" i="202"/>
  <c r="S18" i="209"/>
  <c r="L28" i="197"/>
  <c r="S20" i="209"/>
  <c r="L28" i="189"/>
  <c r="L28" i="173"/>
  <c r="L28" i="205"/>
  <c r="S24" i="209"/>
  <c r="L28" i="199"/>
  <c r="S9" i="208"/>
  <c r="L28" i="163"/>
  <c r="K66" i="213"/>
  <c r="M135" i="211"/>
  <c r="M139" i="211"/>
  <c r="M141" i="211"/>
  <c r="M143" i="211"/>
  <c r="M145" i="211"/>
  <c r="M147" i="211"/>
  <c r="M152" i="211"/>
  <c r="M153" i="211"/>
  <c r="M155" i="211"/>
  <c r="M157" i="211"/>
  <c r="M159" i="211"/>
  <c r="M216" i="213"/>
  <c r="M214" i="213"/>
  <c r="M208" i="213"/>
  <c r="M206" i="213"/>
  <c r="K74" i="213"/>
  <c r="M161" i="211"/>
  <c r="M163" i="211"/>
  <c r="L204" i="213"/>
  <c r="K30" i="206" s="1"/>
  <c r="L206" i="213"/>
  <c r="L210" i="213"/>
  <c r="L211" i="213"/>
  <c r="L214" i="213"/>
  <c r="L215" i="213"/>
  <c r="L218" i="213"/>
  <c r="G26" i="147"/>
  <c r="G22" i="147"/>
  <c r="G18" i="149"/>
  <c r="I19" i="208" s="1"/>
  <c r="G14" i="149"/>
  <c r="G26" i="216"/>
  <c r="G22" i="216"/>
  <c r="G18" i="216"/>
  <c r="G25" i="148"/>
  <c r="G17" i="148"/>
  <c r="H16" i="208" s="1"/>
  <c r="G25" i="150"/>
  <c r="G25" i="152"/>
  <c r="P28" i="208" s="1"/>
  <c r="G26" i="150"/>
  <c r="Q22" i="208" s="1"/>
  <c r="K36" i="213"/>
  <c r="K62" i="213"/>
  <c r="K32" i="188" s="1"/>
  <c r="K83" i="213"/>
  <c r="K124" i="213"/>
  <c r="K22" i="191" s="1"/>
  <c r="K150" i="213"/>
  <c r="K158" i="213"/>
  <c r="K174" i="213"/>
  <c r="K182" i="213"/>
  <c r="K188" i="213"/>
  <c r="K198" i="213"/>
  <c r="G24" i="147"/>
  <c r="G20" i="147"/>
  <c r="K13" i="208" s="1"/>
  <c r="G16" i="147"/>
  <c r="G24" i="149"/>
  <c r="G20" i="149"/>
  <c r="K19" i="208" s="1"/>
  <c r="G16" i="149"/>
  <c r="G12" i="149"/>
  <c r="G20" i="151"/>
  <c r="K25" i="208" s="1"/>
  <c r="G16" i="151"/>
  <c r="G12" i="151"/>
  <c r="G24" i="216"/>
  <c r="G20" i="216"/>
  <c r="G16" i="216"/>
  <c r="G12" i="216"/>
  <c r="L12" i="216" s="1"/>
  <c r="G27" i="150"/>
  <c r="G23" i="150"/>
  <c r="G19" i="150"/>
  <c r="J22" i="208" s="1"/>
  <c r="G15" i="150"/>
  <c r="F22" i="208" s="1"/>
  <c r="G27" i="154"/>
  <c r="G23" i="154"/>
  <c r="G19" i="154"/>
  <c r="G15" i="154"/>
  <c r="G16" i="152"/>
  <c r="G16" i="154"/>
  <c r="G28" i="181"/>
  <c r="G18" i="182"/>
  <c r="I7" i="209" s="1"/>
  <c r="G64" i="182"/>
  <c r="L64" i="182" s="1"/>
  <c r="G28" i="176"/>
  <c r="G24" i="182"/>
  <c r="G16" i="182"/>
  <c r="G28" i="178"/>
  <c r="G26" i="182"/>
  <c r="G28" i="206"/>
  <c r="G46" i="182"/>
  <c r="L46" i="182" s="1"/>
  <c r="G12" i="182"/>
  <c r="G28" i="174"/>
  <c r="G22" i="182"/>
  <c r="G14" i="182"/>
  <c r="F45" i="206"/>
  <c r="F33" i="206"/>
  <c r="F33" i="182" s="1"/>
  <c r="F37" i="206"/>
  <c r="F41" i="206"/>
  <c r="F51" i="206"/>
  <c r="F55" i="206"/>
  <c r="F59" i="206"/>
  <c r="F63" i="206"/>
  <c r="F27" i="185"/>
  <c r="F23" i="185"/>
  <c r="F19" i="185"/>
  <c r="F15" i="185"/>
  <c r="F43" i="205"/>
  <c r="F39" i="205"/>
  <c r="F39" i="182" s="1"/>
  <c r="F35" i="205"/>
  <c r="F61" i="205"/>
  <c r="F61" i="182" s="1"/>
  <c r="F55" i="205"/>
  <c r="F51" i="205"/>
  <c r="F64" i="224"/>
  <c r="F46" i="188"/>
  <c r="K25" i="168"/>
  <c r="K25" i="170"/>
  <c r="K25" i="171"/>
  <c r="G26" i="148"/>
  <c r="Q16" i="208" s="1"/>
  <c r="G22" i="148"/>
  <c r="G18" i="148"/>
  <c r="I16" i="208" s="1"/>
  <c r="G14" i="148"/>
  <c r="E16" i="208" s="1"/>
  <c r="G18" i="147"/>
  <c r="I13" i="208" s="1"/>
  <c r="G21" i="147"/>
  <c r="L13" i="208" s="1"/>
  <c r="G13" i="147"/>
  <c r="G23" i="148"/>
  <c r="N16" i="208" s="1"/>
  <c r="G15" i="148"/>
  <c r="G25" i="149"/>
  <c r="P19" i="208" s="1"/>
  <c r="G21" i="149"/>
  <c r="G17" i="149"/>
  <c r="H19" i="208" s="1"/>
  <c r="G13" i="149"/>
  <c r="G13" i="150"/>
  <c r="G25" i="151"/>
  <c r="P25" i="208" s="1"/>
  <c r="G21" i="151"/>
  <c r="G17" i="151"/>
  <c r="G13" i="151"/>
  <c r="G25" i="216"/>
  <c r="G21" i="216"/>
  <c r="L21" i="216" s="1"/>
  <c r="G17" i="216"/>
  <c r="L17" i="216" s="1"/>
  <c r="G13" i="216"/>
  <c r="G21" i="148"/>
  <c r="G14" i="151"/>
  <c r="G18" i="151"/>
  <c r="I25" i="208" s="1"/>
  <c r="G25" i="154"/>
  <c r="P34" i="208" s="1"/>
  <c r="G13" i="148"/>
  <c r="G13" i="152"/>
  <c r="G21" i="152"/>
  <c r="G26" i="149"/>
  <c r="G22" i="149"/>
  <c r="G26" i="154"/>
  <c r="G28" i="148"/>
  <c r="G28" i="150"/>
  <c r="G28" i="152"/>
  <c r="G28" i="147"/>
  <c r="G28" i="149"/>
  <c r="G28" i="151"/>
  <c r="G28" i="216"/>
  <c r="L28" i="216" s="1"/>
  <c r="G28" i="146"/>
  <c r="M27" i="211"/>
  <c r="M63" i="211"/>
  <c r="M67" i="211"/>
  <c r="M71" i="211"/>
  <c r="M75" i="211"/>
  <c r="M79" i="211"/>
  <c r="M81" i="211"/>
  <c r="K69" i="150" s="1"/>
  <c r="M85" i="211"/>
  <c r="K37" i="150" s="1"/>
  <c r="M87" i="211"/>
  <c r="M89" i="211"/>
  <c r="M91" i="211"/>
  <c r="M93" i="211"/>
  <c r="K45" i="150" s="1"/>
  <c r="M97" i="211"/>
  <c r="M99" i="211"/>
  <c r="M103" i="211"/>
  <c r="M105" i="211"/>
  <c r="M107" i="211"/>
  <c r="M108" i="211"/>
  <c r="M109" i="211"/>
  <c r="M111" i="211"/>
  <c r="M115" i="211"/>
  <c r="K70" i="218"/>
  <c r="M119" i="211"/>
  <c r="M121" i="211"/>
  <c r="K19" i="216" s="1"/>
  <c r="M122" i="211"/>
  <c r="M123" i="211"/>
  <c r="K76" i="218"/>
  <c r="M125" i="211"/>
  <c r="K78" i="218"/>
  <c r="K61" i="218"/>
  <c r="K80" i="218"/>
  <c r="M129" i="211"/>
  <c r="M137" i="211"/>
  <c r="K61" i="153"/>
  <c r="G12" i="148"/>
  <c r="G16" i="150"/>
  <c r="G22" i="208" s="1"/>
  <c r="G12" i="150"/>
  <c r="G24" i="151"/>
  <c r="G14" i="216"/>
  <c r="L14" i="216" s="1"/>
  <c r="G27" i="147"/>
  <c r="G23" i="147"/>
  <c r="G19" i="147"/>
  <c r="J13" i="208" s="1"/>
  <c r="G15" i="147"/>
  <c r="G27" i="148"/>
  <c r="G19" i="148"/>
  <c r="J16" i="208" s="1"/>
  <c r="G27" i="149"/>
  <c r="G23" i="149"/>
  <c r="G19" i="149"/>
  <c r="G15" i="149"/>
  <c r="G17" i="150"/>
  <c r="H22" i="208" s="1"/>
  <c r="G27" i="151"/>
  <c r="G23" i="151"/>
  <c r="G19" i="151"/>
  <c r="G15" i="151"/>
  <c r="G27" i="216"/>
  <c r="L27" i="216" s="1"/>
  <c r="G23" i="216"/>
  <c r="G15" i="216"/>
  <c r="L15" i="216" s="1"/>
  <c r="G22" i="151"/>
  <c r="G26" i="151"/>
  <c r="G17" i="152"/>
  <c r="G21" i="150"/>
  <c r="G27" i="152"/>
  <c r="G23" i="152"/>
  <c r="G19" i="152"/>
  <c r="G15" i="152"/>
  <c r="G21" i="154"/>
  <c r="G17" i="154"/>
  <c r="G13" i="154"/>
  <c r="G14" i="147"/>
  <c r="G12" i="147"/>
  <c r="G26" i="152"/>
  <c r="G22" i="152"/>
  <c r="G14" i="152"/>
  <c r="G22" i="154"/>
  <c r="G14" i="154"/>
  <c r="G21" i="217"/>
  <c r="L21" i="217" s="1"/>
  <c r="G64" i="217"/>
  <c r="L64" i="217" s="1"/>
  <c r="G28" i="220"/>
  <c r="L28" i="220" s="1"/>
  <c r="M171" i="211"/>
  <c r="M173" i="211"/>
  <c r="M174" i="211"/>
  <c r="M175" i="211"/>
  <c r="M177" i="211"/>
  <c r="M179" i="211"/>
  <c r="M181" i="211"/>
  <c r="M187" i="211"/>
  <c r="M189" i="211"/>
  <c r="M191" i="211"/>
  <c r="M193" i="211"/>
  <c r="M199" i="211"/>
  <c r="M195" i="211"/>
  <c r="M197" i="211"/>
  <c r="F34" i="206"/>
  <c r="F34" i="182" s="1"/>
  <c r="K34" i="182" s="1"/>
  <c r="F48" i="206"/>
  <c r="F20" i="203"/>
  <c r="F20" i="226"/>
  <c r="F20" i="202"/>
  <c r="K20" i="202" s="1"/>
  <c r="F20" i="185"/>
  <c r="F46" i="199"/>
  <c r="K34" i="213"/>
  <c r="K60" i="213"/>
  <c r="K48" i="188" s="1"/>
  <c r="K64" i="213"/>
  <c r="K72" i="213"/>
  <c r="K60" i="188" s="1"/>
  <c r="K86" i="213"/>
  <c r="K90" i="213"/>
  <c r="K24" i="189" s="1"/>
  <c r="K96" i="213"/>
  <c r="K100" i="213"/>
  <c r="K52" i="190" s="1"/>
  <c r="K103" i="213"/>
  <c r="K55" i="190" s="1"/>
  <c r="K106" i="213"/>
  <c r="K40" i="190" s="1"/>
  <c r="K110" i="213"/>
  <c r="K116" i="213"/>
  <c r="K50" i="191" s="1"/>
  <c r="K125" i="213"/>
  <c r="K134" i="213"/>
  <c r="K144" i="213"/>
  <c r="K152" i="213"/>
  <c r="K156" i="213"/>
  <c r="K160" i="213"/>
  <c r="K163" i="213"/>
  <c r="K168" i="213"/>
  <c r="K172" i="213"/>
  <c r="K180" i="213"/>
  <c r="K187" i="213"/>
  <c r="K192" i="213"/>
  <c r="K18" i="192" s="1"/>
  <c r="K196" i="213"/>
  <c r="K201" i="213"/>
  <c r="K45" i="192" s="1"/>
  <c r="F34" i="173"/>
  <c r="F16" i="173" s="1"/>
  <c r="K16" i="173" s="1"/>
  <c r="F16" i="185"/>
  <c r="F42" i="173"/>
  <c r="F42" i="205"/>
  <c r="F24" i="185"/>
  <c r="F42" i="206"/>
  <c r="F24" i="206" s="1"/>
  <c r="F24" i="226"/>
  <c r="F16" i="226"/>
  <c r="K16" i="226" s="1"/>
  <c r="F24" i="202"/>
  <c r="F16" i="202"/>
  <c r="F12" i="188"/>
  <c r="M127" i="211"/>
  <c r="M20" i="211"/>
  <c r="M31" i="211"/>
  <c r="K37" i="147" s="1"/>
  <c r="M33" i="211"/>
  <c r="M35" i="211"/>
  <c r="K77" i="147" s="1"/>
  <c r="M37" i="211"/>
  <c r="M39" i="211"/>
  <c r="M43" i="211"/>
  <c r="M45" i="211"/>
  <c r="M47" i="211"/>
  <c r="M49" i="211"/>
  <c r="K73" i="148" s="1"/>
  <c r="M51" i="211"/>
  <c r="M52" i="211"/>
  <c r="M53" i="211"/>
  <c r="K23" i="148" s="1"/>
  <c r="M54" i="211"/>
  <c r="K78" i="148" s="1"/>
  <c r="M55" i="211"/>
  <c r="M56" i="211"/>
  <c r="K44" i="148" s="1"/>
  <c r="M57" i="211"/>
  <c r="M60" i="211"/>
  <c r="K12" i="149" s="1"/>
  <c r="M62" i="211"/>
  <c r="M64" i="211"/>
  <c r="M65" i="211"/>
  <c r="M66" i="211"/>
  <c r="M69" i="211"/>
  <c r="M70" i="211"/>
  <c r="M72" i="211"/>
  <c r="M73" i="211"/>
  <c r="M74" i="211"/>
  <c r="M78" i="211"/>
  <c r="M80" i="211"/>
  <c r="M84" i="211"/>
  <c r="M88" i="211"/>
  <c r="M90" i="211"/>
  <c r="M92" i="211"/>
  <c r="M96" i="211"/>
  <c r="M98" i="211"/>
  <c r="M100" i="211"/>
  <c r="M104" i="211"/>
  <c r="M106" i="211"/>
  <c r="M128" i="211"/>
  <c r="M132" i="211"/>
  <c r="M134" i="211"/>
  <c r="M136" i="211"/>
  <c r="K9" i="213"/>
  <c r="K51" i="185" s="1"/>
  <c r="L207" i="213"/>
  <c r="L40" i="213"/>
  <c r="K68" i="213"/>
  <c r="K38" i="188" s="1"/>
  <c r="L76" i="213"/>
  <c r="L112" i="213"/>
  <c r="K122" i="213"/>
  <c r="K20" i="191" s="1"/>
  <c r="L130" i="213"/>
  <c r="K140" i="213"/>
  <c r="L148" i="213"/>
  <c r="K176" i="213"/>
  <c r="L184" i="213"/>
  <c r="M142" i="211"/>
  <c r="M144" i="211"/>
  <c r="M146" i="211"/>
  <c r="M150" i="211"/>
  <c r="M160" i="211"/>
  <c r="M162" i="211"/>
  <c r="K21" i="213"/>
  <c r="K24" i="213"/>
  <c r="K48" i="186" s="1"/>
  <c r="K26" i="213"/>
  <c r="K30" i="213"/>
  <c r="K54" i="186" s="1"/>
  <c r="K43" i="213"/>
  <c r="K45" i="213"/>
  <c r="K47" i="213"/>
  <c r="K49" i="213"/>
  <c r="K37" i="187" s="1"/>
  <c r="K51" i="213"/>
  <c r="K53" i="213"/>
  <c r="K41" i="187" s="1"/>
  <c r="K79" i="213"/>
  <c r="K81" i="213"/>
  <c r="K33" i="189" s="1"/>
  <c r="K85" i="213"/>
  <c r="K55" i="189" s="1"/>
  <c r="K87" i="213"/>
  <c r="K39" i="189" s="1"/>
  <c r="K89" i="213"/>
  <c r="K59" i="189" s="1"/>
  <c r="K97" i="213"/>
  <c r="K13" i="190" s="1"/>
  <c r="K99" i="213"/>
  <c r="K51" i="190" s="1"/>
  <c r="K101" i="213"/>
  <c r="K105" i="213"/>
  <c r="K107" i="213"/>
  <c r="K115" i="213"/>
  <c r="K117" i="213"/>
  <c r="K33" i="191" s="1"/>
  <c r="K118" i="213"/>
  <c r="K34" i="191" s="1"/>
  <c r="K119" i="213"/>
  <c r="K35" i="191" s="1"/>
  <c r="K121" i="213"/>
  <c r="K123" i="213"/>
  <c r="K39" i="191" s="1"/>
  <c r="K128" i="213"/>
  <c r="K44" i="191" s="1"/>
  <c r="K135" i="213"/>
  <c r="K136" i="213"/>
  <c r="K137" i="213"/>
  <c r="K139" i="213"/>
  <c r="K141" i="213"/>
  <c r="K143" i="213"/>
  <c r="K197" i="213"/>
  <c r="K59" i="192" s="1"/>
  <c r="F30" i="205"/>
  <c r="F30" i="182" s="1"/>
  <c r="K30" i="182" s="1"/>
  <c r="M110" i="211"/>
  <c r="M114" i="211"/>
  <c r="M116" i="211"/>
  <c r="M120" i="211"/>
  <c r="M124" i="211"/>
  <c r="M126" i="211"/>
  <c r="M164" i="211"/>
  <c r="M168" i="211"/>
  <c r="M170" i="211"/>
  <c r="M172" i="211"/>
  <c r="M178" i="211"/>
  <c r="M180" i="211"/>
  <c r="M182" i="211"/>
  <c r="M186" i="211"/>
  <c r="M188" i="211"/>
  <c r="M192" i="211"/>
  <c r="M196" i="211"/>
  <c r="M198" i="211"/>
  <c r="M200" i="211"/>
  <c r="F48" i="205"/>
  <c r="F48" i="182" s="1"/>
  <c r="F57" i="205"/>
  <c r="F12" i="185"/>
  <c r="F38" i="205"/>
  <c r="F38" i="182" s="1"/>
  <c r="F56" i="205"/>
  <c r="F56" i="182" s="1"/>
  <c r="K55" i="213"/>
  <c r="K91" i="213"/>
  <c r="K109" i="213"/>
  <c r="K127" i="213"/>
  <c r="K61" i="191" s="1"/>
  <c r="K145" i="213"/>
  <c r="K199" i="213"/>
  <c r="M169" i="211"/>
  <c r="K93" i="213"/>
  <c r="K129" i="213"/>
  <c r="K63" i="191" s="1"/>
  <c r="K147" i="213"/>
  <c r="K153" i="213"/>
  <c r="K154" i="213"/>
  <c r="K157" i="213"/>
  <c r="K159" i="213"/>
  <c r="K161" i="213"/>
  <c r="K165" i="213"/>
  <c r="K171" i="213"/>
  <c r="K173" i="213"/>
  <c r="K175" i="213"/>
  <c r="K177" i="213"/>
  <c r="K179" i="213"/>
  <c r="K181" i="213"/>
  <c r="K183" i="213"/>
  <c r="K189" i="213"/>
  <c r="K33" i="192" s="1"/>
  <c r="K191" i="213"/>
  <c r="K193" i="213"/>
  <c r="K37" i="192" s="1"/>
  <c r="K195" i="213"/>
  <c r="F31" i="206"/>
  <c r="K31" i="206" s="1"/>
  <c r="M61" i="211"/>
  <c r="K13" i="149" s="1"/>
  <c r="F13" i="185"/>
  <c r="F31" i="205"/>
  <c r="F13" i="205" s="1"/>
  <c r="K133" i="213"/>
  <c r="K151" i="213"/>
  <c r="K169" i="213"/>
  <c r="F46" i="203"/>
  <c r="F64" i="203"/>
  <c r="F46" i="225"/>
  <c r="F64" i="225"/>
  <c r="F64" i="222" s="1"/>
  <c r="F46" i="200"/>
  <c r="F64" i="200"/>
  <c r="F64" i="199"/>
  <c r="F46" i="198"/>
  <c r="F64" i="198"/>
  <c r="F46" i="197"/>
  <c r="F64" i="197"/>
  <c r="F46" i="196"/>
  <c r="F64" i="196"/>
  <c r="F46" i="195"/>
  <c r="F64" i="195"/>
  <c r="F64" i="194"/>
  <c r="F54" i="206"/>
  <c r="F58" i="206"/>
  <c r="F62" i="206"/>
  <c r="F46" i="192"/>
  <c r="F64" i="192"/>
  <c r="F46" i="224"/>
  <c r="F46" i="191"/>
  <c r="F64" i="191"/>
  <c r="F64" i="183" s="1"/>
  <c r="F46" i="189"/>
  <c r="F64" i="189"/>
  <c r="F46" i="187"/>
  <c r="F64" i="187"/>
  <c r="F46" i="186"/>
  <c r="F64" i="186"/>
  <c r="L58" i="211"/>
  <c r="L130" i="211"/>
  <c r="F60" i="205"/>
  <c r="F60" i="182" s="1"/>
  <c r="K60" i="182" s="1"/>
  <c r="F52" i="205"/>
  <c r="M21" i="211"/>
  <c r="M25" i="211"/>
  <c r="M29" i="211"/>
  <c r="K148" i="211"/>
  <c r="K42" i="213"/>
  <c r="K12" i="187" s="1"/>
  <c r="K44" i="213"/>
  <c r="K14" i="187" s="1"/>
  <c r="K48" i="213"/>
  <c r="K18" i="187" s="1"/>
  <c r="K50" i="213"/>
  <c r="K52" i="213"/>
  <c r="K22" i="187" s="1"/>
  <c r="K54" i="213"/>
  <c r="K24" i="187" s="1"/>
  <c r="K78" i="213"/>
  <c r="K12" i="189" s="1"/>
  <c r="K80" i="213"/>
  <c r="K14" i="189" s="1"/>
  <c r="K84" i="213"/>
  <c r="K18" i="189" s="1"/>
  <c r="F54" i="173"/>
  <c r="F18" i="173" s="1"/>
  <c r="F54" i="205"/>
  <c r="F62" i="173"/>
  <c r="F62" i="205"/>
  <c r="F50" i="223"/>
  <c r="F64" i="226"/>
  <c r="F32" i="206"/>
  <c r="K32" i="206" s="1"/>
  <c r="F46" i="194"/>
  <c r="F44" i="206"/>
  <c r="L40" i="211"/>
  <c r="K18" i="168"/>
  <c r="M102" i="211"/>
  <c r="K18" i="170"/>
  <c r="M138" i="211"/>
  <c r="M140" i="211"/>
  <c r="L148" i="211"/>
  <c r="K36" i="170"/>
  <c r="M156" i="211"/>
  <c r="M158" i="211"/>
  <c r="L166" i="211"/>
  <c r="M176" i="211"/>
  <c r="L184" i="211"/>
  <c r="M194" i="211"/>
  <c r="L202" i="211"/>
  <c r="F14" i="203"/>
  <c r="F14" i="197"/>
  <c r="F14" i="196"/>
  <c r="F14" i="195"/>
  <c r="F26" i="194"/>
  <c r="F14" i="194"/>
  <c r="F46" i="226"/>
  <c r="F50" i="206"/>
  <c r="K50" i="206" s="1"/>
  <c r="L112" i="211"/>
  <c r="K17" i="213"/>
  <c r="F50" i="173"/>
  <c r="F50" i="205"/>
  <c r="F64" i="185"/>
  <c r="F40" i="206"/>
  <c r="F64" i="188"/>
  <c r="M68" i="211"/>
  <c r="L76" i="211"/>
  <c r="M86" i="211"/>
  <c r="L94" i="211"/>
  <c r="F26" i="226"/>
  <c r="K26" i="226" s="1"/>
  <c r="F14" i="226"/>
  <c r="F14" i="192"/>
  <c r="F14" i="187"/>
  <c r="F14" i="186"/>
  <c r="F26" i="185"/>
  <c r="F22" i="185"/>
  <c r="F18" i="185"/>
  <c r="F14" i="185"/>
  <c r="F44" i="205"/>
  <c r="F40" i="205"/>
  <c r="F36" i="205"/>
  <c r="F32" i="205"/>
  <c r="F46" i="202"/>
  <c r="K11" i="213"/>
  <c r="K35" i="185" s="1"/>
  <c r="M209" i="213"/>
  <c r="M211" i="213"/>
  <c r="K13" i="213"/>
  <c r="K15" i="213"/>
  <c r="K57" i="185" s="1"/>
  <c r="M213" i="213"/>
  <c r="K19" i="213"/>
  <c r="K43" i="185" s="1"/>
  <c r="M217" i="213"/>
  <c r="F58" i="173"/>
  <c r="F22" i="173" s="1"/>
  <c r="K22" i="173" s="1"/>
  <c r="F58" i="205"/>
  <c r="F50" i="180"/>
  <c r="F14" i="180" s="1"/>
  <c r="F64" i="202"/>
  <c r="F64" i="223" s="1"/>
  <c r="F36" i="206"/>
  <c r="F22" i="226"/>
  <c r="K22" i="226" s="1"/>
  <c r="F18" i="226"/>
  <c r="F14" i="224"/>
  <c r="F14" i="191"/>
  <c r="F14" i="189"/>
  <c r="F26" i="202"/>
  <c r="K26" i="202" s="1"/>
  <c r="F22" i="202"/>
  <c r="F18" i="202"/>
  <c r="F14" i="202"/>
  <c r="F14" i="225"/>
  <c r="M12" i="211"/>
  <c r="M219" i="213"/>
  <c r="F46" i="190"/>
  <c r="F64" i="190"/>
  <c r="K28" i="213"/>
  <c r="K16" i="186" s="1"/>
  <c r="K190" i="213"/>
  <c r="M6" i="211"/>
  <c r="M8" i="211"/>
  <c r="M10" i="211"/>
  <c r="M14" i="211"/>
  <c r="M16" i="211"/>
  <c r="M18" i="211"/>
  <c r="M24" i="211"/>
  <c r="M26" i="211"/>
  <c r="M28" i="211"/>
  <c r="K16" i="147" s="1"/>
  <c r="M30" i="211"/>
  <c r="M32" i="211"/>
  <c r="M34" i="211"/>
  <c r="M36" i="211"/>
  <c r="M38" i="211"/>
  <c r="K26" i="147" s="1"/>
  <c r="M42" i="211"/>
  <c r="M44" i="211"/>
  <c r="K68" i="148" s="1"/>
  <c r="M46" i="211"/>
  <c r="K34" i="148" s="1"/>
  <c r="M48" i="211"/>
  <c r="M50" i="211"/>
  <c r="M82" i="211"/>
  <c r="M154" i="211"/>
  <c r="M190" i="211"/>
  <c r="K27" i="213"/>
  <c r="K15" i="186" s="1"/>
  <c r="K29" i="213"/>
  <c r="K31" i="213"/>
  <c r="K55" i="186" s="1"/>
  <c r="K33" i="213"/>
  <c r="K35" i="213"/>
  <c r="K37" i="213"/>
  <c r="K39" i="213"/>
  <c r="K45" i="186" s="1"/>
  <c r="K63" i="213"/>
  <c r="K51" i="188" s="1"/>
  <c r="K65" i="213"/>
  <c r="K17" i="188" s="1"/>
  <c r="K67" i="213"/>
  <c r="K69" i="213"/>
  <c r="K21" i="188" s="1"/>
  <c r="K71" i="213"/>
  <c r="K73" i="213"/>
  <c r="K25" i="188" s="1"/>
  <c r="K75" i="213"/>
  <c r="F45" i="182"/>
  <c r="F37" i="182"/>
  <c r="K58" i="211"/>
  <c r="K76" i="211"/>
  <c r="K94" i="211"/>
  <c r="K112" i="211"/>
  <c r="K130" i="211"/>
  <c r="K166" i="211"/>
  <c r="K184" i="211"/>
  <c r="K202" i="211"/>
  <c r="K6" i="213"/>
  <c r="K48" i="185" s="1"/>
  <c r="K8" i="213"/>
  <c r="K12" i="213"/>
  <c r="K14" i="213"/>
  <c r="K38" i="185" s="1"/>
  <c r="K16" i="213"/>
  <c r="K18" i="213"/>
  <c r="K60" i="185" s="1"/>
  <c r="F52" i="182"/>
  <c r="K52" i="182" s="1"/>
  <c r="M118" i="211"/>
  <c r="K10" i="213"/>
  <c r="K46" i="213"/>
  <c r="K82" i="213"/>
  <c r="K52" i="189" s="1"/>
  <c r="K7" i="213"/>
  <c r="K25" i="213"/>
  <c r="K61" i="213"/>
  <c r="K13" i="188" s="1"/>
  <c r="K38" i="213"/>
  <c r="K164" i="213"/>
  <c r="K200" i="213"/>
  <c r="K22" i="211"/>
  <c r="F13" i="215"/>
  <c r="K28" i="135" s="1"/>
  <c r="F14" i="215"/>
  <c r="K28" i="136" s="1"/>
  <c r="K20" i="213"/>
  <c r="K56" i="213"/>
  <c r="K62" i="187" s="1"/>
  <c r="D12" i="215"/>
  <c r="F12" i="215" s="1"/>
  <c r="K28" i="134" s="1"/>
  <c r="F31" i="181"/>
  <c r="K31" i="181" s="1"/>
  <c r="F33" i="181"/>
  <c r="K33" i="181" s="1"/>
  <c r="F35" i="181"/>
  <c r="K35" i="181" s="1"/>
  <c r="F37" i="181"/>
  <c r="K37" i="181" s="1"/>
  <c r="F39" i="181"/>
  <c r="K39" i="181" s="1"/>
  <c r="F41" i="181"/>
  <c r="K41" i="181" s="1"/>
  <c r="F43" i="181"/>
  <c r="F45" i="181"/>
  <c r="K45" i="181" s="1"/>
  <c r="F31" i="222"/>
  <c r="F33" i="222"/>
  <c r="K33" i="222" s="1"/>
  <c r="F35" i="222"/>
  <c r="K35" i="222" s="1"/>
  <c r="F37" i="222"/>
  <c r="F39" i="222"/>
  <c r="K39" i="222" s="1"/>
  <c r="F41" i="222"/>
  <c r="F43" i="222"/>
  <c r="F45" i="222"/>
  <c r="K45" i="222" s="1"/>
  <c r="F31" i="183"/>
  <c r="K31" i="183" s="1"/>
  <c r="F33" i="183"/>
  <c r="F35" i="183"/>
  <c r="K35" i="183" s="1"/>
  <c r="F37" i="183"/>
  <c r="K37" i="183" s="1"/>
  <c r="F39" i="183"/>
  <c r="K39" i="183" s="1"/>
  <c r="F41" i="183"/>
  <c r="K41" i="183" s="1"/>
  <c r="F43" i="183"/>
  <c r="F45" i="183"/>
  <c r="K45" i="183" s="1"/>
  <c r="F31" i="178"/>
  <c r="K31" i="178" s="1"/>
  <c r="F33" i="178"/>
  <c r="F35" i="178"/>
  <c r="K35" i="178" s="1"/>
  <c r="F37" i="178"/>
  <c r="K37" i="178" s="1"/>
  <c r="F39" i="178"/>
  <c r="K39" i="178" s="1"/>
  <c r="F41" i="178"/>
  <c r="K41" i="178" s="1"/>
  <c r="F43" i="178"/>
  <c r="F45" i="178"/>
  <c r="K45" i="178" s="1"/>
  <c r="F31" i="177"/>
  <c r="K31" i="177" s="1"/>
  <c r="F33" i="177"/>
  <c r="F30" i="181"/>
  <c r="K30" i="181" s="1"/>
  <c r="F32" i="181"/>
  <c r="F34" i="181"/>
  <c r="K34" i="181" s="1"/>
  <c r="F36" i="181"/>
  <c r="F38" i="181"/>
  <c r="F40" i="181"/>
  <c r="F42" i="181"/>
  <c r="K42" i="181" s="1"/>
  <c r="F44" i="181"/>
  <c r="F30" i="222"/>
  <c r="K30" i="222" s="1"/>
  <c r="F32" i="222"/>
  <c r="K32" i="222" s="1"/>
  <c r="F34" i="222"/>
  <c r="F36" i="222"/>
  <c r="F38" i="222"/>
  <c r="F40" i="222"/>
  <c r="F42" i="222"/>
  <c r="F35" i="177"/>
  <c r="F37" i="177"/>
  <c r="F39" i="177"/>
  <c r="F41" i="177"/>
  <c r="K41" i="177" s="1"/>
  <c r="F43" i="177"/>
  <c r="F45" i="177"/>
  <c r="F44" i="222"/>
  <c r="F30" i="183"/>
  <c r="K30" i="183" s="1"/>
  <c r="F32" i="183"/>
  <c r="F34" i="183"/>
  <c r="K34" i="183" s="1"/>
  <c r="F36" i="183"/>
  <c r="F38" i="183"/>
  <c r="F40" i="183"/>
  <c r="F42" i="183"/>
  <c r="F44" i="183"/>
  <c r="K44" i="183" s="1"/>
  <c r="F30" i="178"/>
  <c r="K30" i="178" s="1"/>
  <c r="F32" i="178"/>
  <c r="K32" i="178" s="1"/>
  <c r="F34" i="178"/>
  <c r="K34" i="178" s="1"/>
  <c r="F36" i="178"/>
  <c r="F38" i="178"/>
  <c r="F40" i="178"/>
  <c r="F42" i="178"/>
  <c r="K42" i="178" s="1"/>
  <c r="F44" i="178"/>
  <c r="K44" i="178" s="1"/>
  <c r="K40" i="211"/>
  <c r="L94" i="213"/>
  <c r="L58" i="213"/>
  <c r="L22" i="213"/>
  <c r="F48" i="181"/>
  <c r="K48" i="181" s="1"/>
  <c r="F50" i="181"/>
  <c r="F52" i="181"/>
  <c r="K52" i="181" s="1"/>
  <c r="F54" i="181"/>
  <c r="F56" i="181"/>
  <c r="F58" i="181"/>
  <c r="F60" i="181"/>
  <c r="K60" i="181" s="1"/>
  <c r="F62" i="181"/>
  <c r="F48" i="222"/>
  <c r="K48" i="222" s="1"/>
  <c r="F50" i="222"/>
  <c r="F52" i="222"/>
  <c r="F54" i="222"/>
  <c r="F56" i="222"/>
  <c r="F58" i="222"/>
  <c r="F60" i="222"/>
  <c r="F62" i="222"/>
  <c r="F48" i="183"/>
  <c r="K48" i="183" s="1"/>
  <c r="F50" i="183"/>
  <c r="F52" i="183"/>
  <c r="K52" i="183" s="1"/>
  <c r="F54" i="183"/>
  <c r="F56" i="183"/>
  <c r="F58" i="183"/>
  <c r="F60" i="183"/>
  <c r="F62" i="183"/>
  <c r="F48" i="178"/>
  <c r="K48" i="178" s="1"/>
  <c r="F50" i="178"/>
  <c r="F52" i="178"/>
  <c r="K52" i="178" s="1"/>
  <c r="F54" i="178"/>
  <c r="F56" i="178"/>
  <c r="F58" i="178"/>
  <c r="K58" i="178" s="1"/>
  <c r="F60" i="178"/>
  <c r="K60" i="178" s="1"/>
  <c r="F62" i="178"/>
  <c r="F30" i="177"/>
  <c r="K30" i="177" s="1"/>
  <c r="F32" i="177"/>
  <c r="F34" i="177"/>
  <c r="F36" i="177"/>
  <c r="F38" i="177"/>
  <c r="F40" i="177"/>
  <c r="K40" i="177" s="1"/>
  <c r="F42" i="177"/>
  <c r="F44" i="177"/>
  <c r="K44" i="177" s="1"/>
  <c r="F48" i="177"/>
  <c r="K48" i="177" s="1"/>
  <c r="F50" i="177"/>
  <c r="F52" i="177"/>
  <c r="F54" i="177"/>
  <c r="F56" i="177"/>
  <c r="F58" i="177"/>
  <c r="K58" i="177" s="1"/>
  <c r="F60" i="177"/>
  <c r="F62" i="177"/>
  <c r="K62" i="177" s="1"/>
  <c r="F30" i="176"/>
  <c r="F32" i="176"/>
  <c r="F34" i="176"/>
  <c r="K34" i="176" s="1"/>
  <c r="F36" i="176"/>
  <c r="K36" i="176" s="1"/>
  <c r="F38" i="176"/>
  <c r="K38" i="176" s="1"/>
  <c r="F40" i="176"/>
  <c r="K40" i="176" s="1"/>
  <c r="F42" i="176"/>
  <c r="K42" i="176" s="1"/>
  <c r="F44" i="176"/>
  <c r="K44" i="176" s="1"/>
  <c r="F48" i="176"/>
  <c r="F50" i="176"/>
  <c r="F52" i="176"/>
  <c r="K52" i="176" s="1"/>
  <c r="F54" i="176"/>
  <c r="K54" i="176" s="1"/>
  <c r="F56" i="176"/>
  <c r="K56" i="176" s="1"/>
  <c r="F58" i="176"/>
  <c r="K58" i="176" s="1"/>
  <c r="F60" i="176"/>
  <c r="K60" i="176" s="1"/>
  <c r="F62" i="176"/>
  <c r="K62" i="176" s="1"/>
  <c r="F30" i="175"/>
  <c r="K30" i="175" s="1"/>
  <c r="F32" i="175"/>
  <c r="F34" i="175"/>
  <c r="F36" i="175"/>
  <c r="F38" i="175"/>
  <c r="F40" i="175"/>
  <c r="K40" i="175" s="1"/>
  <c r="F42" i="175"/>
  <c r="F44" i="175"/>
  <c r="F48" i="175"/>
  <c r="K48" i="175" s="1"/>
  <c r="F50" i="175"/>
  <c r="F52" i="175"/>
  <c r="F54" i="175"/>
  <c r="F56" i="175"/>
  <c r="F58" i="175"/>
  <c r="K58" i="175" s="1"/>
  <c r="F60" i="175"/>
  <c r="F62" i="175"/>
  <c r="F30" i="174"/>
  <c r="K30" i="174" s="1"/>
  <c r="F32" i="174"/>
  <c r="K32" i="174" s="1"/>
  <c r="F34" i="174"/>
  <c r="F36" i="174"/>
  <c r="F38" i="174"/>
  <c r="F40" i="174"/>
  <c r="F42" i="174"/>
  <c r="F44" i="174"/>
  <c r="F48" i="174"/>
  <c r="K48" i="174" s="1"/>
  <c r="F50" i="174"/>
  <c r="K50" i="174" s="1"/>
  <c r="F52" i="174"/>
  <c r="F54" i="174"/>
  <c r="F56" i="174"/>
  <c r="F58" i="174"/>
  <c r="F60" i="174"/>
  <c r="F62" i="174"/>
  <c r="F49" i="181"/>
  <c r="F51" i="181"/>
  <c r="K51" i="181" s="1"/>
  <c r="F53" i="181"/>
  <c r="F55" i="181"/>
  <c r="K55" i="181" s="1"/>
  <c r="F57" i="181"/>
  <c r="F59" i="181"/>
  <c r="K59" i="181" s="1"/>
  <c r="F61" i="181"/>
  <c r="F63" i="181"/>
  <c r="K63" i="181" s="1"/>
  <c r="F49" i="222"/>
  <c r="F51" i="222"/>
  <c r="K51" i="222" s="1"/>
  <c r="F53" i="222"/>
  <c r="F55" i="222"/>
  <c r="F57" i="222"/>
  <c r="F59" i="222"/>
  <c r="F61" i="222"/>
  <c r="F63" i="222"/>
  <c r="F49" i="183"/>
  <c r="K49" i="183" s="1"/>
  <c r="F51" i="183"/>
  <c r="K51" i="183" s="1"/>
  <c r="F53" i="183"/>
  <c r="F55" i="183"/>
  <c r="F57" i="183"/>
  <c r="F59" i="183"/>
  <c r="K59" i="183" s="1"/>
  <c r="F61" i="183"/>
  <c r="F63" i="183"/>
  <c r="K63" i="183" s="1"/>
  <c r="F49" i="178"/>
  <c r="F51" i="178"/>
  <c r="K51" i="178" s="1"/>
  <c r="F53" i="178"/>
  <c r="F55" i="178"/>
  <c r="K55" i="178" s="1"/>
  <c r="F57" i="178"/>
  <c r="F59" i="178"/>
  <c r="K59" i="178" s="1"/>
  <c r="F61" i="178"/>
  <c r="F63" i="178"/>
  <c r="K63" i="178" s="1"/>
  <c r="F49" i="177"/>
  <c r="F51" i="177"/>
  <c r="F53" i="177"/>
  <c r="F17" i="177" s="1"/>
  <c r="F55" i="177"/>
  <c r="F57" i="177"/>
  <c r="F59" i="177"/>
  <c r="K59" i="177" s="1"/>
  <c r="F61" i="177"/>
  <c r="F25" i="177" s="1"/>
  <c r="F63" i="177"/>
  <c r="F31" i="176"/>
  <c r="F33" i="176"/>
  <c r="K33" i="176" s="1"/>
  <c r="F35" i="176"/>
  <c r="F37" i="176"/>
  <c r="K37" i="176" s="1"/>
  <c r="F39" i="176"/>
  <c r="K39" i="176" s="1"/>
  <c r="F41" i="176"/>
  <c r="K41" i="176" s="1"/>
  <c r="F43" i="176"/>
  <c r="F45" i="176"/>
  <c r="K45" i="176" s="1"/>
  <c r="F49" i="176"/>
  <c r="F51" i="176"/>
  <c r="K51" i="176" s="1"/>
  <c r="F53" i="176"/>
  <c r="F55" i="176"/>
  <c r="K55" i="176" s="1"/>
  <c r="F57" i="176"/>
  <c r="K57" i="176" s="1"/>
  <c r="F59" i="176"/>
  <c r="K59" i="176" s="1"/>
  <c r="F61" i="176"/>
  <c r="F63" i="176"/>
  <c r="K63" i="176" s="1"/>
  <c r="F31" i="175"/>
  <c r="K31" i="175" s="1"/>
  <c r="F33" i="175"/>
  <c r="F35" i="175"/>
  <c r="F37" i="175"/>
  <c r="F39" i="175"/>
  <c r="K39" i="175" s="1"/>
  <c r="F41" i="175"/>
  <c r="F43" i="175"/>
  <c r="F45" i="175"/>
  <c r="F49" i="175"/>
  <c r="K49" i="175" s="1"/>
  <c r="F51" i="175"/>
  <c r="F53" i="175"/>
  <c r="F55" i="175"/>
  <c r="F57" i="175"/>
  <c r="K57" i="175" s="1"/>
  <c r="F59" i="175"/>
  <c r="F61" i="175"/>
  <c r="F63" i="175"/>
  <c r="F31" i="174"/>
  <c r="K31" i="174" s="1"/>
  <c r="F33" i="174"/>
  <c r="K33" i="174" s="1"/>
  <c r="F35" i="174"/>
  <c r="K35" i="174" s="1"/>
  <c r="F37" i="174"/>
  <c r="F39" i="174"/>
  <c r="F41" i="174"/>
  <c r="F43" i="174"/>
  <c r="F45" i="174"/>
  <c r="F49" i="174"/>
  <c r="K49" i="174" s="1"/>
  <c r="F51" i="174"/>
  <c r="K51" i="174" s="1"/>
  <c r="F53" i="174"/>
  <c r="K53" i="174" s="1"/>
  <c r="F55" i="174"/>
  <c r="F57" i="174"/>
  <c r="F59" i="174"/>
  <c r="F61" i="174"/>
  <c r="F63" i="174"/>
  <c r="K54" i="163"/>
  <c r="K18" i="163"/>
  <c r="K18" i="165"/>
  <c r="K18" i="167"/>
  <c r="K72" i="163"/>
  <c r="K36" i="163"/>
  <c r="K79" i="163"/>
  <c r="K43" i="163"/>
  <c r="K61" i="163"/>
  <c r="K25" i="163"/>
  <c r="K66" i="164"/>
  <c r="K30" i="164"/>
  <c r="K48" i="164"/>
  <c r="K12" i="164"/>
  <c r="K70" i="164"/>
  <c r="K34" i="164"/>
  <c r="K52" i="164"/>
  <c r="K16" i="164"/>
  <c r="K72" i="164"/>
  <c r="K36" i="164"/>
  <c r="K36" i="165"/>
  <c r="K36" i="167"/>
  <c r="K54" i="164"/>
  <c r="K18" i="164"/>
  <c r="K55" i="164"/>
  <c r="K19" i="164"/>
  <c r="K73" i="164"/>
  <c r="K37" i="164"/>
  <c r="K74" i="164"/>
  <c r="K38" i="164"/>
  <c r="K56" i="164"/>
  <c r="K20" i="164"/>
  <c r="K57" i="164"/>
  <c r="K21" i="164"/>
  <c r="K75" i="164"/>
  <c r="K39" i="164"/>
  <c r="K76" i="164"/>
  <c r="K40" i="164"/>
  <c r="K58" i="164"/>
  <c r="K22" i="164"/>
  <c r="K59" i="164"/>
  <c r="K23" i="164"/>
  <c r="K77" i="164"/>
  <c r="K41" i="164"/>
  <c r="K78" i="164"/>
  <c r="K42" i="164"/>
  <c r="K60" i="164"/>
  <c r="K24" i="164"/>
  <c r="K61" i="164"/>
  <c r="K25" i="164"/>
  <c r="K79" i="164"/>
  <c r="K43" i="164"/>
  <c r="K80" i="164"/>
  <c r="K44" i="164"/>
  <c r="K62" i="164"/>
  <c r="K26" i="164"/>
  <c r="K63" i="164"/>
  <c r="K27" i="164"/>
  <c r="K81" i="164"/>
  <c r="K45" i="164"/>
  <c r="K68" i="165"/>
  <c r="K32" i="165"/>
  <c r="K50" i="165"/>
  <c r="K14" i="165"/>
  <c r="K51" i="165"/>
  <c r="K15" i="165"/>
  <c r="K69" i="165"/>
  <c r="K33" i="165"/>
  <c r="K70" i="165"/>
  <c r="K34" i="165"/>
  <c r="K52" i="165"/>
  <c r="K16" i="165"/>
  <c r="K53" i="165"/>
  <c r="K17" i="165"/>
  <c r="K71" i="165"/>
  <c r="K35" i="165"/>
  <c r="K54" i="165"/>
  <c r="K54" i="167"/>
  <c r="K55" i="165"/>
  <c r="K19" i="165"/>
  <c r="K73" i="165"/>
  <c r="K37" i="165"/>
  <c r="K59" i="165"/>
  <c r="K23" i="165"/>
  <c r="K77" i="165"/>
  <c r="K41" i="165"/>
  <c r="K78" i="165"/>
  <c r="K42" i="165"/>
  <c r="K60" i="165"/>
  <c r="K24" i="165"/>
  <c r="K61" i="165"/>
  <c r="K25" i="165"/>
  <c r="K79" i="165"/>
  <c r="K43" i="165"/>
  <c r="K80" i="165"/>
  <c r="K44" i="165"/>
  <c r="K62" i="165"/>
  <c r="K26" i="165"/>
  <c r="K63" i="165"/>
  <c r="K27" i="165"/>
  <c r="K81" i="165"/>
  <c r="K45" i="165"/>
  <c r="K66" i="166"/>
  <c r="K30" i="166"/>
  <c r="K48" i="166"/>
  <c r="K12" i="166"/>
  <c r="K68" i="166"/>
  <c r="K32" i="166"/>
  <c r="K50" i="166"/>
  <c r="K14" i="166"/>
  <c r="K53" i="166"/>
  <c r="K17" i="166"/>
  <c r="K71" i="166"/>
  <c r="K35" i="166"/>
  <c r="K72" i="165"/>
  <c r="K72" i="166"/>
  <c r="K36" i="166"/>
  <c r="K72" i="167"/>
  <c r="K54" i="166"/>
  <c r="K18" i="166"/>
  <c r="K61" i="166"/>
  <c r="K25" i="166"/>
  <c r="K79" i="166"/>
  <c r="K43" i="166"/>
  <c r="K68" i="167"/>
  <c r="K32" i="167"/>
  <c r="K50" i="167"/>
  <c r="K14" i="167"/>
  <c r="K51" i="167"/>
  <c r="K15" i="167"/>
  <c r="K69" i="167"/>
  <c r="K33" i="167"/>
  <c r="K70" i="167"/>
  <c r="K34" i="167"/>
  <c r="K52" i="167"/>
  <c r="K16" i="167"/>
  <c r="K53" i="167"/>
  <c r="K17" i="167"/>
  <c r="K71" i="167"/>
  <c r="K35" i="167"/>
  <c r="K55" i="167"/>
  <c r="K19" i="167"/>
  <c r="K73" i="167"/>
  <c r="K37" i="167"/>
  <c r="K78" i="167"/>
  <c r="K42" i="167"/>
  <c r="K60" i="167"/>
  <c r="K24" i="167"/>
  <c r="K61" i="167"/>
  <c r="K25" i="167"/>
  <c r="K79" i="167"/>
  <c r="K43" i="167"/>
  <c r="K63" i="167"/>
  <c r="K27" i="167"/>
  <c r="K81" i="167"/>
  <c r="K45" i="167"/>
  <c r="K70" i="219"/>
  <c r="K52" i="219"/>
  <c r="K34" i="219"/>
  <c r="K16" i="219"/>
  <c r="K73" i="219"/>
  <c r="K55" i="219"/>
  <c r="K37" i="219"/>
  <c r="K19" i="219"/>
  <c r="K75" i="219"/>
  <c r="K57" i="219"/>
  <c r="K39" i="219"/>
  <c r="K21" i="219"/>
  <c r="K76" i="219"/>
  <c r="K58" i="219"/>
  <c r="K40" i="219"/>
  <c r="K22" i="219"/>
  <c r="K77" i="219"/>
  <c r="K59" i="219"/>
  <c r="K41" i="219"/>
  <c r="K23" i="219"/>
  <c r="K60" i="169"/>
  <c r="K24" i="169"/>
  <c r="K78" i="169"/>
  <c r="K42" i="169"/>
  <c r="K78" i="219"/>
  <c r="K60" i="219"/>
  <c r="K42" i="219"/>
  <c r="K24" i="219"/>
  <c r="K80" i="219"/>
  <c r="K62" i="219"/>
  <c r="K44" i="219"/>
  <c r="K26" i="219"/>
  <c r="K18" i="171"/>
  <c r="K54" i="170"/>
  <c r="K48" i="182"/>
  <c r="K58" i="192"/>
  <c r="K56" i="192"/>
  <c r="K20" i="192"/>
  <c r="K38" i="192"/>
  <c r="K36" i="192"/>
  <c r="K50" i="192"/>
  <c r="K32" i="192"/>
  <c r="K42" i="224"/>
  <c r="K40" i="224"/>
  <c r="K20" i="224"/>
  <c r="K54" i="191"/>
  <c r="K18" i="191"/>
  <c r="K36" i="224"/>
  <c r="K36" i="191"/>
  <c r="K54" i="224"/>
  <c r="K18" i="224"/>
  <c r="K50" i="224"/>
  <c r="K48" i="191"/>
  <c r="K27" i="190"/>
  <c r="K19" i="190"/>
  <c r="K49" i="190"/>
  <c r="K26" i="189"/>
  <c r="K60" i="189"/>
  <c r="K40" i="189"/>
  <c r="K38" i="189"/>
  <c r="K23" i="188"/>
  <c r="K20" i="187"/>
  <c r="K58" i="185"/>
  <c r="K30" i="185"/>
  <c r="K48" i="173"/>
  <c r="K30" i="173"/>
  <c r="K12" i="173"/>
  <c r="K31" i="173"/>
  <c r="K32" i="173"/>
  <c r="K51" i="173"/>
  <c r="K33" i="173"/>
  <c r="K15" i="173"/>
  <c r="K52" i="173"/>
  <c r="K53" i="173"/>
  <c r="K55" i="173"/>
  <c r="K37" i="173"/>
  <c r="K19" i="173"/>
  <c r="K57" i="173"/>
  <c r="K39" i="173"/>
  <c r="K21" i="173"/>
  <c r="K40" i="173"/>
  <c r="K60" i="173"/>
  <c r="K44" i="173"/>
  <c r="K63" i="173"/>
  <c r="K45" i="173"/>
  <c r="K27" i="173"/>
  <c r="K52" i="174"/>
  <c r="K34" i="174"/>
  <c r="K16" i="174"/>
  <c r="K55" i="174"/>
  <c r="K37" i="174"/>
  <c r="K19" i="174"/>
  <c r="K56" i="174"/>
  <c r="K38" i="174"/>
  <c r="K20" i="174"/>
  <c r="K57" i="174"/>
  <c r="K39" i="174"/>
  <c r="K21" i="174"/>
  <c r="K58" i="174"/>
  <c r="K40" i="174"/>
  <c r="K22" i="174"/>
  <c r="K59" i="174"/>
  <c r="K41" i="174"/>
  <c r="K23" i="174"/>
  <c r="K60" i="174"/>
  <c r="K42" i="174"/>
  <c r="K24" i="174"/>
  <c r="K61" i="174"/>
  <c r="K43" i="174"/>
  <c r="K25" i="174"/>
  <c r="K62" i="174"/>
  <c r="K44" i="174"/>
  <c r="K26" i="174"/>
  <c r="K63" i="174"/>
  <c r="K45" i="174"/>
  <c r="K27" i="174"/>
  <c r="K32" i="175"/>
  <c r="K14" i="175"/>
  <c r="K15" i="175"/>
  <c r="K51" i="175"/>
  <c r="K33" i="175"/>
  <c r="K52" i="175"/>
  <c r="K34" i="175"/>
  <c r="K16" i="175"/>
  <c r="K17" i="175"/>
  <c r="K53" i="175"/>
  <c r="K35" i="175"/>
  <c r="K55" i="175"/>
  <c r="K37" i="175"/>
  <c r="K19" i="175"/>
  <c r="K23" i="175"/>
  <c r="K59" i="175"/>
  <c r="K41" i="175"/>
  <c r="K60" i="175"/>
  <c r="K42" i="175"/>
  <c r="K24" i="175"/>
  <c r="K25" i="175"/>
  <c r="K61" i="175"/>
  <c r="K43" i="175"/>
  <c r="K62" i="175"/>
  <c r="K44" i="175"/>
  <c r="K26" i="175"/>
  <c r="K27" i="175"/>
  <c r="K63" i="175"/>
  <c r="K45" i="175"/>
  <c r="K48" i="176"/>
  <c r="K30" i="176"/>
  <c r="K12" i="176"/>
  <c r="K49" i="176"/>
  <c r="K31" i="176"/>
  <c r="K13" i="176"/>
  <c r="K50" i="176"/>
  <c r="K32" i="176"/>
  <c r="K14" i="176"/>
  <c r="K53" i="176"/>
  <c r="K35" i="176"/>
  <c r="K17" i="176"/>
  <c r="K50" i="177"/>
  <c r="K14" i="177"/>
  <c r="K32" i="177"/>
  <c r="K33" i="177"/>
  <c r="K51" i="177"/>
  <c r="K15" i="177"/>
  <c r="K52" i="177"/>
  <c r="K16" i="177"/>
  <c r="K34" i="177"/>
  <c r="K35" i="177"/>
  <c r="K53" i="177"/>
  <c r="K17" i="177"/>
  <c r="K55" i="177"/>
  <c r="K19" i="177"/>
  <c r="K37" i="177"/>
  <c r="K39" i="177"/>
  <c r="K60" i="177"/>
  <c r="K24" i="177"/>
  <c r="K42" i="177"/>
  <c r="K43" i="177"/>
  <c r="K61" i="177"/>
  <c r="K25" i="177"/>
  <c r="K45" i="177"/>
  <c r="K63" i="177"/>
  <c r="K27" i="177"/>
  <c r="K33" i="178"/>
  <c r="K40" i="178"/>
  <c r="K31" i="222"/>
  <c r="K49" i="222"/>
  <c r="K13" i="222"/>
  <c r="K50" i="183"/>
  <c r="K32" i="183"/>
  <c r="K33" i="183"/>
  <c r="K52" i="222"/>
  <c r="K16" i="222"/>
  <c r="K34" i="222"/>
  <c r="K37" i="222"/>
  <c r="K55" i="183"/>
  <c r="K55" i="222"/>
  <c r="K19" i="222"/>
  <c r="K58" i="222"/>
  <c r="K22" i="222"/>
  <c r="K40" i="183"/>
  <c r="K40" i="222"/>
  <c r="K41" i="222"/>
  <c r="K59" i="222"/>
  <c r="K23" i="222"/>
  <c r="K60" i="183"/>
  <c r="K60" i="222"/>
  <c r="K24" i="222"/>
  <c r="K42" i="183"/>
  <c r="K24" i="183"/>
  <c r="K42" i="222"/>
  <c r="K62" i="222"/>
  <c r="K26" i="222"/>
  <c r="K44" i="222"/>
  <c r="K63" i="222"/>
  <c r="K48" i="180"/>
  <c r="K30" i="180"/>
  <c r="K12" i="180"/>
  <c r="K30" i="223"/>
  <c r="K48" i="223"/>
  <c r="K12" i="223"/>
  <c r="K49" i="223"/>
  <c r="K13" i="223"/>
  <c r="K49" i="180"/>
  <c r="K31" i="180"/>
  <c r="K13" i="180"/>
  <c r="K31" i="223"/>
  <c r="K32" i="180"/>
  <c r="K32" i="223"/>
  <c r="K51" i="223"/>
  <c r="K15" i="223"/>
  <c r="K51" i="180"/>
  <c r="K33" i="180"/>
  <c r="K15" i="180"/>
  <c r="K33" i="223"/>
  <c r="K52" i="180"/>
  <c r="K34" i="180"/>
  <c r="K16" i="180"/>
  <c r="K34" i="223"/>
  <c r="K52" i="223"/>
  <c r="K16" i="223"/>
  <c r="K53" i="223"/>
  <c r="K17" i="223"/>
  <c r="K53" i="180"/>
  <c r="K35" i="180"/>
  <c r="K17" i="180"/>
  <c r="K35" i="223"/>
  <c r="K36" i="223"/>
  <c r="K54" i="223"/>
  <c r="K18" i="223"/>
  <c r="K55" i="180"/>
  <c r="K37" i="180"/>
  <c r="K19" i="180"/>
  <c r="K55" i="223"/>
  <c r="K19" i="223"/>
  <c r="K37" i="223"/>
  <c r="K38" i="223"/>
  <c r="K56" i="223"/>
  <c r="K20" i="223"/>
  <c r="K57" i="223"/>
  <c r="K21" i="223"/>
  <c r="K57" i="180"/>
  <c r="K39" i="180"/>
  <c r="K21" i="180"/>
  <c r="K39" i="223"/>
  <c r="K58" i="180"/>
  <c r="K40" i="180"/>
  <c r="K22" i="180"/>
  <c r="K40" i="223"/>
  <c r="K58" i="223"/>
  <c r="K22" i="223"/>
  <c r="K59" i="223"/>
  <c r="K23" i="223"/>
  <c r="K59" i="180"/>
  <c r="K41" i="180"/>
  <c r="K23" i="180"/>
  <c r="K41" i="223"/>
  <c r="K60" i="180"/>
  <c r="K42" i="180"/>
  <c r="K24" i="180"/>
  <c r="K42" i="223"/>
  <c r="K60" i="223"/>
  <c r="K24" i="223"/>
  <c r="K61" i="223"/>
  <c r="K25" i="223"/>
  <c r="K43" i="223"/>
  <c r="K44" i="223"/>
  <c r="K62" i="180"/>
  <c r="K44" i="180"/>
  <c r="K26" i="180"/>
  <c r="K62" i="223"/>
  <c r="K26" i="223"/>
  <c r="K63" i="180"/>
  <c r="K45" i="180"/>
  <c r="K27" i="180"/>
  <c r="K63" i="223"/>
  <c r="K27" i="223"/>
  <c r="K45" i="223"/>
  <c r="K32" i="181"/>
  <c r="K40" i="181"/>
  <c r="K44" i="181"/>
  <c r="K37" i="216"/>
  <c r="K73" i="216"/>
  <c r="K19" i="150"/>
  <c r="K27" i="150"/>
  <c r="K55" i="150"/>
  <c r="K26" i="148"/>
  <c r="K59" i="148"/>
  <c r="K23" i="147"/>
  <c r="K59" i="147"/>
  <c r="K75" i="147"/>
  <c r="K19" i="218"/>
  <c r="K23" i="218"/>
  <c r="K25" i="218"/>
  <c r="K34" i="218"/>
  <c r="K40" i="218"/>
  <c r="K42" i="218"/>
  <c r="K44" i="218"/>
  <c r="K55" i="218"/>
  <c r="K59" i="218"/>
  <c r="M58" i="211"/>
  <c r="L22" i="211"/>
  <c r="M19" i="211"/>
  <c r="M17" i="211"/>
  <c r="M15" i="211"/>
  <c r="M13" i="211"/>
  <c r="M11" i="211"/>
  <c r="M9" i="211"/>
  <c r="M7" i="211"/>
  <c r="K52" i="156"/>
  <c r="K16" i="156"/>
  <c r="K70" i="156"/>
  <c r="K34" i="156"/>
  <c r="K73" i="156"/>
  <c r="K37" i="156"/>
  <c r="K55" i="156"/>
  <c r="K19" i="156"/>
  <c r="K56" i="156"/>
  <c r="K20" i="156"/>
  <c r="K74" i="156"/>
  <c r="K38" i="156"/>
  <c r="K75" i="156"/>
  <c r="K39" i="156"/>
  <c r="K57" i="156"/>
  <c r="K21" i="156"/>
  <c r="K58" i="156"/>
  <c r="K22" i="156"/>
  <c r="K76" i="156"/>
  <c r="K40" i="156"/>
  <c r="K77" i="156"/>
  <c r="K41" i="156"/>
  <c r="K59" i="156"/>
  <c r="K23" i="156"/>
  <c r="K60" i="156"/>
  <c r="K24" i="156"/>
  <c r="K78" i="156"/>
  <c r="K42" i="156"/>
  <c r="K79" i="156"/>
  <c r="K43" i="156"/>
  <c r="K61" i="156"/>
  <c r="K25" i="156"/>
  <c r="K62" i="156"/>
  <c r="K26" i="156"/>
  <c r="K80" i="156"/>
  <c r="K44" i="156"/>
  <c r="K81" i="156"/>
  <c r="K45" i="156"/>
  <c r="K63" i="156"/>
  <c r="K27" i="156"/>
  <c r="K50" i="157"/>
  <c r="K14" i="157"/>
  <c r="K68" i="157"/>
  <c r="K32" i="157"/>
  <c r="K69" i="157"/>
  <c r="K33" i="157"/>
  <c r="K51" i="157"/>
  <c r="K15" i="157"/>
  <c r="K52" i="157"/>
  <c r="K16" i="157"/>
  <c r="K70" i="157"/>
  <c r="K34" i="157"/>
  <c r="K71" i="157"/>
  <c r="K35" i="157"/>
  <c r="K53" i="157"/>
  <c r="K17" i="157"/>
  <c r="K73" i="157"/>
  <c r="K37" i="157"/>
  <c r="K55" i="157"/>
  <c r="K19" i="157"/>
  <c r="K58" i="157"/>
  <c r="K22" i="157"/>
  <c r="K76" i="157"/>
  <c r="K40" i="157"/>
  <c r="K77" i="157"/>
  <c r="K41" i="157"/>
  <c r="K59" i="157"/>
  <c r="K23" i="157"/>
  <c r="K60" i="157"/>
  <c r="K24" i="157"/>
  <c r="K78" i="157"/>
  <c r="K42" i="157"/>
  <c r="K79" i="157"/>
  <c r="K43" i="157"/>
  <c r="K61" i="157"/>
  <c r="K25" i="157"/>
  <c r="K62" i="157"/>
  <c r="K26" i="157"/>
  <c r="K80" i="157"/>
  <c r="K44" i="157"/>
  <c r="K81" i="157"/>
  <c r="K45" i="157"/>
  <c r="K63" i="157"/>
  <c r="K27" i="157"/>
  <c r="K48" i="158"/>
  <c r="K12" i="158"/>
  <c r="K66" i="158"/>
  <c r="K30" i="158"/>
  <c r="K50" i="158"/>
  <c r="K14" i="158"/>
  <c r="K68" i="158"/>
  <c r="K32" i="158"/>
  <c r="K71" i="158"/>
  <c r="K35" i="158"/>
  <c r="K53" i="158"/>
  <c r="K17" i="158"/>
  <c r="K77" i="158"/>
  <c r="K41" i="158"/>
  <c r="K59" i="158"/>
  <c r="K23" i="158"/>
  <c r="K50" i="159"/>
  <c r="K14" i="159"/>
  <c r="K68" i="159"/>
  <c r="K32" i="159"/>
  <c r="K69" i="159"/>
  <c r="K33" i="159"/>
  <c r="K51" i="159"/>
  <c r="K15" i="159"/>
  <c r="K52" i="159"/>
  <c r="K16" i="159"/>
  <c r="K70" i="159"/>
  <c r="K34" i="159"/>
  <c r="K71" i="159"/>
  <c r="K35" i="159"/>
  <c r="K53" i="159"/>
  <c r="K17" i="159"/>
  <c r="K73" i="159"/>
  <c r="K37" i="159"/>
  <c r="K55" i="159"/>
  <c r="K19" i="159"/>
  <c r="K58" i="159"/>
  <c r="K22" i="159"/>
  <c r="K76" i="159"/>
  <c r="K40" i="159"/>
  <c r="K77" i="159"/>
  <c r="K41" i="159"/>
  <c r="K59" i="159"/>
  <c r="K23" i="159"/>
  <c r="K60" i="159"/>
  <c r="K24" i="159"/>
  <c r="K78" i="159"/>
  <c r="K42" i="159"/>
  <c r="K79" i="159"/>
  <c r="K43" i="159"/>
  <c r="K61" i="159"/>
  <c r="K25" i="159"/>
  <c r="K81" i="159"/>
  <c r="K45" i="159"/>
  <c r="K63" i="159"/>
  <c r="K27" i="159"/>
  <c r="K60" i="161"/>
  <c r="K78" i="161"/>
  <c r="K42" i="161"/>
  <c r="K63" i="206"/>
  <c r="K45" i="206"/>
  <c r="K44" i="206"/>
  <c r="K61" i="206"/>
  <c r="K43" i="206"/>
  <c r="K42" i="206"/>
  <c r="K60" i="206"/>
  <c r="K59" i="206"/>
  <c r="K40" i="206"/>
  <c r="K39" i="206"/>
  <c r="K38" i="206"/>
  <c r="K56" i="206"/>
  <c r="K37" i="206"/>
  <c r="K53" i="206"/>
  <c r="K34" i="206"/>
  <c r="K52" i="206"/>
  <c r="K51" i="206"/>
  <c r="K49" i="206"/>
  <c r="K48" i="206"/>
  <c r="K63" i="192"/>
  <c r="K43" i="192"/>
  <c r="K23" i="192"/>
  <c r="K55" i="192"/>
  <c r="K51" i="192"/>
  <c r="K49" i="192"/>
  <c r="K43" i="191"/>
  <c r="K25" i="191"/>
  <c r="K59" i="191"/>
  <c r="K57" i="224"/>
  <c r="K57" i="191"/>
  <c r="K39" i="224"/>
  <c r="K53" i="224"/>
  <c r="K53" i="191"/>
  <c r="K35" i="224"/>
  <c r="K51" i="224"/>
  <c r="K51" i="191"/>
  <c r="K33" i="224"/>
  <c r="K49" i="191"/>
  <c r="K64" i="199"/>
  <c r="K44" i="190"/>
  <c r="K62" i="190"/>
  <c r="K26" i="190"/>
  <c r="K42" i="190"/>
  <c r="K24" i="190"/>
  <c r="K58" i="190"/>
  <c r="K38" i="190"/>
  <c r="K56" i="190"/>
  <c r="K20" i="190"/>
  <c r="K36" i="190"/>
  <c r="K18" i="190"/>
  <c r="K34" i="190"/>
  <c r="K16" i="190"/>
  <c r="K50" i="190"/>
  <c r="K30" i="190"/>
  <c r="K48" i="190"/>
  <c r="K12" i="190"/>
  <c r="K45" i="189"/>
  <c r="K63" i="189"/>
  <c r="K27" i="189"/>
  <c r="K43" i="189"/>
  <c r="K61" i="189"/>
  <c r="K25" i="189"/>
  <c r="K57" i="189"/>
  <c r="K35" i="189"/>
  <c r="K53" i="189"/>
  <c r="K17" i="189"/>
  <c r="K51" i="189"/>
  <c r="K13" i="189"/>
  <c r="K44" i="188"/>
  <c r="K62" i="188"/>
  <c r="K26" i="188"/>
  <c r="K42" i="188"/>
  <c r="K24" i="188"/>
  <c r="K40" i="188"/>
  <c r="K22" i="188"/>
  <c r="K56" i="188"/>
  <c r="K36" i="188"/>
  <c r="K54" i="188"/>
  <c r="K18" i="188"/>
  <c r="K34" i="188"/>
  <c r="K52" i="188"/>
  <c r="K16" i="188"/>
  <c r="K50" i="188"/>
  <c r="K30" i="188"/>
  <c r="K12" i="188"/>
  <c r="K63" i="187"/>
  <c r="K25" i="187"/>
  <c r="K59" i="187"/>
  <c r="K39" i="187"/>
  <c r="K55" i="187"/>
  <c r="K17" i="187"/>
  <c r="K51" i="187"/>
  <c r="K31" i="187"/>
  <c r="K42" i="186"/>
  <c r="K60" i="186"/>
  <c r="K24" i="186"/>
  <c r="K40" i="186"/>
  <c r="K58" i="186"/>
  <c r="K22" i="186"/>
  <c r="K38" i="186"/>
  <c r="K56" i="186"/>
  <c r="K20" i="186"/>
  <c r="K36" i="186"/>
  <c r="K18" i="186"/>
  <c r="K50" i="186"/>
  <c r="K30" i="186"/>
  <c r="K12" i="186"/>
  <c r="K63" i="185"/>
  <c r="K39" i="185"/>
  <c r="K48" i="194"/>
  <c r="K12" i="194"/>
  <c r="K30" i="194"/>
  <c r="K49" i="194"/>
  <c r="K31" i="194"/>
  <c r="K13" i="194"/>
  <c r="K32" i="194"/>
  <c r="K50" i="194"/>
  <c r="K51" i="194"/>
  <c r="K33" i="194"/>
  <c r="K15" i="194"/>
  <c r="K34" i="194"/>
  <c r="K52" i="194"/>
  <c r="K16" i="194"/>
  <c r="K53" i="194"/>
  <c r="K35" i="194"/>
  <c r="K17" i="194"/>
  <c r="K36" i="194"/>
  <c r="K54" i="194"/>
  <c r="K18" i="194"/>
  <c r="K55" i="194"/>
  <c r="K37" i="194"/>
  <c r="K19" i="194"/>
  <c r="K38" i="194"/>
  <c r="K56" i="194"/>
  <c r="K20" i="194"/>
  <c r="K57" i="194"/>
  <c r="K39" i="194"/>
  <c r="K21" i="194"/>
  <c r="K40" i="194"/>
  <c r="K58" i="194"/>
  <c r="K22" i="194"/>
  <c r="K59" i="194"/>
  <c r="K41" i="194"/>
  <c r="K23" i="194"/>
  <c r="K42" i="194"/>
  <c r="K60" i="194"/>
  <c r="K24" i="194"/>
  <c r="K61" i="194"/>
  <c r="K43" i="194"/>
  <c r="K25" i="194"/>
  <c r="K44" i="194"/>
  <c r="K62" i="194"/>
  <c r="K26" i="194"/>
  <c r="K63" i="194"/>
  <c r="K45" i="194"/>
  <c r="K27" i="194"/>
  <c r="K30" i="195"/>
  <c r="K48" i="195"/>
  <c r="K12" i="195"/>
  <c r="K49" i="195"/>
  <c r="K13" i="195"/>
  <c r="K31" i="195"/>
  <c r="K32" i="195"/>
  <c r="K50" i="195"/>
  <c r="K51" i="195"/>
  <c r="K15" i="195"/>
  <c r="K33" i="195"/>
  <c r="K34" i="195"/>
  <c r="K52" i="195"/>
  <c r="K16" i="195"/>
  <c r="K53" i="195"/>
  <c r="K17" i="195"/>
  <c r="K35" i="195"/>
  <c r="K36" i="195"/>
  <c r="K54" i="195"/>
  <c r="K18" i="195"/>
  <c r="K55" i="195"/>
  <c r="K19" i="195"/>
  <c r="K37" i="195"/>
  <c r="K38" i="195"/>
  <c r="K56" i="195"/>
  <c r="K20" i="195"/>
  <c r="K57" i="195"/>
  <c r="K21" i="195"/>
  <c r="K39" i="195"/>
  <c r="K40" i="195"/>
  <c r="K58" i="195"/>
  <c r="K22" i="195"/>
  <c r="K59" i="195"/>
  <c r="K23" i="195"/>
  <c r="K41" i="195"/>
  <c r="K42" i="195"/>
  <c r="K60" i="195"/>
  <c r="K24" i="195"/>
  <c r="K61" i="195"/>
  <c r="K25" i="195"/>
  <c r="K43" i="195"/>
  <c r="K44" i="195"/>
  <c r="K62" i="195"/>
  <c r="K26" i="195"/>
  <c r="K63" i="195"/>
  <c r="K27" i="195"/>
  <c r="K45" i="195"/>
  <c r="K48" i="196"/>
  <c r="K12" i="196"/>
  <c r="K30" i="196"/>
  <c r="K31" i="196"/>
  <c r="K49" i="196"/>
  <c r="K13" i="196"/>
  <c r="K50" i="196"/>
  <c r="K14" i="196"/>
  <c r="K32" i="196"/>
  <c r="K33" i="196"/>
  <c r="K51" i="196"/>
  <c r="K15" i="196"/>
  <c r="K52" i="196"/>
  <c r="K16" i="196"/>
  <c r="K34" i="196"/>
  <c r="K35" i="196"/>
  <c r="K53" i="196"/>
  <c r="K17" i="196"/>
  <c r="K54" i="196"/>
  <c r="K18" i="196"/>
  <c r="K36" i="196"/>
  <c r="K37" i="196"/>
  <c r="K55" i="196"/>
  <c r="K19" i="196"/>
  <c r="K56" i="196"/>
  <c r="K20" i="196"/>
  <c r="K38" i="196"/>
  <c r="K39" i="196"/>
  <c r="K57" i="196"/>
  <c r="K21" i="196"/>
  <c r="K58" i="196"/>
  <c r="K22" i="196"/>
  <c r="K40" i="196"/>
  <c r="K41" i="196"/>
  <c r="K59" i="196"/>
  <c r="K23" i="196"/>
  <c r="K60" i="196"/>
  <c r="K24" i="196"/>
  <c r="K42" i="196"/>
  <c r="K43" i="196"/>
  <c r="K61" i="196"/>
  <c r="K25" i="196"/>
  <c r="K62" i="196"/>
  <c r="K26" i="196"/>
  <c r="K44" i="196"/>
  <c r="K45" i="196"/>
  <c r="K63" i="196"/>
  <c r="K27" i="196"/>
  <c r="K30" i="197"/>
  <c r="K48" i="197"/>
  <c r="K12" i="197"/>
  <c r="K49" i="197"/>
  <c r="K13" i="197"/>
  <c r="K31" i="197"/>
  <c r="K32" i="197"/>
  <c r="K50" i="197"/>
  <c r="K14" i="197"/>
  <c r="K51" i="197"/>
  <c r="K15" i="197"/>
  <c r="K33" i="197"/>
  <c r="K34" i="197"/>
  <c r="K52" i="197"/>
  <c r="K16" i="197"/>
  <c r="K53" i="197"/>
  <c r="K17" i="197"/>
  <c r="K35" i="197"/>
  <c r="K36" i="197"/>
  <c r="K54" i="197"/>
  <c r="K18" i="197"/>
  <c r="K55" i="197"/>
  <c r="K19" i="197"/>
  <c r="K37" i="197"/>
  <c r="K38" i="197"/>
  <c r="K56" i="197"/>
  <c r="K20" i="197"/>
  <c r="K57" i="197"/>
  <c r="K21" i="197"/>
  <c r="K39" i="197"/>
  <c r="K40" i="197"/>
  <c r="K58" i="197"/>
  <c r="K22" i="197"/>
  <c r="K59" i="197"/>
  <c r="K23" i="197"/>
  <c r="K41" i="197"/>
  <c r="K42" i="197"/>
  <c r="K60" i="197"/>
  <c r="K24" i="197"/>
  <c r="K61" i="197"/>
  <c r="K25" i="197"/>
  <c r="K43" i="197"/>
  <c r="K44" i="197"/>
  <c r="K62" i="197"/>
  <c r="K26" i="197"/>
  <c r="K63" i="197"/>
  <c r="K27" i="197"/>
  <c r="K45" i="197"/>
  <c r="K48" i="198"/>
  <c r="K12" i="198"/>
  <c r="K30" i="198"/>
  <c r="K31" i="198"/>
  <c r="K49" i="198"/>
  <c r="K13" i="198"/>
  <c r="K50" i="198"/>
  <c r="K14" i="198"/>
  <c r="K32" i="198"/>
  <c r="K33" i="198"/>
  <c r="K51" i="198"/>
  <c r="K15" i="198"/>
  <c r="K52" i="198"/>
  <c r="K16" i="198"/>
  <c r="K34" i="198"/>
  <c r="K35" i="198"/>
  <c r="K53" i="198"/>
  <c r="K17" i="198"/>
  <c r="K54" i="198"/>
  <c r="K18" i="198"/>
  <c r="K36" i="198"/>
  <c r="K37" i="198"/>
  <c r="K55" i="198"/>
  <c r="K19" i="198"/>
  <c r="K56" i="198"/>
  <c r="K20" i="198"/>
  <c r="K38" i="198"/>
  <c r="K39" i="198"/>
  <c r="K57" i="198"/>
  <c r="K21" i="198"/>
  <c r="K58" i="198"/>
  <c r="K22" i="198"/>
  <c r="K40" i="198"/>
  <c r="K41" i="198"/>
  <c r="K59" i="198"/>
  <c r="K23" i="198"/>
  <c r="K60" i="198"/>
  <c r="K24" i="198"/>
  <c r="K42" i="198"/>
  <c r="K43" i="198"/>
  <c r="K61" i="198"/>
  <c r="K25" i="198"/>
  <c r="K62" i="198"/>
  <c r="K26" i="198"/>
  <c r="K44" i="198"/>
  <c r="K45" i="198"/>
  <c r="K63" i="198"/>
  <c r="K27" i="198"/>
  <c r="K30" i="199"/>
  <c r="K48" i="199"/>
  <c r="K12" i="199"/>
  <c r="K49" i="199"/>
  <c r="K13" i="199"/>
  <c r="K31" i="199"/>
  <c r="K32" i="199"/>
  <c r="K50" i="199"/>
  <c r="K14" i="199"/>
  <c r="K51" i="199"/>
  <c r="K15" i="199"/>
  <c r="K33" i="199"/>
  <c r="K34" i="199"/>
  <c r="K52" i="199"/>
  <c r="K16" i="199"/>
  <c r="K53" i="199"/>
  <c r="K17" i="199"/>
  <c r="K35" i="199"/>
  <c r="K36" i="199"/>
  <c r="K54" i="199"/>
  <c r="K18" i="199"/>
  <c r="K55" i="199"/>
  <c r="K19" i="199"/>
  <c r="K37" i="199"/>
  <c r="K38" i="199"/>
  <c r="K56" i="199"/>
  <c r="K20" i="199"/>
  <c r="K57" i="199"/>
  <c r="K21" i="199"/>
  <c r="K39" i="199"/>
  <c r="K40" i="199"/>
  <c r="K58" i="199"/>
  <c r="K22" i="199"/>
  <c r="K59" i="199"/>
  <c r="K23" i="199"/>
  <c r="K41" i="199"/>
  <c r="K42" i="199"/>
  <c r="K60" i="199"/>
  <c r="K24" i="199"/>
  <c r="K61" i="199"/>
  <c r="K25" i="199"/>
  <c r="K43" i="199"/>
  <c r="K44" i="199"/>
  <c r="K62" i="199"/>
  <c r="K26" i="199"/>
  <c r="K63" i="199"/>
  <c r="K27" i="199"/>
  <c r="K45" i="199"/>
  <c r="K48" i="200"/>
  <c r="K12" i="200"/>
  <c r="K30" i="225"/>
  <c r="K30" i="200"/>
  <c r="K48" i="225"/>
  <c r="K12" i="225"/>
  <c r="K31" i="200"/>
  <c r="K49" i="225"/>
  <c r="K13" i="225"/>
  <c r="K49" i="200"/>
  <c r="K13" i="200"/>
  <c r="K31" i="225"/>
  <c r="K50" i="200"/>
  <c r="K14" i="200"/>
  <c r="K32" i="225"/>
  <c r="K32" i="200"/>
  <c r="K50" i="225"/>
  <c r="K14" i="225"/>
  <c r="K33" i="200"/>
  <c r="K51" i="225"/>
  <c r="K15" i="225"/>
  <c r="K51" i="200"/>
  <c r="K15" i="200"/>
  <c r="K33" i="225"/>
  <c r="K52" i="200"/>
  <c r="K16" i="200"/>
  <c r="K34" i="225"/>
  <c r="K34" i="200"/>
  <c r="K52" i="225"/>
  <c r="K16" i="225"/>
  <c r="K35" i="200"/>
  <c r="K53" i="225"/>
  <c r="K17" i="225"/>
  <c r="K53" i="200"/>
  <c r="K17" i="200"/>
  <c r="K35" i="225"/>
  <c r="K54" i="200"/>
  <c r="K18" i="200"/>
  <c r="K36" i="225"/>
  <c r="K36" i="200"/>
  <c r="K54" i="225"/>
  <c r="K18" i="225"/>
  <c r="K37" i="200"/>
  <c r="K55" i="225"/>
  <c r="K19" i="225"/>
  <c r="K55" i="200"/>
  <c r="K19" i="200"/>
  <c r="K37" i="225"/>
  <c r="K56" i="200"/>
  <c r="K20" i="200"/>
  <c r="K38" i="225"/>
  <c r="K38" i="200"/>
  <c r="K56" i="225"/>
  <c r="K20" i="225"/>
  <c r="K39" i="200"/>
  <c r="K57" i="225"/>
  <c r="K21" i="225"/>
  <c r="K57" i="200"/>
  <c r="K21" i="200"/>
  <c r="K39" i="225"/>
  <c r="K58" i="200"/>
  <c r="K22" i="200"/>
  <c r="K40" i="225"/>
  <c r="K40" i="200"/>
  <c r="K58" i="225"/>
  <c r="K22" i="225"/>
  <c r="K41" i="200"/>
  <c r="K59" i="225"/>
  <c r="K23" i="225"/>
  <c r="K59" i="200"/>
  <c r="K23" i="200"/>
  <c r="K41" i="225"/>
  <c r="K60" i="200"/>
  <c r="K24" i="200"/>
  <c r="K42" i="225"/>
  <c r="K42" i="200"/>
  <c r="K60" i="225"/>
  <c r="K24" i="225"/>
  <c r="K43" i="200"/>
  <c r="K61" i="200"/>
  <c r="K25" i="200"/>
  <c r="K62" i="200"/>
  <c r="K26" i="200"/>
  <c r="K44" i="225"/>
  <c r="K44" i="200"/>
  <c r="K62" i="225"/>
  <c r="K26" i="225"/>
  <c r="K45" i="200"/>
  <c r="K63" i="225"/>
  <c r="K27" i="225"/>
  <c r="K63" i="200"/>
  <c r="K27" i="200"/>
  <c r="K45" i="225"/>
  <c r="K48" i="202"/>
  <c r="K12" i="202"/>
  <c r="K30" i="226"/>
  <c r="K30" i="202"/>
  <c r="K48" i="226"/>
  <c r="K12" i="226"/>
  <c r="K31" i="202"/>
  <c r="K49" i="226"/>
  <c r="K13" i="226"/>
  <c r="K49" i="202"/>
  <c r="K13" i="202"/>
  <c r="K31" i="226"/>
  <c r="K50" i="202"/>
  <c r="K32" i="226"/>
  <c r="K32" i="202"/>
  <c r="K50" i="226"/>
  <c r="K14" i="226"/>
  <c r="K33" i="202"/>
  <c r="K51" i="226"/>
  <c r="K15" i="226"/>
  <c r="K51" i="202"/>
  <c r="K33" i="226"/>
  <c r="K52" i="202"/>
  <c r="K34" i="226"/>
  <c r="K34" i="202"/>
  <c r="K52" i="226"/>
  <c r="K35" i="202"/>
  <c r="K53" i="226"/>
  <c r="K17" i="226"/>
  <c r="K53" i="202"/>
  <c r="K17" i="202"/>
  <c r="K35" i="226"/>
  <c r="K54" i="202"/>
  <c r="K18" i="202"/>
  <c r="K36" i="226"/>
  <c r="K36" i="202"/>
  <c r="K54" i="226"/>
  <c r="K18" i="226"/>
  <c r="K37" i="202"/>
  <c r="K55" i="226"/>
  <c r="K19" i="226"/>
  <c r="K55" i="202"/>
  <c r="K19" i="202"/>
  <c r="K37" i="226"/>
  <c r="K56" i="202"/>
  <c r="K38" i="226"/>
  <c r="K38" i="202"/>
  <c r="K56" i="226"/>
  <c r="K20" i="226"/>
  <c r="K39" i="202"/>
  <c r="K57" i="226"/>
  <c r="K21" i="226"/>
  <c r="K57" i="202"/>
  <c r="K21" i="202"/>
  <c r="K39" i="226"/>
  <c r="K58" i="202"/>
  <c r="K40" i="226"/>
  <c r="K40" i="202"/>
  <c r="K58" i="226"/>
  <c r="K41" i="202"/>
  <c r="K59" i="226"/>
  <c r="K23" i="226"/>
  <c r="K59" i="202"/>
  <c r="K23" i="202"/>
  <c r="K41" i="226"/>
  <c r="K60" i="202"/>
  <c r="K24" i="202"/>
  <c r="K42" i="226"/>
  <c r="K42" i="202"/>
  <c r="K60" i="226"/>
  <c r="K24" i="226"/>
  <c r="K43" i="202"/>
  <c r="K61" i="226"/>
  <c r="K25" i="226"/>
  <c r="K61" i="202"/>
  <c r="K25" i="202"/>
  <c r="K43" i="226"/>
  <c r="K62" i="202"/>
  <c r="K44" i="226"/>
  <c r="K44" i="202"/>
  <c r="K62" i="226"/>
  <c r="K45" i="202"/>
  <c r="K63" i="226"/>
  <c r="K27" i="226"/>
  <c r="K63" i="202"/>
  <c r="K45" i="226"/>
  <c r="K48" i="203"/>
  <c r="K30" i="203"/>
  <c r="K31" i="203"/>
  <c r="K49" i="203"/>
  <c r="K13" i="203"/>
  <c r="K50" i="203"/>
  <c r="K14" i="203"/>
  <c r="K32" i="203"/>
  <c r="K33" i="203"/>
  <c r="K51" i="203"/>
  <c r="K15" i="203"/>
  <c r="K52" i="203"/>
  <c r="K16" i="203"/>
  <c r="K34" i="203"/>
  <c r="K35" i="203"/>
  <c r="K53" i="203"/>
  <c r="K17" i="203"/>
  <c r="K54" i="203"/>
  <c r="K18" i="203"/>
  <c r="K36" i="203"/>
  <c r="K37" i="203"/>
  <c r="K55" i="203"/>
  <c r="K19" i="203"/>
  <c r="K56" i="203"/>
  <c r="K20" i="203"/>
  <c r="K38" i="203"/>
  <c r="K39" i="203"/>
  <c r="K57" i="203"/>
  <c r="K21" i="203"/>
  <c r="K58" i="203"/>
  <c r="K22" i="203"/>
  <c r="K40" i="203"/>
  <c r="K41" i="203"/>
  <c r="K59" i="203"/>
  <c r="K23" i="203"/>
  <c r="K60" i="203"/>
  <c r="K24" i="203"/>
  <c r="K42" i="203"/>
  <c r="K43" i="203"/>
  <c r="K61" i="203"/>
  <c r="K25" i="203"/>
  <c r="K62" i="203"/>
  <c r="K26" i="203"/>
  <c r="K44" i="203"/>
  <c r="K45" i="203"/>
  <c r="K63" i="203"/>
  <c r="K27" i="203"/>
  <c r="K23" i="216"/>
  <c r="K49" i="216"/>
  <c r="K55" i="216"/>
  <c r="K59" i="216"/>
  <c r="K15" i="150"/>
  <c r="K33" i="150"/>
  <c r="K63" i="150"/>
  <c r="K14" i="149"/>
  <c r="K32" i="149"/>
  <c r="K50" i="149"/>
  <c r="K16" i="148"/>
  <c r="K24" i="148"/>
  <c r="K42" i="148"/>
  <c r="K19" i="147"/>
  <c r="K44" i="147"/>
  <c r="K16" i="218"/>
  <c r="K22" i="218"/>
  <c r="K24" i="218"/>
  <c r="K26" i="218"/>
  <c r="K37" i="218"/>
  <c r="K41" i="218"/>
  <c r="K43" i="218"/>
  <c r="K52" i="218"/>
  <c r="K58" i="218"/>
  <c r="K60" i="218"/>
  <c r="K62" i="218"/>
  <c r="K73" i="218"/>
  <c r="K77" i="218"/>
  <c r="K79" i="218"/>
  <c r="K24" i="161"/>
  <c r="F28" i="199"/>
  <c r="F27" i="205"/>
  <c r="F23" i="205"/>
  <c r="F19" i="205"/>
  <c r="F17" i="205"/>
  <c r="F15" i="205"/>
  <c r="F23" i="206"/>
  <c r="F19" i="206"/>
  <c r="F15" i="206"/>
  <c r="F13" i="206"/>
  <c r="F24" i="205"/>
  <c r="F16" i="205"/>
  <c r="F26" i="206"/>
  <c r="F20" i="206"/>
  <c r="F12" i="206"/>
  <c r="F46" i="185"/>
  <c r="F81" i="163"/>
  <c r="K81" i="163" s="1"/>
  <c r="F80" i="163"/>
  <c r="K80" i="163" s="1"/>
  <c r="F79" i="163"/>
  <c r="F78" i="163"/>
  <c r="K78" i="163" s="1"/>
  <c r="F77" i="163"/>
  <c r="K77" i="163" s="1"/>
  <c r="F76" i="163"/>
  <c r="K76" i="163" s="1"/>
  <c r="F75" i="163"/>
  <c r="K75" i="163" s="1"/>
  <c r="F74" i="163"/>
  <c r="K74" i="163" s="1"/>
  <c r="F73" i="163"/>
  <c r="K73" i="163" s="1"/>
  <c r="F72" i="163"/>
  <c r="F71" i="163"/>
  <c r="K71" i="163" s="1"/>
  <c r="F70" i="163"/>
  <c r="K70" i="163" s="1"/>
  <c r="F69" i="163"/>
  <c r="K69" i="163" s="1"/>
  <c r="F68" i="163"/>
  <c r="K68" i="163" s="1"/>
  <c r="F67" i="163"/>
  <c r="K67" i="163" s="1"/>
  <c r="F66" i="163"/>
  <c r="K66" i="163" s="1"/>
  <c r="F63" i="163"/>
  <c r="K63" i="163" s="1"/>
  <c r="F62" i="163"/>
  <c r="K62" i="163" s="1"/>
  <c r="F61" i="163"/>
  <c r="F60" i="163"/>
  <c r="K60" i="163" s="1"/>
  <c r="F59" i="163"/>
  <c r="K59" i="163" s="1"/>
  <c r="F58" i="163"/>
  <c r="K58" i="163" s="1"/>
  <c r="F57" i="163"/>
  <c r="K57" i="163" s="1"/>
  <c r="F56" i="163"/>
  <c r="K56" i="163" s="1"/>
  <c r="F55" i="163"/>
  <c r="K55" i="163" s="1"/>
  <c r="F54" i="163"/>
  <c r="F53" i="163"/>
  <c r="K53" i="163" s="1"/>
  <c r="F52" i="163"/>
  <c r="K52" i="163" s="1"/>
  <c r="F51" i="163"/>
  <c r="K51" i="163" s="1"/>
  <c r="F50" i="163"/>
  <c r="K50" i="163" s="1"/>
  <c r="F49" i="163"/>
  <c r="K49" i="163" s="1"/>
  <c r="F48" i="163"/>
  <c r="K48" i="163" s="1"/>
  <c r="F45" i="163"/>
  <c r="K45" i="163" s="1"/>
  <c r="F44" i="163"/>
  <c r="F43" i="163"/>
  <c r="F25" i="163" s="1"/>
  <c r="F42" i="163"/>
  <c r="K42" i="163" s="1"/>
  <c r="F41" i="163"/>
  <c r="K41" i="163" s="1"/>
  <c r="F40" i="163"/>
  <c r="F39" i="163"/>
  <c r="K39" i="163" s="1"/>
  <c r="F38" i="163"/>
  <c r="K38" i="163" s="1"/>
  <c r="F37" i="163"/>
  <c r="K37" i="163" s="1"/>
  <c r="F36" i="163"/>
  <c r="F18" i="163" s="1"/>
  <c r="F35" i="163"/>
  <c r="K35" i="163" s="1"/>
  <c r="F34" i="163"/>
  <c r="K34" i="163" s="1"/>
  <c r="F33" i="163"/>
  <c r="F32" i="163"/>
  <c r="F31" i="163"/>
  <c r="K31" i="163" s="1"/>
  <c r="F30" i="163"/>
  <c r="F12" i="163" s="1"/>
  <c r="F81" i="164"/>
  <c r="F80" i="164"/>
  <c r="F79" i="164"/>
  <c r="F78" i="164"/>
  <c r="F77" i="164"/>
  <c r="F76" i="164"/>
  <c r="F75" i="164"/>
  <c r="F74" i="164"/>
  <c r="F73" i="164"/>
  <c r="F72" i="164"/>
  <c r="F71" i="164"/>
  <c r="K71" i="164" s="1"/>
  <c r="F70" i="164"/>
  <c r="F69" i="164"/>
  <c r="K69" i="164" s="1"/>
  <c r="F68" i="164"/>
  <c r="K68" i="164" s="1"/>
  <c r="F67" i="164"/>
  <c r="K67" i="164" s="1"/>
  <c r="F66" i="164"/>
  <c r="F63" i="164"/>
  <c r="F62" i="164"/>
  <c r="F61" i="164"/>
  <c r="F60" i="164"/>
  <c r="F59" i="164"/>
  <c r="F58" i="164"/>
  <c r="F57" i="164"/>
  <c r="F56" i="164"/>
  <c r="F55" i="164"/>
  <c r="F54" i="164"/>
  <c r="F53" i="164"/>
  <c r="K53" i="164" s="1"/>
  <c r="F52" i="164"/>
  <c r="F51" i="164"/>
  <c r="K51" i="164" s="1"/>
  <c r="F50" i="164"/>
  <c r="K50" i="164" s="1"/>
  <c r="F49" i="164"/>
  <c r="K49" i="164" s="1"/>
  <c r="F48" i="164"/>
  <c r="F45" i="164"/>
  <c r="F27" i="164" s="1"/>
  <c r="F44" i="164"/>
  <c r="F26" i="164" s="1"/>
  <c r="F43" i="164"/>
  <c r="F25" i="164" s="1"/>
  <c r="F42" i="164"/>
  <c r="F24" i="164" s="1"/>
  <c r="F41" i="164"/>
  <c r="F23" i="164" s="1"/>
  <c r="F40" i="164"/>
  <c r="F22" i="164" s="1"/>
  <c r="F39" i="164"/>
  <c r="F21" i="164" s="1"/>
  <c r="F38" i="164"/>
  <c r="F20" i="164" s="1"/>
  <c r="F37" i="164"/>
  <c r="F19" i="164" s="1"/>
  <c r="F36" i="164"/>
  <c r="F18" i="164" s="1"/>
  <c r="F35" i="164"/>
  <c r="K35" i="164" s="1"/>
  <c r="F34" i="164"/>
  <c r="F16" i="164" s="1"/>
  <c r="F33" i="164"/>
  <c r="F32" i="164"/>
  <c r="K32" i="164" s="1"/>
  <c r="F31" i="164"/>
  <c r="K31" i="164" s="1"/>
  <c r="F30" i="164"/>
  <c r="F12" i="164" s="1"/>
  <c r="F81" i="165"/>
  <c r="F80" i="165"/>
  <c r="F79" i="165"/>
  <c r="F78" i="165"/>
  <c r="F77" i="165"/>
  <c r="F76" i="165"/>
  <c r="K76" i="165" s="1"/>
  <c r="F75" i="165"/>
  <c r="K75" i="165" s="1"/>
  <c r="F74" i="165"/>
  <c r="K74" i="165" s="1"/>
  <c r="F73" i="165"/>
  <c r="F72" i="165"/>
  <c r="F71" i="165"/>
  <c r="F70" i="165"/>
  <c r="F69" i="165"/>
  <c r="F68" i="165"/>
  <c r="F67" i="165"/>
  <c r="K67" i="165" s="1"/>
  <c r="F66" i="165"/>
  <c r="K66" i="165" s="1"/>
  <c r="F63" i="165"/>
  <c r="F62" i="165"/>
  <c r="F61" i="165"/>
  <c r="F60" i="165"/>
  <c r="F59" i="165"/>
  <c r="F58" i="165"/>
  <c r="K58" i="165" s="1"/>
  <c r="F57" i="165"/>
  <c r="K57" i="165" s="1"/>
  <c r="F56" i="165"/>
  <c r="K56" i="165" s="1"/>
  <c r="F55" i="165"/>
  <c r="F54" i="165"/>
  <c r="F53" i="165"/>
  <c r="F52" i="165"/>
  <c r="F51" i="165"/>
  <c r="F50" i="165"/>
  <c r="F49" i="165"/>
  <c r="K49" i="165" s="1"/>
  <c r="F48" i="165"/>
  <c r="K48" i="165" s="1"/>
  <c r="F45" i="165"/>
  <c r="F27" i="165" s="1"/>
  <c r="F44" i="165"/>
  <c r="F26" i="165" s="1"/>
  <c r="F43" i="165"/>
  <c r="F25" i="165" s="1"/>
  <c r="F42" i="165"/>
  <c r="F24" i="165" s="1"/>
  <c r="F41" i="165"/>
  <c r="F23" i="165" s="1"/>
  <c r="F40" i="165"/>
  <c r="K40" i="165" s="1"/>
  <c r="F39" i="165"/>
  <c r="K39" i="165" s="1"/>
  <c r="F38" i="165"/>
  <c r="F37" i="165"/>
  <c r="F19" i="165" s="1"/>
  <c r="F36" i="165"/>
  <c r="F18" i="165" s="1"/>
  <c r="F35" i="165"/>
  <c r="F17" i="165" s="1"/>
  <c r="F34" i="165"/>
  <c r="F16" i="165" s="1"/>
  <c r="F33" i="165"/>
  <c r="F15" i="165" s="1"/>
  <c r="F32" i="165"/>
  <c r="F14" i="165" s="1"/>
  <c r="F31" i="165"/>
  <c r="K31" i="165" s="1"/>
  <c r="F30" i="165"/>
  <c r="K30" i="165" s="1"/>
  <c r="F81" i="166"/>
  <c r="K81" i="166" s="1"/>
  <c r="F80" i="166"/>
  <c r="K80" i="166" s="1"/>
  <c r="F79" i="166"/>
  <c r="F78" i="166"/>
  <c r="K78" i="166" s="1"/>
  <c r="F77" i="166"/>
  <c r="K77" i="166" s="1"/>
  <c r="F76" i="166"/>
  <c r="K76" i="166" s="1"/>
  <c r="F75" i="166"/>
  <c r="K75" i="166" s="1"/>
  <c r="F74" i="166"/>
  <c r="K74" i="166" s="1"/>
  <c r="F73" i="166"/>
  <c r="K73" i="166" s="1"/>
  <c r="F72" i="166"/>
  <c r="F71" i="166"/>
  <c r="F70" i="166"/>
  <c r="K70" i="166" s="1"/>
  <c r="F69" i="166"/>
  <c r="K69" i="166" s="1"/>
  <c r="F68" i="166"/>
  <c r="F67" i="166"/>
  <c r="K67" i="166" s="1"/>
  <c r="F66" i="166"/>
  <c r="F63" i="166"/>
  <c r="K63" i="166" s="1"/>
  <c r="F62" i="166"/>
  <c r="K62" i="166" s="1"/>
  <c r="F61" i="166"/>
  <c r="F60" i="166"/>
  <c r="K60" i="166" s="1"/>
  <c r="F59" i="166"/>
  <c r="K59" i="166" s="1"/>
  <c r="F58" i="166"/>
  <c r="K58" i="166" s="1"/>
  <c r="F57" i="166"/>
  <c r="K57" i="166" s="1"/>
  <c r="F56" i="166"/>
  <c r="K56" i="166" s="1"/>
  <c r="F55" i="166"/>
  <c r="K55" i="166" s="1"/>
  <c r="F54" i="166"/>
  <c r="F53" i="166"/>
  <c r="F52" i="166"/>
  <c r="K52" i="166" s="1"/>
  <c r="F51" i="166"/>
  <c r="K51" i="166" s="1"/>
  <c r="F50" i="166"/>
  <c r="F49" i="166"/>
  <c r="K49" i="166" s="1"/>
  <c r="F48" i="166"/>
  <c r="F45" i="166"/>
  <c r="F44" i="166"/>
  <c r="K44" i="166" s="1"/>
  <c r="F43" i="166"/>
  <c r="F25" i="166" s="1"/>
  <c r="F42" i="166"/>
  <c r="K42" i="166" s="1"/>
  <c r="F41" i="166"/>
  <c r="F40" i="166"/>
  <c r="K40" i="166" s="1"/>
  <c r="F39" i="166"/>
  <c r="K39" i="166" s="1"/>
  <c r="F38" i="166"/>
  <c r="K38" i="166" s="1"/>
  <c r="F37" i="166"/>
  <c r="F36" i="166"/>
  <c r="F18" i="166" s="1"/>
  <c r="F35" i="166"/>
  <c r="F17" i="166" s="1"/>
  <c r="F34" i="166"/>
  <c r="K34" i="166" s="1"/>
  <c r="F33" i="166"/>
  <c r="F32" i="166"/>
  <c r="F14" i="166" s="1"/>
  <c r="F31" i="166"/>
  <c r="K31" i="166" s="1"/>
  <c r="F30" i="166"/>
  <c r="F12" i="166" s="1"/>
  <c r="F81" i="167"/>
  <c r="F80" i="167"/>
  <c r="K80" i="167" s="1"/>
  <c r="F79" i="167"/>
  <c r="F78" i="167"/>
  <c r="F77" i="167"/>
  <c r="K77" i="167" s="1"/>
  <c r="F76" i="167"/>
  <c r="K76" i="167" s="1"/>
  <c r="F75" i="167"/>
  <c r="K75" i="167" s="1"/>
  <c r="F74" i="167"/>
  <c r="K74" i="167" s="1"/>
  <c r="F73" i="167"/>
  <c r="F72" i="167"/>
  <c r="F71" i="167"/>
  <c r="F70" i="167"/>
  <c r="F69" i="167"/>
  <c r="F68" i="167"/>
  <c r="F67" i="167"/>
  <c r="K67" i="167" s="1"/>
  <c r="F66" i="167"/>
  <c r="K66" i="167" s="1"/>
  <c r="F63" i="167"/>
  <c r="F62" i="167"/>
  <c r="K62" i="167" s="1"/>
  <c r="F61" i="167"/>
  <c r="F60" i="167"/>
  <c r="F59" i="167"/>
  <c r="K59" i="167" s="1"/>
  <c r="F58" i="167"/>
  <c r="K58" i="167" s="1"/>
  <c r="F57" i="167"/>
  <c r="K57" i="167" s="1"/>
  <c r="F56" i="167"/>
  <c r="K56" i="167" s="1"/>
  <c r="F55" i="167"/>
  <c r="F54" i="167"/>
  <c r="F53" i="167"/>
  <c r="F52" i="167"/>
  <c r="F51" i="167"/>
  <c r="F50" i="167"/>
  <c r="F49" i="167"/>
  <c r="K49" i="167" s="1"/>
  <c r="F48" i="167"/>
  <c r="K48" i="167" s="1"/>
  <c r="F45" i="167"/>
  <c r="F27" i="167" s="1"/>
  <c r="F44" i="167"/>
  <c r="K44" i="167" s="1"/>
  <c r="F43" i="167"/>
  <c r="F25" i="167" s="1"/>
  <c r="F42" i="167"/>
  <c r="F24" i="167" s="1"/>
  <c r="F41" i="167"/>
  <c r="K41" i="167" s="1"/>
  <c r="F40" i="167"/>
  <c r="K40" i="167" s="1"/>
  <c r="F39" i="167"/>
  <c r="K39" i="167" s="1"/>
  <c r="F38" i="167"/>
  <c r="K38" i="167" s="1"/>
  <c r="F37" i="167"/>
  <c r="F19" i="167" s="1"/>
  <c r="F36" i="167"/>
  <c r="F18" i="167" s="1"/>
  <c r="F35" i="167"/>
  <c r="F17" i="167" s="1"/>
  <c r="F34" i="167"/>
  <c r="F16" i="167" s="1"/>
  <c r="F33" i="167"/>
  <c r="F15" i="167" s="1"/>
  <c r="F32" i="167"/>
  <c r="F14" i="167" s="1"/>
  <c r="F31" i="167"/>
  <c r="K31" i="167" s="1"/>
  <c r="F30" i="167"/>
  <c r="K30" i="167" s="1"/>
  <c r="F81" i="168"/>
  <c r="K81" i="168" s="1"/>
  <c r="F80" i="168"/>
  <c r="K80" i="168" s="1"/>
  <c r="F79" i="168"/>
  <c r="F78" i="168"/>
  <c r="K78" i="168" s="1"/>
  <c r="F77" i="168"/>
  <c r="K77" i="168" s="1"/>
  <c r="F76" i="168"/>
  <c r="K76" i="168" s="1"/>
  <c r="F75" i="168"/>
  <c r="K75" i="168" s="1"/>
  <c r="F74" i="168"/>
  <c r="K74" i="168" s="1"/>
  <c r="F73" i="168"/>
  <c r="K73" i="168" s="1"/>
  <c r="F72" i="168"/>
  <c r="F71" i="168"/>
  <c r="K71" i="168" s="1"/>
  <c r="F70" i="168"/>
  <c r="K70" i="168" s="1"/>
  <c r="F69" i="168"/>
  <c r="K69" i="168" s="1"/>
  <c r="F68" i="168"/>
  <c r="K68" i="168" s="1"/>
  <c r="F67" i="168"/>
  <c r="K67" i="168" s="1"/>
  <c r="F66" i="168"/>
  <c r="F63" i="168"/>
  <c r="K63" i="168" s="1"/>
  <c r="F62" i="168"/>
  <c r="K62" i="168" s="1"/>
  <c r="F61" i="168"/>
  <c r="F60" i="168"/>
  <c r="K60" i="168" s="1"/>
  <c r="F59" i="168"/>
  <c r="K59" i="168" s="1"/>
  <c r="F58" i="168"/>
  <c r="K58" i="168" s="1"/>
  <c r="F57" i="168"/>
  <c r="K57" i="168" s="1"/>
  <c r="F56" i="168"/>
  <c r="K56" i="168" s="1"/>
  <c r="F55" i="168"/>
  <c r="K55" i="168" s="1"/>
  <c r="F54" i="168"/>
  <c r="F53" i="168"/>
  <c r="K53" i="168" s="1"/>
  <c r="F52" i="168"/>
  <c r="K52" i="168" s="1"/>
  <c r="F51" i="168"/>
  <c r="K51" i="168" s="1"/>
  <c r="F50" i="168"/>
  <c r="K50" i="168" s="1"/>
  <c r="F49" i="168"/>
  <c r="K49" i="168" s="1"/>
  <c r="F48" i="168"/>
  <c r="K48" i="168" s="1"/>
  <c r="F45" i="168"/>
  <c r="F44" i="168"/>
  <c r="K44" i="168" s="1"/>
  <c r="F43" i="168"/>
  <c r="F25" i="168" s="1"/>
  <c r="F42" i="168"/>
  <c r="K42" i="168" s="1"/>
  <c r="F41" i="168"/>
  <c r="F40" i="168"/>
  <c r="K40" i="168" s="1"/>
  <c r="F39" i="168"/>
  <c r="K39" i="168" s="1"/>
  <c r="F38" i="168"/>
  <c r="K38" i="168" s="1"/>
  <c r="F37" i="168"/>
  <c r="F36" i="168"/>
  <c r="F18" i="168" s="1"/>
  <c r="F35" i="168"/>
  <c r="K35" i="168" s="1"/>
  <c r="F34" i="168"/>
  <c r="K34" i="168" s="1"/>
  <c r="F33" i="168"/>
  <c r="F32" i="168"/>
  <c r="K32" i="168" s="1"/>
  <c r="F31" i="168"/>
  <c r="K31" i="168" s="1"/>
  <c r="F30" i="168"/>
  <c r="F12" i="168" s="1"/>
  <c r="F81" i="169"/>
  <c r="K81" i="169" s="1"/>
  <c r="F80" i="169"/>
  <c r="K80" i="169" s="1"/>
  <c r="F79" i="169"/>
  <c r="F78" i="169"/>
  <c r="F77" i="169"/>
  <c r="K77" i="169" s="1"/>
  <c r="F76" i="169"/>
  <c r="K76" i="169" s="1"/>
  <c r="F75" i="169"/>
  <c r="K75" i="169" s="1"/>
  <c r="F74" i="169"/>
  <c r="K74" i="169" s="1"/>
  <c r="F73" i="169"/>
  <c r="K73" i="169" s="1"/>
  <c r="F72" i="169"/>
  <c r="F71" i="169"/>
  <c r="K71" i="169" s="1"/>
  <c r="F70" i="169"/>
  <c r="K70" i="169" s="1"/>
  <c r="F69" i="169"/>
  <c r="K69" i="169" s="1"/>
  <c r="F68" i="169"/>
  <c r="K68" i="169" s="1"/>
  <c r="F67" i="169"/>
  <c r="K67" i="169" s="1"/>
  <c r="F66" i="169"/>
  <c r="K66" i="169" s="1"/>
  <c r="F63" i="169"/>
  <c r="K63" i="169" s="1"/>
  <c r="F62" i="169"/>
  <c r="K62" i="169" s="1"/>
  <c r="F61" i="169"/>
  <c r="F60" i="169"/>
  <c r="F59" i="169"/>
  <c r="K59" i="169" s="1"/>
  <c r="F58" i="169"/>
  <c r="K58" i="169" s="1"/>
  <c r="F57" i="169"/>
  <c r="K57" i="169" s="1"/>
  <c r="F56" i="169"/>
  <c r="K56" i="169" s="1"/>
  <c r="F55" i="169"/>
  <c r="K55" i="169" s="1"/>
  <c r="F54" i="169"/>
  <c r="F53" i="169"/>
  <c r="K53" i="169" s="1"/>
  <c r="F52" i="169"/>
  <c r="K52" i="169" s="1"/>
  <c r="F51" i="169"/>
  <c r="K51" i="169" s="1"/>
  <c r="F50" i="169"/>
  <c r="K50" i="169" s="1"/>
  <c r="F49" i="169"/>
  <c r="K49" i="169" s="1"/>
  <c r="F48" i="169"/>
  <c r="K48" i="169" s="1"/>
  <c r="F45" i="169"/>
  <c r="F44" i="169"/>
  <c r="K44" i="169" s="1"/>
  <c r="F43" i="169"/>
  <c r="F25" i="169" s="1"/>
  <c r="F42" i="169"/>
  <c r="F24" i="169" s="1"/>
  <c r="F41" i="169"/>
  <c r="F40" i="169"/>
  <c r="F39" i="169"/>
  <c r="K39" i="169" s="1"/>
  <c r="F38" i="169"/>
  <c r="K38" i="169" s="1"/>
  <c r="F37" i="169"/>
  <c r="F36" i="169"/>
  <c r="F18" i="169" s="1"/>
  <c r="F35" i="169"/>
  <c r="K35" i="169" s="1"/>
  <c r="F34" i="169"/>
  <c r="K34" i="169" s="1"/>
  <c r="F33" i="169"/>
  <c r="F32" i="169"/>
  <c r="F31" i="169"/>
  <c r="K31" i="169" s="1"/>
  <c r="F30" i="169"/>
  <c r="F12" i="169" s="1"/>
  <c r="F81" i="219"/>
  <c r="K81" i="219" s="1"/>
  <c r="F80" i="219"/>
  <c r="F79" i="219"/>
  <c r="F78" i="219"/>
  <c r="F77" i="219"/>
  <c r="F76" i="219"/>
  <c r="F75" i="219"/>
  <c r="F74" i="219"/>
  <c r="F73" i="219"/>
  <c r="F72" i="219"/>
  <c r="F71" i="219"/>
  <c r="K71" i="219" s="1"/>
  <c r="F70" i="219"/>
  <c r="F69" i="219"/>
  <c r="K69" i="219" s="1"/>
  <c r="F68" i="219"/>
  <c r="K68" i="219" s="1"/>
  <c r="F67" i="219"/>
  <c r="K67" i="219" s="1"/>
  <c r="F66" i="219"/>
  <c r="K66" i="219" s="1"/>
  <c r="F63" i="219"/>
  <c r="K63" i="219" s="1"/>
  <c r="F62" i="219"/>
  <c r="F61" i="219"/>
  <c r="F60" i="219"/>
  <c r="F59" i="219"/>
  <c r="F58" i="219"/>
  <c r="F57" i="219"/>
  <c r="F56" i="219"/>
  <c r="F55" i="219"/>
  <c r="F54" i="219"/>
  <c r="F53" i="219"/>
  <c r="K53" i="219" s="1"/>
  <c r="F52" i="219"/>
  <c r="F51" i="219"/>
  <c r="K51" i="219" s="1"/>
  <c r="F50" i="219"/>
  <c r="K50" i="219" s="1"/>
  <c r="F49" i="219"/>
  <c r="K49" i="219" s="1"/>
  <c r="F48" i="219"/>
  <c r="K48" i="219" s="1"/>
  <c r="F45" i="219"/>
  <c r="K45" i="219" s="1"/>
  <c r="F44" i="219"/>
  <c r="F26" i="219" s="1"/>
  <c r="F43" i="219"/>
  <c r="F25" i="219" s="1"/>
  <c r="F42" i="219"/>
  <c r="F24" i="219" s="1"/>
  <c r="F41" i="219"/>
  <c r="F23" i="219" s="1"/>
  <c r="F40" i="219"/>
  <c r="F22" i="219" s="1"/>
  <c r="F39" i="219"/>
  <c r="F21" i="219" s="1"/>
  <c r="F38" i="219"/>
  <c r="F20" i="219" s="1"/>
  <c r="F37" i="219"/>
  <c r="F19" i="219" s="1"/>
  <c r="F36" i="219"/>
  <c r="F18" i="219" s="1"/>
  <c r="F35" i="219"/>
  <c r="K35" i="219" s="1"/>
  <c r="F34" i="219"/>
  <c r="F16" i="219" s="1"/>
  <c r="F33" i="219"/>
  <c r="F32" i="219"/>
  <c r="F31" i="219"/>
  <c r="K31" i="219" s="1"/>
  <c r="F30" i="219"/>
  <c r="F12" i="219" s="1"/>
  <c r="K12" i="219" s="1"/>
  <c r="F81" i="170"/>
  <c r="F81" i="153" s="1"/>
  <c r="K81" i="153" s="1"/>
  <c r="F80" i="170"/>
  <c r="K80" i="170" s="1"/>
  <c r="F79" i="170"/>
  <c r="F79" i="153" s="1"/>
  <c r="F78" i="170"/>
  <c r="K78" i="170" s="1"/>
  <c r="F77" i="170"/>
  <c r="F77" i="153" s="1"/>
  <c r="K77" i="153" s="1"/>
  <c r="F76" i="170"/>
  <c r="K76" i="170" s="1"/>
  <c r="F75" i="170"/>
  <c r="F75" i="153" s="1"/>
  <c r="K75" i="153" s="1"/>
  <c r="F74" i="170"/>
  <c r="K74" i="170" s="1"/>
  <c r="F73" i="170"/>
  <c r="F73" i="153" s="1"/>
  <c r="K73" i="153" s="1"/>
  <c r="F72" i="170"/>
  <c r="F72" i="153" s="1"/>
  <c r="F71" i="170"/>
  <c r="K71" i="170" s="1"/>
  <c r="F70" i="170"/>
  <c r="K70" i="170" s="1"/>
  <c r="F69" i="170"/>
  <c r="F69" i="153" s="1"/>
  <c r="K69" i="153" s="1"/>
  <c r="F68" i="170"/>
  <c r="K68" i="170" s="1"/>
  <c r="F67" i="170"/>
  <c r="K67" i="170" s="1"/>
  <c r="F66" i="170"/>
  <c r="F63" i="170"/>
  <c r="K63" i="170" s="1"/>
  <c r="F62" i="170"/>
  <c r="K62" i="170" s="1"/>
  <c r="F61" i="170"/>
  <c r="F61" i="153" s="1"/>
  <c r="F60" i="170"/>
  <c r="F60" i="153" s="1"/>
  <c r="F59" i="170"/>
  <c r="K59" i="170" s="1"/>
  <c r="F58" i="170"/>
  <c r="F58" i="153" s="1"/>
  <c r="F57" i="170"/>
  <c r="F57" i="153" s="1"/>
  <c r="K57" i="153" s="1"/>
  <c r="F56" i="170"/>
  <c r="K56" i="170" s="1"/>
  <c r="F55" i="170"/>
  <c r="F55" i="153" s="1"/>
  <c r="K55" i="153" s="1"/>
  <c r="F54" i="170"/>
  <c r="F54" i="153" s="1"/>
  <c r="F53" i="170"/>
  <c r="K53" i="170" s="1"/>
  <c r="F52" i="170"/>
  <c r="K52" i="170" s="1"/>
  <c r="F51" i="170"/>
  <c r="F51" i="153" s="1"/>
  <c r="K51" i="153" s="1"/>
  <c r="F50" i="170"/>
  <c r="K50" i="170" s="1"/>
  <c r="F49" i="170"/>
  <c r="K49" i="170" s="1"/>
  <c r="F48" i="170"/>
  <c r="K48" i="170" s="1"/>
  <c r="F45" i="170"/>
  <c r="F44" i="170"/>
  <c r="F44" i="153" s="1"/>
  <c r="F43" i="170"/>
  <c r="F25" i="170" s="1"/>
  <c r="F42" i="170"/>
  <c r="F42" i="153" s="1"/>
  <c r="F41" i="170"/>
  <c r="F40" i="170"/>
  <c r="F40" i="153" s="1"/>
  <c r="F39" i="170"/>
  <c r="F39" i="153" s="1"/>
  <c r="K39" i="153" s="1"/>
  <c r="F38" i="170"/>
  <c r="K38" i="170" s="1"/>
  <c r="F37" i="170"/>
  <c r="F36" i="170"/>
  <c r="F35" i="170"/>
  <c r="F34" i="170"/>
  <c r="F34" i="153" s="1"/>
  <c r="F33" i="170"/>
  <c r="F33" i="153" s="1"/>
  <c r="K33" i="153" s="1"/>
  <c r="F32" i="170"/>
  <c r="F32" i="153" s="1"/>
  <c r="F31" i="170"/>
  <c r="F31" i="153" s="1"/>
  <c r="K31" i="153" s="1"/>
  <c r="F30" i="170"/>
  <c r="F30" i="153" s="1"/>
  <c r="F81" i="220"/>
  <c r="F81" i="217" s="1"/>
  <c r="K81" i="217" s="1"/>
  <c r="F80" i="220"/>
  <c r="K80" i="220" s="1"/>
  <c r="F79" i="220"/>
  <c r="F79" i="217" s="1"/>
  <c r="F78" i="220"/>
  <c r="K78" i="220" s="1"/>
  <c r="F77" i="220"/>
  <c r="F77" i="217" s="1"/>
  <c r="K77" i="217" s="1"/>
  <c r="F76" i="220"/>
  <c r="F76" i="217" s="1"/>
  <c r="F75" i="220"/>
  <c r="F75" i="217" s="1"/>
  <c r="K75" i="217" s="1"/>
  <c r="F74" i="220"/>
  <c r="F74" i="217" s="1"/>
  <c r="K74" i="217" s="1"/>
  <c r="F73" i="217"/>
  <c r="F72" i="220"/>
  <c r="F72" i="217" s="1"/>
  <c r="F71" i="220"/>
  <c r="F71" i="217" s="1"/>
  <c r="K71" i="217" s="1"/>
  <c r="F70" i="220"/>
  <c r="K70" i="220" s="1"/>
  <c r="F69" i="220"/>
  <c r="F69" i="217" s="1"/>
  <c r="K69" i="217" s="1"/>
  <c r="F68" i="220"/>
  <c r="K68" i="220" s="1"/>
  <c r="F67" i="220"/>
  <c r="F67" i="217" s="1"/>
  <c r="F66" i="220"/>
  <c r="K66" i="220" s="1"/>
  <c r="F63" i="220"/>
  <c r="F63" i="217" s="1"/>
  <c r="K63" i="217" s="1"/>
  <c r="F62" i="220"/>
  <c r="K62" i="220" s="1"/>
  <c r="F61" i="220"/>
  <c r="F61" i="217" s="1"/>
  <c r="F60" i="220"/>
  <c r="F60" i="217" s="1"/>
  <c r="F59" i="220"/>
  <c r="F59" i="217" s="1"/>
  <c r="K59" i="217" s="1"/>
  <c r="F58" i="220"/>
  <c r="F58" i="217" s="1"/>
  <c r="F57" i="220"/>
  <c r="F57" i="217" s="1"/>
  <c r="K57" i="217" s="1"/>
  <c r="F56" i="220"/>
  <c r="F56" i="217" s="1"/>
  <c r="K56" i="217" s="1"/>
  <c r="F55" i="217"/>
  <c r="F54" i="220"/>
  <c r="F53" i="220"/>
  <c r="F53" i="217" s="1"/>
  <c r="K53" i="217" s="1"/>
  <c r="F52" i="220"/>
  <c r="K52" i="220" s="1"/>
  <c r="F51" i="220"/>
  <c r="F51" i="217" s="1"/>
  <c r="K51" i="217" s="1"/>
  <c r="F50" i="220"/>
  <c r="K50" i="220" s="1"/>
  <c r="F49" i="220"/>
  <c r="F49" i="217" s="1"/>
  <c r="F48" i="220"/>
  <c r="F45" i="220"/>
  <c r="F44" i="220"/>
  <c r="F43" i="220"/>
  <c r="F43" i="217" s="1"/>
  <c r="F42" i="220"/>
  <c r="F42" i="217" s="1"/>
  <c r="F41" i="220"/>
  <c r="F40" i="220"/>
  <c r="F39" i="220"/>
  <c r="F39" i="217" s="1"/>
  <c r="K39" i="217" s="1"/>
  <c r="F38" i="220"/>
  <c r="F38" i="217" s="1"/>
  <c r="K38" i="217" s="1"/>
  <c r="F36" i="220"/>
  <c r="F36" i="217" s="1"/>
  <c r="F35" i="220"/>
  <c r="F34" i="220"/>
  <c r="F34" i="217" s="1"/>
  <c r="F33" i="220"/>
  <c r="F32" i="220"/>
  <c r="F32" i="217" s="1"/>
  <c r="K32" i="217" s="1"/>
  <c r="F31" i="220"/>
  <c r="F30" i="220"/>
  <c r="K30" i="220" s="1"/>
  <c r="F81" i="171"/>
  <c r="K81" i="171" s="1"/>
  <c r="F80" i="171"/>
  <c r="K80" i="171" s="1"/>
  <c r="F79" i="171"/>
  <c r="F78" i="171"/>
  <c r="K78" i="171" s="1"/>
  <c r="F77" i="171"/>
  <c r="K77" i="171" s="1"/>
  <c r="F76" i="171"/>
  <c r="K76" i="171" s="1"/>
  <c r="F75" i="171"/>
  <c r="K75" i="171" s="1"/>
  <c r="F74" i="171"/>
  <c r="K74" i="171" s="1"/>
  <c r="F73" i="171"/>
  <c r="K73" i="171" s="1"/>
  <c r="F72" i="171"/>
  <c r="F71" i="171"/>
  <c r="K71" i="171" s="1"/>
  <c r="F70" i="171"/>
  <c r="K70" i="171" s="1"/>
  <c r="F69" i="171"/>
  <c r="K69" i="171" s="1"/>
  <c r="F68" i="171"/>
  <c r="K68" i="171" s="1"/>
  <c r="F67" i="171"/>
  <c r="K67" i="171" s="1"/>
  <c r="F66" i="171"/>
  <c r="K66" i="171" s="1"/>
  <c r="F63" i="171"/>
  <c r="K63" i="171" s="1"/>
  <c r="F62" i="171"/>
  <c r="K62" i="171" s="1"/>
  <c r="F61" i="171"/>
  <c r="F60" i="171"/>
  <c r="K60" i="171" s="1"/>
  <c r="F59" i="171"/>
  <c r="K59" i="171" s="1"/>
  <c r="F58" i="171"/>
  <c r="K58" i="171" s="1"/>
  <c r="F57" i="171"/>
  <c r="K57" i="171" s="1"/>
  <c r="F56" i="171"/>
  <c r="K56" i="171" s="1"/>
  <c r="F55" i="171"/>
  <c r="K55" i="171" s="1"/>
  <c r="F54" i="171"/>
  <c r="F53" i="171"/>
  <c r="K53" i="171" s="1"/>
  <c r="F52" i="171"/>
  <c r="K52" i="171" s="1"/>
  <c r="F51" i="171"/>
  <c r="K51" i="171" s="1"/>
  <c r="F50" i="171"/>
  <c r="K50" i="171" s="1"/>
  <c r="F49" i="171"/>
  <c r="K49" i="171" s="1"/>
  <c r="F48" i="171"/>
  <c r="K48" i="171" s="1"/>
  <c r="F45" i="171"/>
  <c r="F44" i="171"/>
  <c r="K44" i="171" s="1"/>
  <c r="F43" i="171"/>
  <c r="F42" i="171"/>
  <c r="K42" i="171" s="1"/>
  <c r="F41" i="171"/>
  <c r="F40" i="171"/>
  <c r="K40" i="171" s="1"/>
  <c r="F39" i="171"/>
  <c r="K39" i="171" s="1"/>
  <c r="F38" i="171"/>
  <c r="K38" i="171" s="1"/>
  <c r="F37" i="171"/>
  <c r="F36" i="171"/>
  <c r="F18" i="171" s="1"/>
  <c r="F35" i="171"/>
  <c r="F34" i="171"/>
  <c r="K34" i="171" s="1"/>
  <c r="F33" i="171"/>
  <c r="F32" i="171"/>
  <c r="K32" i="171" s="1"/>
  <c r="F31" i="171"/>
  <c r="K31" i="171" s="1"/>
  <c r="F30" i="171"/>
  <c r="F12" i="171" s="1"/>
  <c r="F12" i="165"/>
  <c r="F22" i="165"/>
  <c r="F23" i="167"/>
  <c r="F24" i="168"/>
  <c r="F12" i="170"/>
  <c r="F20" i="163"/>
  <c r="F81" i="156"/>
  <c r="F80" i="156"/>
  <c r="F79" i="156"/>
  <c r="F78" i="156"/>
  <c r="F77" i="156"/>
  <c r="F76" i="156"/>
  <c r="F75" i="156"/>
  <c r="F74" i="156"/>
  <c r="F73" i="156"/>
  <c r="F72" i="156"/>
  <c r="K72" i="156" s="1"/>
  <c r="F71" i="156"/>
  <c r="K71" i="156" s="1"/>
  <c r="F70" i="156"/>
  <c r="F69" i="156"/>
  <c r="F68" i="156"/>
  <c r="F67" i="156"/>
  <c r="F66" i="156"/>
  <c r="F63" i="156"/>
  <c r="F62" i="156"/>
  <c r="F61" i="156"/>
  <c r="F60" i="156"/>
  <c r="F59" i="156"/>
  <c r="F58" i="156"/>
  <c r="F57" i="156"/>
  <c r="F56" i="156"/>
  <c r="F55" i="156"/>
  <c r="F54" i="156"/>
  <c r="K54" i="156" s="1"/>
  <c r="F53" i="156"/>
  <c r="K53" i="156" s="1"/>
  <c r="F52" i="156"/>
  <c r="F51" i="156"/>
  <c r="F50" i="156"/>
  <c r="F49" i="156"/>
  <c r="F48" i="156"/>
  <c r="F45" i="156"/>
  <c r="F27" i="156" s="1"/>
  <c r="F44" i="156"/>
  <c r="F26" i="156" s="1"/>
  <c r="F43" i="156"/>
  <c r="F42" i="156"/>
  <c r="F24" i="156" s="1"/>
  <c r="F41" i="156"/>
  <c r="F23" i="156" s="1"/>
  <c r="F40" i="156"/>
  <c r="F22" i="156" s="1"/>
  <c r="F39" i="156"/>
  <c r="F38" i="156"/>
  <c r="F20" i="156" s="1"/>
  <c r="F37" i="156"/>
  <c r="F19" i="156" s="1"/>
  <c r="F36" i="156"/>
  <c r="K36" i="156" s="1"/>
  <c r="F35" i="156"/>
  <c r="F34" i="156"/>
  <c r="F33" i="156"/>
  <c r="F15" i="156" s="1"/>
  <c r="F32" i="156"/>
  <c r="F14" i="156" s="1"/>
  <c r="F31" i="156"/>
  <c r="F30" i="156"/>
  <c r="F81" i="157"/>
  <c r="F80" i="157"/>
  <c r="F79" i="157"/>
  <c r="F78" i="157"/>
  <c r="F77" i="157"/>
  <c r="F76" i="157"/>
  <c r="F75" i="157"/>
  <c r="F74" i="157"/>
  <c r="K74" i="157" s="1"/>
  <c r="F73" i="157"/>
  <c r="F72" i="157"/>
  <c r="K72" i="157" s="1"/>
  <c r="F71" i="157"/>
  <c r="F70" i="157"/>
  <c r="F69" i="157"/>
  <c r="F68" i="157"/>
  <c r="F67" i="157"/>
  <c r="F66" i="157"/>
  <c r="F63" i="157"/>
  <c r="F62" i="157"/>
  <c r="F61" i="157"/>
  <c r="F60" i="157"/>
  <c r="F59" i="157"/>
  <c r="F58" i="157"/>
  <c r="F57" i="157"/>
  <c r="F56" i="157"/>
  <c r="K56" i="157" s="1"/>
  <c r="F55" i="157"/>
  <c r="F54" i="157"/>
  <c r="K54" i="157" s="1"/>
  <c r="F53" i="157"/>
  <c r="F52" i="157"/>
  <c r="F51" i="157"/>
  <c r="F50" i="157"/>
  <c r="F49" i="157"/>
  <c r="F48" i="157"/>
  <c r="F45" i="157"/>
  <c r="F44" i="157"/>
  <c r="F26" i="157" s="1"/>
  <c r="F43" i="157"/>
  <c r="F25" i="157" s="1"/>
  <c r="F42" i="157"/>
  <c r="F41" i="157"/>
  <c r="F40" i="157"/>
  <c r="F39" i="157"/>
  <c r="F38" i="157"/>
  <c r="K38" i="157" s="1"/>
  <c r="F37" i="157"/>
  <c r="F19" i="157" s="1"/>
  <c r="F36" i="157"/>
  <c r="K36" i="157" s="1"/>
  <c r="F35" i="157"/>
  <c r="F34" i="157"/>
  <c r="F33" i="157"/>
  <c r="F15" i="157" s="1"/>
  <c r="F32" i="157"/>
  <c r="F31" i="157"/>
  <c r="F30" i="157"/>
  <c r="F81" i="158"/>
  <c r="F80" i="158"/>
  <c r="F79" i="158"/>
  <c r="K79" i="158" s="1"/>
  <c r="F78" i="158"/>
  <c r="F77" i="158"/>
  <c r="F76" i="158"/>
  <c r="F75" i="158"/>
  <c r="F74" i="158"/>
  <c r="K74" i="158" s="1"/>
  <c r="F73" i="158"/>
  <c r="F72" i="158"/>
  <c r="K72" i="158" s="1"/>
  <c r="F71" i="158"/>
  <c r="F70" i="158"/>
  <c r="F69" i="158"/>
  <c r="F68" i="158"/>
  <c r="F67" i="158"/>
  <c r="F66" i="158"/>
  <c r="F63" i="158"/>
  <c r="F62" i="158"/>
  <c r="F61" i="158"/>
  <c r="K61" i="158" s="1"/>
  <c r="F60" i="158"/>
  <c r="F59" i="158"/>
  <c r="F58" i="158"/>
  <c r="F57" i="158"/>
  <c r="F56" i="158"/>
  <c r="K56" i="158" s="1"/>
  <c r="F55" i="158"/>
  <c r="F54" i="158"/>
  <c r="K54" i="158" s="1"/>
  <c r="F53" i="158"/>
  <c r="F52" i="158"/>
  <c r="F51" i="158"/>
  <c r="F50" i="158"/>
  <c r="F49" i="158"/>
  <c r="F48" i="158"/>
  <c r="F45" i="158"/>
  <c r="F27" i="158" s="1"/>
  <c r="F44" i="158"/>
  <c r="F26" i="158" s="1"/>
  <c r="F43" i="158"/>
  <c r="K43" i="158" s="1"/>
  <c r="F42" i="158"/>
  <c r="F41" i="158"/>
  <c r="F23" i="158" s="1"/>
  <c r="F40" i="158"/>
  <c r="F39" i="158"/>
  <c r="F38" i="158"/>
  <c r="K38" i="158" s="1"/>
  <c r="F37" i="158"/>
  <c r="F19" i="158" s="1"/>
  <c r="F36" i="158"/>
  <c r="K36" i="158" s="1"/>
  <c r="F35" i="158"/>
  <c r="F34" i="158"/>
  <c r="F33" i="158"/>
  <c r="F15" i="158" s="1"/>
  <c r="F32" i="158"/>
  <c r="F31" i="158"/>
  <c r="F30" i="158"/>
  <c r="F81" i="159"/>
  <c r="F80" i="159"/>
  <c r="F79" i="159"/>
  <c r="F78" i="159"/>
  <c r="F77" i="159"/>
  <c r="F76" i="159"/>
  <c r="F75" i="159"/>
  <c r="F74" i="159"/>
  <c r="K74" i="159" s="1"/>
  <c r="F73" i="159"/>
  <c r="F72" i="159"/>
  <c r="K72" i="159" s="1"/>
  <c r="F71" i="159"/>
  <c r="F70" i="159"/>
  <c r="F69" i="159"/>
  <c r="F68" i="159"/>
  <c r="F67" i="159"/>
  <c r="F66" i="159"/>
  <c r="F63" i="159"/>
  <c r="F62" i="159"/>
  <c r="F61" i="159"/>
  <c r="F60" i="159"/>
  <c r="F59" i="159"/>
  <c r="F58" i="159"/>
  <c r="F57" i="159"/>
  <c r="F56" i="159"/>
  <c r="K56" i="159" s="1"/>
  <c r="F55" i="159"/>
  <c r="F54" i="159"/>
  <c r="K54" i="159" s="1"/>
  <c r="F53" i="159"/>
  <c r="F52" i="159"/>
  <c r="F51" i="159"/>
  <c r="F50" i="159"/>
  <c r="F49" i="159"/>
  <c r="F48" i="159"/>
  <c r="F45" i="159"/>
  <c r="F27" i="159" s="1"/>
  <c r="F44" i="159"/>
  <c r="F26" i="159" s="1"/>
  <c r="F43" i="159"/>
  <c r="F42" i="159"/>
  <c r="F41" i="159"/>
  <c r="F23" i="159" s="1"/>
  <c r="F40" i="159"/>
  <c r="F39" i="159"/>
  <c r="F38" i="159"/>
  <c r="K38" i="159" s="1"/>
  <c r="F37" i="159"/>
  <c r="F19" i="159" s="1"/>
  <c r="F36" i="159"/>
  <c r="K36" i="159" s="1"/>
  <c r="F35" i="159"/>
  <c r="F34" i="159"/>
  <c r="F33" i="159"/>
  <c r="F32" i="159"/>
  <c r="F31" i="159"/>
  <c r="F30" i="159"/>
  <c r="F81" i="160"/>
  <c r="F80" i="160"/>
  <c r="F79" i="160"/>
  <c r="K79" i="160" s="1"/>
  <c r="F78" i="160"/>
  <c r="F77" i="160"/>
  <c r="F76" i="160"/>
  <c r="F75" i="160"/>
  <c r="F74" i="160"/>
  <c r="K74" i="160" s="1"/>
  <c r="F73" i="160"/>
  <c r="F72" i="160"/>
  <c r="K72" i="160" s="1"/>
  <c r="F71" i="160"/>
  <c r="K71" i="160" s="1"/>
  <c r="F70" i="160"/>
  <c r="F69" i="160"/>
  <c r="F68" i="160"/>
  <c r="F68" i="151" s="1"/>
  <c r="K68" i="151" s="1"/>
  <c r="F67" i="160"/>
  <c r="F66" i="160"/>
  <c r="F66" i="151" s="1"/>
  <c r="K66" i="151" s="1"/>
  <c r="F63" i="160"/>
  <c r="F62" i="160"/>
  <c r="F61" i="160"/>
  <c r="K61" i="160" s="1"/>
  <c r="F60" i="160"/>
  <c r="F60" i="151" s="1"/>
  <c r="K60" i="151" s="1"/>
  <c r="F59" i="160"/>
  <c r="F58" i="160"/>
  <c r="F58" i="151" s="1"/>
  <c r="K58" i="151" s="1"/>
  <c r="F57" i="160"/>
  <c r="F56" i="160"/>
  <c r="K56" i="160" s="1"/>
  <c r="F55" i="160"/>
  <c r="F54" i="160"/>
  <c r="K54" i="160" s="1"/>
  <c r="F53" i="160"/>
  <c r="K53" i="160" s="1"/>
  <c r="F52" i="160"/>
  <c r="F52" i="151" s="1"/>
  <c r="K52" i="151" s="1"/>
  <c r="F51" i="160"/>
  <c r="F50" i="160"/>
  <c r="F50" i="151" s="1"/>
  <c r="K50" i="151" s="1"/>
  <c r="F49" i="160"/>
  <c r="F48" i="160"/>
  <c r="F48" i="151" s="1"/>
  <c r="K48" i="151" s="1"/>
  <c r="F45" i="160"/>
  <c r="F27" i="160" s="1"/>
  <c r="F44" i="160"/>
  <c r="F26" i="160" s="1"/>
  <c r="F43" i="160"/>
  <c r="K43" i="160" s="1"/>
  <c r="F42" i="160"/>
  <c r="F42" i="151" s="1"/>
  <c r="K42" i="151" s="1"/>
  <c r="F41" i="160"/>
  <c r="F23" i="160" s="1"/>
  <c r="F40" i="160"/>
  <c r="F40" i="151" s="1"/>
  <c r="K40" i="151" s="1"/>
  <c r="F39" i="160"/>
  <c r="F38" i="160"/>
  <c r="K38" i="160" s="1"/>
  <c r="F37" i="160"/>
  <c r="F19" i="160" s="1"/>
  <c r="F36" i="160"/>
  <c r="K36" i="160" s="1"/>
  <c r="F35" i="160"/>
  <c r="F34" i="160"/>
  <c r="F34" i="151" s="1"/>
  <c r="K34" i="151" s="1"/>
  <c r="F33" i="160"/>
  <c r="F15" i="160" s="1"/>
  <c r="F32" i="160"/>
  <c r="F32" i="151" s="1"/>
  <c r="K32" i="151" s="1"/>
  <c r="F31" i="160"/>
  <c r="F30" i="160"/>
  <c r="F30" i="151" s="1"/>
  <c r="K30" i="151" s="1"/>
  <c r="F81" i="161"/>
  <c r="F80" i="161"/>
  <c r="F79" i="161"/>
  <c r="K79" i="161" s="1"/>
  <c r="F78" i="161"/>
  <c r="F78" i="152" s="1"/>
  <c r="F77" i="161"/>
  <c r="F76" i="161"/>
  <c r="F76" i="152" s="1"/>
  <c r="K76" i="152" s="1"/>
  <c r="F75" i="161"/>
  <c r="F74" i="161"/>
  <c r="K74" i="161" s="1"/>
  <c r="F73" i="161"/>
  <c r="F72" i="161"/>
  <c r="K72" i="161" s="1"/>
  <c r="F71" i="161"/>
  <c r="K71" i="161" s="1"/>
  <c r="F70" i="161"/>
  <c r="F70" i="152" s="1"/>
  <c r="K70" i="152" s="1"/>
  <c r="F69" i="161"/>
  <c r="F68" i="161"/>
  <c r="F68" i="152" s="1"/>
  <c r="K68" i="152" s="1"/>
  <c r="F67" i="161"/>
  <c r="F66" i="161"/>
  <c r="F66" i="152" s="1"/>
  <c r="K66" i="152" s="1"/>
  <c r="F63" i="161"/>
  <c r="F62" i="161"/>
  <c r="F61" i="161"/>
  <c r="K61" i="161" s="1"/>
  <c r="F60" i="161"/>
  <c r="F60" i="152" s="1"/>
  <c r="F59" i="161"/>
  <c r="F58" i="161"/>
  <c r="F58" i="152" s="1"/>
  <c r="K58" i="152" s="1"/>
  <c r="F57" i="161"/>
  <c r="F56" i="161"/>
  <c r="K56" i="161" s="1"/>
  <c r="F55" i="161"/>
  <c r="F54" i="161"/>
  <c r="K54" i="161" s="1"/>
  <c r="F53" i="161"/>
  <c r="K53" i="161" s="1"/>
  <c r="F52" i="161"/>
  <c r="F52" i="152" s="1"/>
  <c r="K52" i="152" s="1"/>
  <c r="F51" i="161"/>
  <c r="F50" i="161"/>
  <c r="F50" i="152" s="1"/>
  <c r="K50" i="152" s="1"/>
  <c r="F49" i="161"/>
  <c r="F48" i="161"/>
  <c r="F48" i="152" s="1"/>
  <c r="K48" i="152" s="1"/>
  <c r="F45" i="161"/>
  <c r="F27" i="161" s="1"/>
  <c r="F44" i="161"/>
  <c r="F26" i="161" s="1"/>
  <c r="F43" i="161"/>
  <c r="K43" i="161" s="1"/>
  <c r="F42" i="161"/>
  <c r="F42" i="152" s="1"/>
  <c r="F24" i="152" s="1"/>
  <c r="F41" i="161"/>
  <c r="F23" i="161" s="1"/>
  <c r="F40" i="161"/>
  <c r="F40" i="152" s="1"/>
  <c r="K40" i="152" s="1"/>
  <c r="F39" i="161"/>
  <c r="F38" i="161"/>
  <c r="K38" i="161" s="1"/>
  <c r="F37" i="161"/>
  <c r="F19" i="161" s="1"/>
  <c r="F36" i="161"/>
  <c r="K36" i="161" s="1"/>
  <c r="F35" i="161"/>
  <c r="F17" i="161" s="1"/>
  <c r="F34" i="161"/>
  <c r="F34" i="152" s="1"/>
  <c r="K34" i="152" s="1"/>
  <c r="F33" i="161"/>
  <c r="F15" i="161" s="1"/>
  <c r="F32" i="161"/>
  <c r="F32" i="152" s="1"/>
  <c r="K32" i="152" s="1"/>
  <c r="F31" i="161"/>
  <c r="F30" i="161"/>
  <c r="F30" i="152" s="1"/>
  <c r="K30" i="152" s="1"/>
  <c r="F81" i="218"/>
  <c r="F80" i="218"/>
  <c r="F79" i="218"/>
  <c r="F78" i="218"/>
  <c r="F78" i="216" s="1"/>
  <c r="F77" i="218"/>
  <c r="F76" i="218"/>
  <c r="F76" i="216" s="1"/>
  <c r="F75" i="218"/>
  <c r="F74" i="218"/>
  <c r="K74" i="218" s="1"/>
  <c r="F73" i="218"/>
  <c r="F72" i="218"/>
  <c r="K72" i="218" s="1"/>
  <c r="F71" i="218"/>
  <c r="K71" i="218" s="1"/>
  <c r="F70" i="218"/>
  <c r="F70" i="216" s="1"/>
  <c r="F69" i="218"/>
  <c r="F68" i="218"/>
  <c r="F68" i="216" s="1"/>
  <c r="K68" i="216" s="1"/>
  <c r="F67" i="218"/>
  <c r="F66" i="218"/>
  <c r="F66" i="216" s="1"/>
  <c r="K66" i="216" s="1"/>
  <c r="F63" i="218"/>
  <c r="F62" i="218"/>
  <c r="F61" i="218"/>
  <c r="F60" i="218"/>
  <c r="F60" i="216" s="1"/>
  <c r="F59" i="218"/>
  <c r="F58" i="218"/>
  <c r="F58" i="216" s="1"/>
  <c r="F57" i="218"/>
  <c r="F56" i="218"/>
  <c r="K56" i="218" s="1"/>
  <c r="F55" i="218"/>
  <c r="F54" i="218"/>
  <c r="K54" i="218" s="1"/>
  <c r="F53" i="218"/>
  <c r="K53" i="218" s="1"/>
  <c r="F52" i="218"/>
  <c r="F52" i="216" s="1"/>
  <c r="F51" i="218"/>
  <c r="F50" i="218"/>
  <c r="F50" i="216" s="1"/>
  <c r="K50" i="216" s="1"/>
  <c r="F49" i="218"/>
  <c r="F48" i="218"/>
  <c r="F48" i="216" s="1"/>
  <c r="K48" i="216" s="1"/>
  <c r="F45" i="218"/>
  <c r="F27" i="218" s="1"/>
  <c r="K27" i="218" s="1"/>
  <c r="F44" i="218"/>
  <c r="F26" i="218" s="1"/>
  <c r="F43" i="218"/>
  <c r="F42" i="218"/>
  <c r="F42" i="216" s="1"/>
  <c r="F24" i="216" s="1"/>
  <c r="F41" i="218"/>
  <c r="F23" i="218" s="1"/>
  <c r="F40" i="218"/>
  <c r="F40" i="216" s="1"/>
  <c r="F22" i="216" s="1"/>
  <c r="F39" i="218"/>
  <c r="F21" i="218" s="1"/>
  <c r="K21" i="218" s="1"/>
  <c r="F38" i="218"/>
  <c r="K38" i="218" s="1"/>
  <c r="F37" i="218"/>
  <c r="F19" i="218" s="1"/>
  <c r="F36" i="218"/>
  <c r="K36" i="218" s="1"/>
  <c r="F35" i="218"/>
  <c r="F17" i="218" s="1"/>
  <c r="K17" i="218" s="1"/>
  <c r="F34" i="218"/>
  <c r="F34" i="216" s="1"/>
  <c r="F16" i="216" s="1"/>
  <c r="F33" i="218"/>
  <c r="F15" i="218" s="1"/>
  <c r="K15" i="218" s="1"/>
  <c r="F32" i="218"/>
  <c r="F32" i="216" s="1"/>
  <c r="K32" i="216" s="1"/>
  <c r="F31" i="218"/>
  <c r="F13" i="218" s="1"/>
  <c r="K13" i="218" s="1"/>
  <c r="F30" i="218"/>
  <c r="F30" i="216" s="1"/>
  <c r="K30" i="216" s="1"/>
  <c r="F81" i="162"/>
  <c r="F80" i="162"/>
  <c r="F79" i="162"/>
  <c r="K79" i="162" s="1"/>
  <c r="F78" i="162"/>
  <c r="F77" i="162"/>
  <c r="F76" i="162"/>
  <c r="F75" i="162"/>
  <c r="F74" i="162"/>
  <c r="K74" i="162" s="1"/>
  <c r="F73" i="162"/>
  <c r="F72" i="162"/>
  <c r="K72" i="162" s="1"/>
  <c r="F71" i="162"/>
  <c r="K71" i="162" s="1"/>
  <c r="F70" i="162"/>
  <c r="F69" i="162"/>
  <c r="F68" i="162"/>
  <c r="F67" i="162"/>
  <c r="F66" i="162"/>
  <c r="F63" i="162"/>
  <c r="F62" i="162"/>
  <c r="F61" i="162"/>
  <c r="K61" i="162" s="1"/>
  <c r="F60" i="162"/>
  <c r="F59" i="162"/>
  <c r="F58" i="162"/>
  <c r="F57" i="162"/>
  <c r="F56" i="162"/>
  <c r="K56" i="162" s="1"/>
  <c r="F55" i="162"/>
  <c r="F54" i="162"/>
  <c r="K54" i="162" s="1"/>
  <c r="F53" i="162"/>
  <c r="K53" i="162" s="1"/>
  <c r="F52" i="162"/>
  <c r="F51" i="162"/>
  <c r="F50" i="162"/>
  <c r="F49" i="162"/>
  <c r="F48" i="162"/>
  <c r="F45" i="162"/>
  <c r="F27" i="162" s="1"/>
  <c r="F44" i="162"/>
  <c r="F26" i="162" s="1"/>
  <c r="F43" i="162"/>
  <c r="K43" i="162" s="1"/>
  <c r="F42" i="162"/>
  <c r="F41" i="162"/>
  <c r="F40" i="162"/>
  <c r="F39" i="162"/>
  <c r="F38" i="162"/>
  <c r="K38" i="162" s="1"/>
  <c r="F37" i="162"/>
  <c r="F19" i="162" s="1"/>
  <c r="F36" i="162"/>
  <c r="K36" i="162" s="1"/>
  <c r="F35" i="162"/>
  <c r="F34" i="162"/>
  <c r="F33" i="162"/>
  <c r="F15" i="162" s="1"/>
  <c r="F32" i="162"/>
  <c r="F31" i="162"/>
  <c r="F30" i="162"/>
  <c r="F81" i="155"/>
  <c r="F80" i="155"/>
  <c r="F79" i="155"/>
  <c r="K79" i="155" s="1"/>
  <c r="F78" i="155"/>
  <c r="F78" i="146" s="1"/>
  <c r="K78" i="146" s="1"/>
  <c r="F77" i="155"/>
  <c r="F76" i="155"/>
  <c r="F76" i="146" s="1"/>
  <c r="K76" i="146" s="1"/>
  <c r="F75" i="155"/>
  <c r="F74" i="155"/>
  <c r="K74" i="155" s="1"/>
  <c r="F73" i="155"/>
  <c r="F72" i="155"/>
  <c r="K72" i="155" s="1"/>
  <c r="F71" i="155"/>
  <c r="K71" i="155" s="1"/>
  <c r="F70" i="155"/>
  <c r="F70" i="146" s="1"/>
  <c r="K70" i="146" s="1"/>
  <c r="F69" i="155"/>
  <c r="F68" i="155"/>
  <c r="F68" i="146" s="1"/>
  <c r="K68" i="146" s="1"/>
  <c r="F67" i="155"/>
  <c r="F66" i="155"/>
  <c r="F66" i="146" s="1"/>
  <c r="K66" i="146" s="1"/>
  <c r="F63" i="155"/>
  <c r="F62" i="155"/>
  <c r="F61" i="155"/>
  <c r="K61" i="155" s="1"/>
  <c r="F60" i="155"/>
  <c r="F60" i="146" s="1"/>
  <c r="K60" i="146" s="1"/>
  <c r="F59" i="155"/>
  <c r="F58" i="155"/>
  <c r="F58" i="146" s="1"/>
  <c r="K58" i="146" s="1"/>
  <c r="F57" i="155"/>
  <c r="F56" i="155"/>
  <c r="K56" i="155" s="1"/>
  <c r="F55" i="155"/>
  <c r="F54" i="155"/>
  <c r="K54" i="155" s="1"/>
  <c r="F53" i="155"/>
  <c r="K53" i="155" s="1"/>
  <c r="F52" i="155"/>
  <c r="F52" i="146" s="1"/>
  <c r="K52" i="146" s="1"/>
  <c r="F51" i="155"/>
  <c r="F50" i="155"/>
  <c r="F50" i="146" s="1"/>
  <c r="K50" i="146" s="1"/>
  <c r="F49" i="155"/>
  <c r="F48" i="155"/>
  <c r="F48" i="146" s="1"/>
  <c r="K48" i="146" s="1"/>
  <c r="F45" i="155"/>
  <c r="F27" i="155" s="1"/>
  <c r="F44" i="155"/>
  <c r="F26" i="155" s="1"/>
  <c r="F43" i="155"/>
  <c r="K43" i="155" s="1"/>
  <c r="F42" i="155"/>
  <c r="F42" i="146" s="1"/>
  <c r="K42" i="146" s="1"/>
  <c r="F41" i="155"/>
  <c r="F23" i="155" s="1"/>
  <c r="F40" i="155"/>
  <c r="F40" i="146" s="1"/>
  <c r="K40" i="146" s="1"/>
  <c r="F39" i="155"/>
  <c r="F38" i="155"/>
  <c r="K38" i="155" s="1"/>
  <c r="F37" i="155"/>
  <c r="F19" i="155" s="1"/>
  <c r="F36" i="155"/>
  <c r="K36" i="155" s="1"/>
  <c r="F35" i="155"/>
  <c r="F34" i="155"/>
  <c r="F34" i="146" s="1"/>
  <c r="K34" i="146" s="1"/>
  <c r="F33" i="155"/>
  <c r="F15" i="155" s="1"/>
  <c r="F32" i="155"/>
  <c r="F32" i="146" s="1"/>
  <c r="K32" i="146" s="1"/>
  <c r="F31" i="155"/>
  <c r="F30" i="155"/>
  <c r="F30" i="146" s="1"/>
  <c r="K30" i="146" s="1"/>
  <c r="F17" i="156"/>
  <c r="F21" i="156"/>
  <c r="F25" i="156"/>
  <c r="F13" i="157"/>
  <c r="F23" i="157"/>
  <c r="F27" i="157"/>
  <c r="F21" i="158"/>
  <c r="F15" i="159"/>
  <c r="F25" i="159"/>
  <c r="F25" i="161"/>
  <c r="F25" i="218"/>
  <c r="F23" i="162"/>
  <c r="F25" i="155"/>
  <c r="K27" i="136"/>
  <c r="K26" i="136"/>
  <c r="K25" i="136"/>
  <c r="K24" i="136"/>
  <c r="K23" i="136"/>
  <c r="K22" i="136"/>
  <c r="K21" i="136"/>
  <c r="K20" i="136"/>
  <c r="K19" i="136"/>
  <c r="K18" i="136"/>
  <c r="K17" i="136"/>
  <c r="K16" i="136"/>
  <c r="K15" i="136"/>
  <c r="K14" i="136"/>
  <c r="K13" i="136"/>
  <c r="K12" i="136"/>
  <c r="K27" i="134"/>
  <c r="K26" i="134"/>
  <c r="K24" i="134"/>
  <c r="K23" i="134"/>
  <c r="K22" i="134"/>
  <c r="K21" i="134"/>
  <c r="K19" i="134"/>
  <c r="K17" i="134"/>
  <c r="K16" i="134"/>
  <c r="K15" i="134"/>
  <c r="K14" i="134"/>
  <c r="K13" i="134"/>
  <c r="K12" i="134"/>
  <c r="K27" i="135"/>
  <c r="K26" i="135"/>
  <c r="K25" i="135"/>
  <c r="K24" i="135"/>
  <c r="K23" i="135"/>
  <c r="K22" i="135"/>
  <c r="K21" i="135"/>
  <c r="K20" i="135"/>
  <c r="K19" i="135"/>
  <c r="K18" i="135"/>
  <c r="K17" i="135"/>
  <c r="K16" i="135"/>
  <c r="K15" i="135"/>
  <c r="K14" i="135"/>
  <c r="K13" i="135"/>
  <c r="K12" i="135"/>
  <c r="F27" i="135"/>
  <c r="F26" i="135"/>
  <c r="F25" i="135"/>
  <c r="F24" i="135"/>
  <c r="F23" i="135"/>
  <c r="F22" i="135"/>
  <c r="F21" i="135"/>
  <c r="F20" i="135"/>
  <c r="F19" i="135"/>
  <c r="F18" i="135"/>
  <c r="F17" i="135"/>
  <c r="F16" i="135"/>
  <c r="F15" i="135"/>
  <c r="F14" i="135"/>
  <c r="F13" i="135"/>
  <c r="F12" i="135"/>
  <c r="F27" i="136"/>
  <c r="F26" i="136"/>
  <c r="F25" i="136"/>
  <c r="F24" i="136"/>
  <c r="F23" i="136"/>
  <c r="F22" i="136"/>
  <c r="F21" i="136"/>
  <c r="F20" i="136"/>
  <c r="F19" i="136"/>
  <c r="F18" i="136"/>
  <c r="F17" i="136"/>
  <c r="F16" i="136"/>
  <c r="F16" i="134" s="1"/>
  <c r="F15" i="136"/>
  <c r="F14" i="136"/>
  <c r="F13" i="136"/>
  <c r="F12" i="136"/>
  <c r="F12" i="134" s="1"/>
  <c r="K46" i="226" l="1"/>
  <c r="F25" i="160"/>
  <c r="F25" i="158"/>
  <c r="F30" i="154"/>
  <c r="K30" i="154" s="1"/>
  <c r="F32" i="154"/>
  <c r="K32" i="154" s="1"/>
  <c r="F34" i="154"/>
  <c r="K34" i="154" s="1"/>
  <c r="F40" i="154"/>
  <c r="K40" i="154" s="1"/>
  <c r="F42" i="154"/>
  <c r="K42" i="154" s="1"/>
  <c r="F48" i="154"/>
  <c r="K48" i="154" s="1"/>
  <c r="F50" i="154"/>
  <c r="K50" i="154" s="1"/>
  <c r="F52" i="154"/>
  <c r="K52" i="154" s="1"/>
  <c r="F58" i="154"/>
  <c r="K58" i="154" s="1"/>
  <c r="F60" i="154"/>
  <c r="K60" i="154" s="1"/>
  <c r="F66" i="154"/>
  <c r="K66" i="154" s="1"/>
  <c r="F68" i="154"/>
  <c r="K68" i="154" s="1"/>
  <c r="F70" i="154"/>
  <c r="K70" i="154" s="1"/>
  <c r="F76" i="154"/>
  <c r="K76" i="154" s="1"/>
  <c r="F78" i="154"/>
  <c r="K78" i="154" s="1"/>
  <c r="F13" i="167"/>
  <c r="K80" i="147"/>
  <c r="K42" i="189"/>
  <c r="K32" i="224"/>
  <c r="K54" i="192"/>
  <c r="F46" i="178"/>
  <c r="K14" i="224"/>
  <c r="F27" i="206"/>
  <c r="K41" i="206"/>
  <c r="L15" i="182"/>
  <c r="M148" i="211"/>
  <c r="K16" i="216"/>
  <c r="F43" i="182"/>
  <c r="F21" i="177"/>
  <c r="K57" i="177"/>
  <c r="K39" i="186"/>
  <c r="K213" i="213"/>
  <c r="K57" i="205" s="1"/>
  <c r="K59" i="190"/>
  <c r="K41" i="190"/>
  <c r="K53" i="190"/>
  <c r="K35" i="190"/>
  <c r="K207" i="213"/>
  <c r="K46" i="225"/>
  <c r="K24" i="150"/>
  <c r="K60" i="150"/>
  <c r="K15" i="148"/>
  <c r="K33" i="148"/>
  <c r="K51" i="148"/>
  <c r="K45" i="147"/>
  <c r="K63" i="147"/>
  <c r="K24" i="192"/>
  <c r="K60" i="192"/>
  <c r="K12" i="191"/>
  <c r="K12" i="224"/>
  <c r="F35" i="182"/>
  <c r="F17" i="182" s="1"/>
  <c r="K17" i="182" s="1"/>
  <c r="K35" i="206"/>
  <c r="F17" i="173"/>
  <c r="K17" i="173" s="1"/>
  <c r="K35" i="173"/>
  <c r="K48" i="192"/>
  <c r="K30" i="192"/>
  <c r="K24" i="191"/>
  <c r="K42" i="191"/>
  <c r="K24" i="224"/>
  <c r="K31" i="216"/>
  <c r="K67" i="216"/>
  <c r="F13" i="168"/>
  <c r="F21" i="166"/>
  <c r="K21" i="166" s="1"/>
  <c r="K30" i="153"/>
  <c r="K42" i="153"/>
  <c r="K44" i="153"/>
  <c r="K60" i="153"/>
  <c r="F17" i="206"/>
  <c r="F21" i="206"/>
  <c r="K21" i="206" s="1"/>
  <c r="K55" i="147"/>
  <c r="K27" i="147"/>
  <c r="K62" i="148"/>
  <c r="K37" i="148"/>
  <c r="K19" i="148"/>
  <c r="K14" i="148"/>
  <c r="K48" i="149"/>
  <c r="K30" i="149"/>
  <c r="K35" i="150"/>
  <c r="K17" i="150"/>
  <c r="K70" i="216"/>
  <c r="K34" i="216"/>
  <c r="K15" i="187"/>
  <c r="K33" i="187"/>
  <c r="K19" i="187"/>
  <c r="K23" i="187"/>
  <c r="K20" i="188"/>
  <c r="K15" i="189"/>
  <c r="K21" i="189"/>
  <c r="K14" i="190"/>
  <c r="K15" i="191"/>
  <c r="K15" i="224"/>
  <c r="K17" i="191"/>
  <c r="K17" i="224"/>
  <c r="K21" i="191"/>
  <c r="K21" i="224"/>
  <c r="K41" i="192"/>
  <c r="K71" i="150"/>
  <c r="K42" i="150"/>
  <c r="K52" i="216"/>
  <c r="K50" i="180"/>
  <c r="K49" i="173"/>
  <c r="K57" i="186"/>
  <c r="K33" i="188"/>
  <c r="K58" i="189"/>
  <c r="K31" i="190"/>
  <c r="K17" i="190"/>
  <c r="K23" i="190"/>
  <c r="K30" i="191"/>
  <c r="K60" i="224"/>
  <c r="K60" i="191"/>
  <c r="K12" i="192"/>
  <c r="F14" i="223"/>
  <c r="K14" i="223" s="1"/>
  <c r="K50" i="223"/>
  <c r="K64" i="200"/>
  <c r="K64" i="203"/>
  <c r="K61" i="192"/>
  <c r="K25" i="192"/>
  <c r="F24" i="173"/>
  <c r="K24" i="173" s="1"/>
  <c r="K42" i="173"/>
  <c r="K22" i="192"/>
  <c r="K40" i="192"/>
  <c r="K31" i="192"/>
  <c r="K13" i="192"/>
  <c r="K41" i="191"/>
  <c r="K23" i="191"/>
  <c r="K20" i="189"/>
  <c r="K56" i="189"/>
  <c r="K41" i="216"/>
  <c r="K77" i="216"/>
  <c r="C28" i="208"/>
  <c r="M22" i="208"/>
  <c r="R7" i="209"/>
  <c r="L19" i="182"/>
  <c r="F22" i="206"/>
  <c r="K64" i="226"/>
  <c r="K46" i="203"/>
  <c r="F57" i="182"/>
  <c r="K57" i="182" s="1"/>
  <c r="K59" i="224"/>
  <c r="K13" i="216"/>
  <c r="F64" i="176"/>
  <c r="F63" i="182"/>
  <c r="F51" i="182"/>
  <c r="K51" i="182" s="1"/>
  <c r="F25" i="162"/>
  <c r="K25" i="162" s="1"/>
  <c r="F40" i="217"/>
  <c r="F22" i="217" s="1"/>
  <c r="K22" i="217" s="1"/>
  <c r="F22" i="220"/>
  <c r="K22" i="220" s="1"/>
  <c r="K38" i="165"/>
  <c r="F20" i="165"/>
  <c r="K40" i="163"/>
  <c r="F22" i="163"/>
  <c r="F70" i="151"/>
  <c r="K70" i="151" s="1"/>
  <c r="F76" i="151"/>
  <c r="K76" i="151" s="1"/>
  <c r="F78" i="151"/>
  <c r="K78" i="151" s="1"/>
  <c r="F30" i="150"/>
  <c r="K30" i="150" s="1"/>
  <c r="F32" i="150"/>
  <c r="F34" i="150"/>
  <c r="F40" i="150"/>
  <c r="K40" i="150" s="1"/>
  <c r="F42" i="150"/>
  <c r="F48" i="150"/>
  <c r="K48" i="150" s="1"/>
  <c r="F50" i="150"/>
  <c r="F52" i="150"/>
  <c r="F58" i="150"/>
  <c r="K58" i="150" s="1"/>
  <c r="F60" i="150"/>
  <c r="F66" i="150"/>
  <c r="K66" i="150" s="1"/>
  <c r="F68" i="150"/>
  <c r="F70" i="150"/>
  <c r="F76" i="150"/>
  <c r="K76" i="150" s="1"/>
  <c r="F78" i="150"/>
  <c r="F30" i="149"/>
  <c r="F32" i="149"/>
  <c r="F34" i="149"/>
  <c r="K34" i="149" s="1"/>
  <c r="F40" i="149"/>
  <c r="K40" i="149" s="1"/>
  <c r="F42" i="149"/>
  <c r="K42" i="149" s="1"/>
  <c r="F48" i="149"/>
  <c r="F50" i="149"/>
  <c r="F52" i="149"/>
  <c r="K52" i="149" s="1"/>
  <c r="F58" i="149"/>
  <c r="K58" i="149" s="1"/>
  <c r="F60" i="149"/>
  <c r="K60" i="149" s="1"/>
  <c r="F66" i="149"/>
  <c r="F68" i="149"/>
  <c r="F70" i="149"/>
  <c r="K70" i="149" s="1"/>
  <c r="F76" i="149"/>
  <c r="K76" i="149" s="1"/>
  <c r="F78" i="149"/>
  <c r="K78" i="149" s="1"/>
  <c r="F30" i="148"/>
  <c r="K30" i="148" s="1"/>
  <c r="F32" i="148"/>
  <c r="F34" i="148"/>
  <c r="F40" i="148"/>
  <c r="K40" i="148" s="1"/>
  <c r="F42" i="148"/>
  <c r="F48" i="148"/>
  <c r="K48" i="148" s="1"/>
  <c r="F50" i="148"/>
  <c r="F52" i="148"/>
  <c r="F58" i="148"/>
  <c r="K58" i="148" s="1"/>
  <c r="F60" i="148"/>
  <c r="F66" i="148"/>
  <c r="K66" i="148" s="1"/>
  <c r="F68" i="148"/>
  <c r="F70" i="148"/>
  <c r="F76" i="148"/>
  <c r="K76" i="148" s="1"/>
  <c r="F78" i="148"/>
  <c r="K53" i="185"/>
  <c r="K15" i="192"/>
  <c r="K19" i="192"/>
  <c r="K34" i="173"/>
  <c r="K37" i="190"/>
  <c r="K58" i="224"/>
  <c r="K58" i="191"/>
  <c r="K42" i="192"/>
  <c r="F28" i="187"/>
  <c r="F28" i="189"/>
  <c r="K58" i="206"/>
  <c r="F46" i="176"/>
  <c r="F28" i="176" s="1"/>
  <c r="K43" i="224"/>
  <c r="F25" i="182"/>
  <c r="L28" i="175"/>
  <c r="G28" i="154"/>
  <c r="L28" i="154" s="1"/>
  <c r="S33" i="208"/>
  <c r="L28" i="183"/>
  <c r="F55" i="182"/>
  <c r="K55" i="182" s="1"/>
  <c r="K30" i="224"/>
  <c r="F64" i="206"/>
  <c r="K46" i="199"/>
  <c r="K39" i="182"/>
  <c r="K62" i="206"/>
  <c r="K54" i="206"/>
  <c r="F59" i="182"/>
  <c r="K59" i="182" s="1"/>
  <c r="F41" i="182"/>
  <c r="K41" i="182" s="1"/>
  <c r="F25" i="206"/>
  <c r="K25" i="206" s="1"/>
  <c r="K55" i="224"/>
  <c r="F19" i="182"/>
  <c r="F18" i="156"/>
  <c r="F21" i="163"/>
  <c r="K21" i="163" s="1"/>
  <c r="F20" i="171"/>
  <c r="F21" i="167"/>
  <c r="K21" i="167" s="1"/>
  <c r="F21" i="165"/>
  <c r="F13" i="164"/>
  <c r="K42" i="217"/>
  <c r="K58" i="217"/>
  <c r="K60" i="217"/>
  <c r="K76" i="217"/>
  <c r="K32" i="153"/>
  <c r="K34" i="153"/>
  <c r="K40" i="153"/>
  <c r="K58" i="153"/>
  <c r="F46" i="173"/>
  <c r="F16" i="206"/>
  <c r="K16" i="206" s="1"/>
  <c r="F21" i="205"/>
  <c r="F25" i="205"/>
  <c r="K204" i="213"/>
  <c r="K30" i="205" s="1"/>
  <c r="K21" i="185"/>
  <c r="K61" i="185"/>
  <c r="K34" i="186"/>
  <c r="K27" i="187"/>
  <c r="K14" i="188"/>
  <c r="K22" i="190"/>
  <c r="K27" i="192"/>
  <c r="K33" i="206"/>
  <c r="K55" i="206"/>
  <c r="K49" i="149"/>
  <c r="K44" i="189"/>
  <c r="K45" i="190"/>
  <c r="K48" i="224"/>
  <c r="K32" i="191"/>
  <c r="K22" i="224"/>
  <c r="K40" i="191"/>
  <c r="K214" i="213"/>
  <c r="K40" i="205" s="1"/>
  <c r="F25" i="178"/>
  <c r="F25" i="183"/>
  <c r="F17" i="183"/>
  <c r="K17" i="183" s="1"/>
  <c r="F13" i="183"/>
  <c r="F25" i="222"/>
  <c r="F21" i="222"/>
  <c r="K21" i="222" s="1"/>
  <c r="F13" i="222"/>
  <c r="F25" i="181"/>
  <c r="F21" i="181"/>
  <c r="K21" i="181" s="1"/>
  <c r="F13" i="181"/>
  <c r="K13" i="181" s="1"/>
  <c r="F28" i="188"/>
  <c r="L220" i="213"/>
  <c r="F12" i="205"/>
  <c r="F26" i="205"/>
  <c r="F18" i="205"/>
  <c r="K148" i="213"/>
  <c r="M148" i="213" s="1"/>
  <c r="K37" i="224"/>
  <c r="K76" i="216"/>
  <c r="K64" i="195"/>
  <c r="K26" i="216"/>
  <c r="F14" i="159"/>
  <c r="F24" i="170"/>
  <c r="F20" i="169"/>
  <c r="K20" i="169" s="1"/>
  <c r="F14" i="168"/>
  <c r="K14" i="168" s="1"/>
  <c r="F22" i="167"/>
  <c r="K22" i="167" s="1"/>
  <c r="F20" i="167"/>
  <c r="F12" i="167"/>
  <c r="F24" i="166"/>
  <c r="K24" i="166" s="1"/>
  <c r="F16" i="166"/>
  <c r="F25" i="171"/>
  <c r="F44" i="217"/>
  <c r="K44" i="217" s="1"/>
  <c r="F26" i="220"/>
  <c r="K26" i="220" s="1"/>
  <c r="F54" i="217"/>
  <c r="F18" i="220"/>
  <c r="F36" i="153"/>
  <c r="F18" i="153" s="1"/>
  <c r="F18" i="170"/>
  <c r="K32" i="219"/>
  <c r="F14" i="219"/>
  <c r="K14" i="219" s="1"/>
  <c r="K32" i="169"/>
  <c r="F14" i="169"/>
  <c r="K14" i="169" s="1"/>
  <c r="K40" i="169"/>
  <c r="F22" i="169"/>
  <c r="K22" i="169" s="1"/>
  <c r="K32" i="163"/>
  <c r="F14" i="163"/>
  <c r="K14" i="163" s="1"/>
  <c r="K44" i="163"/>
  <c r="F26" i="163"/>
  <c r="K26" i="163" s="1"/>
  <c r="F30" i="147"/>
  <c r="K30" i="147" s="1"/>
  <c r="F32" i="147"/>
  <c r="F34" i="147"/>
  <c r="F38" i="147"/>
  <c r="F40" i="147"/>
  <c r="F42" i="147"/>
  <c r="F48" i="147"/>
  <c r="K48" i="147" s="1"/>
  <c r="F50" i="147"/>
  <c r="K50" i="147" s="1"/>
  <c r="F52" i="147"/>
  <c r="F56" i="147"/>
  <c r="F58" i="147"/>
  <c r="F60" i="147"/>
  <c r="F66" i="147"/>
  <c r="K66" i="147" s="1"/>
  <c r="F68" i="147"/>
  <c r="F70" i="147"/>
  <c r="F74" i="147"/>
  <c r="F76" i="147"/>
  <c r="F78" i="147"/>
  <c r="K17" i="185"/>
  <c r="K25" i="185"/>
  <c r="K57" i="181"/>
  <c r="K57" i="222"/>
  <c r="K58" i="173"/>
  <c r="K64" i="225"/>
  <c r="F64" i="173"/>
  <c r="F28" i="173" s="1"/>
  <c r="F23" i="173"/>
  <c r="K23" i="173" s="1"/>
  <c r="L28" i="177"/>
  <c r="L28" i="180"/>
  <c r="J25" i="208"/>
  <c r="L19" i="151"/>
  <c r="J28" i="208"/>
  <c r="L19" i="152"/>
  <c r="J19" i="208"/>
  <c r="L19" i="149"/>
  <c r="J34" i="208"/>
  <c r="L19" i="154"/>
  <c r="R28" i="208"/>
  <c r="L27" i="152"/>
  <c r="R19" i="208"/>
  <c r="L27" i="149"/>
  <c r="R34" i="208"/>
  <c r="L27" i="154"/>
  <c r="R25" i="208"/>
  <c r="L27" i="151"/>
  <c r="Q28" i="208"/>
  <c r="L26" i="152"/>
  <c r="Q25" i="208"/>
  <c r="L26" i="151"/>
  <c r="Q34" i="208"/>
  <c r="L26" i="154"/>
  <c r="Q19" i="208"/>
  <c r="L26" i="149"/>
  <c r="Q7" i="209"/>
  <c r="L26" i="182"/>
  <c r="O19" i="208"/>
  <c r="L24" i="149"/>
  <c r="O25" i="208"/>
  <c r="L24" i="151"/>
  <c r="O7" i="209"/>
  <c r="L24" i="182"/>
  <c r="O34" i="208"/>
  <c r="L24" i="154"/>
  <c r="N28" i="208"/>
  <c r="L23" i="152"/>
  <c r="N19" i="208"/>
  <c r="L23" i="149"/>
  <c r="N34" i="208"/>
  <c r="L23" i="154"/>
  <c r="N22" i="208"/>
  <c r="L23" i="150"/>
  <c r="N25" i="208"/>
  <c r="L23" i="151"/>
  <c r="M16" i="208"/>
  <c r="L22" i="148"/>
  <c r="M34" i="208"/>
  <c r="L22" i="154"/>
  <c r="M28" i="208"/>
  <c r="L22" i="152"/>
  <c r="M25" i="208"/>
  <c r="L22" i="151"/>
  <c r="M19" i="208"/>
  <c r="L22" i="149"/>
  <c r="M7" i="209"/>
  <c r="L22" i="182"/>
  <c r="L22" i="208"/>
  <c r="L21" i="150"/>
  <c r="L25" i="208"/>
  <c r="L21" i="151"/>
  <c r="L34" i="208"/>
  <c r="L21" i="154"/>
  <c r="L28" i="208"/>
  <c r="L21" i="152"/>
  <c r="L16" i="208"/>
  <c r="L21" i="148"/>
  <c r="L19" i="208"/>
  <c r="L21" i="149"/>
  <c r="H34" i="208"/>
  <c r="L17" i="154"/>
  <c r="H28" i="208"/>
  <c r="L17" i="152"/>
  <c r="H25" i="208"/>
  <c r="L17" i="151"/>
  <c r="H7" i="209"/>
  <c r="L17" i="182"/>
  <c r="H13" i="208"/>
  <c r="L17" i="147"/>
  <c r="F28" i="208"/>
  <c r="L15" i="152"/>
  <c r="F19" i="208"/>
  <c r="L15" i="149"/>
  <c r="F13" i="208"/>
  <c r="L15" i="147"/>
  <c r="F34" i="208"/>
  <c r="L15" i="154"/>
  <c r="F25" i="208"/>
  <c r="L15" i="151"/>
  <c r="G7" i="209"/>
  <c r="L16" i="182"/>
  <c r="G34" i="208"/>
  <c r="L16" i="154"/>
  <c r="G19" i="208"/>
  <c r="L16" i="149"/>
  <c r="G28" i="208"/>
  <c r="L16" i="152"/>
  <c r="G25" i="208"/>
  <c r="L16" i="151"/>
  <c r="E34" i="208"/>
  <c r="L14" i="154"/>
  <c r="E28" i="208"/>
  <c r="L14" i="152"/>
  <c r="E13" i="208"/>
  <c r="L14" i="147"/>
  <c r="E25" i="208"/>
  <c r="L14" i="151"/>
  <c r="E7" i="209"/>
  <c r="L14" i="182"/>
  <c r="D34" i="208"/>
  <c r="L13" i="154"/>
  <c r="D16" i="208"/>
  <c r="L13" i="148"/>
  <c r="D13" i="208"/>
  <c r="L13" i="147"/>
  <c r="D28" i="208"/>
  <c r="L13" i="152"/>
  <c r="D25" i="208"/>
  <c r="L13" i="151"/>
  <c r="D22" i="208"/>
  <c r="L13" i="150"/>
  <c r="C22" i="208"/>
  <c r="L12" i="150"/>
  <c r="C16" i="208"/>
  <c r="L12" i="148"/>
  <c r="S19" i="208"/>
  <c r="L28" i="149"/>
  <c r="S22" i="208"/>
  <c r="L28" i="150"/>
  <c r="S13" i="209"/>
  <c r="L28" i="174"/>
  <c r="S19" i="209"/>
  <c r="L28" i="176"/>
  <c r="C25" i="208"/>
  <c r="L12" i="151"/>
  <c r="C13" i="208"/>
  <c r="L12" i="147"/>
  <c r="S10" i="208"/>
  <c r="L28" i="146"/>
  <c r="S25" i="208"/>
  <c r="L28" i="151"/>
  <c r="S13" i="208"/>
  <c r="L28" i="147"/>
  <c r="S28" i="208"/>
  <c r="L28" i="152"/>
  <c r="S16" i="208"/>
  <c r="L28" i="148"/>
  <c r="C7" i="209"/>
  <c r="L12" i="182"/>
  <c r="S6" i="209"/>
  <c r="L28" i="206"/>
  <c r="S25" i="209"/>
  <c r="L28" i="178"/>
  <c r="S34" i="209"/>
  <c r="L28" i="181"/>
  <c r="F14" i="162"/>
  <c r="K14" i="162" s="1"/>
  <c r="F24" i="161"/>
  <c r="F18" i="157"/>
  <c r="K18" i="157" s="1"/>
  <c r="F14" i="157"/>
  <c r="F12" i="157"/>
  <c r="K12" i="157" s="1"/>
  <c r="F24" i="171"/>
  <c r="K24" i="171" s="1"/>
  <c r="F14" i="171"/>
  <c r="K44" i="187"/>
  <c r="K62" i="192"/>
  <c r="K40" i="185"/>
  <c r="K12" i="185"/>
  <c r="K15" i="188"/>
  <c r="K21" i="186"/>
  <c r="F64" i="178"/>
  <c r="F28" i="178" s="1"/>
  <c r="F18" i="206"/>
  <c r="K19" i="185"/>
  <c r="K41" i="185"/>
  <c r="F62" i="182"/>
  <c r="K62" i="182" s="1"/>
  <c r="F54" i="182"/>
  <c r="K54" i="189"/>
  <c r="K48" i="189"/>
  <c r="K58" i="187"/>
  <c r="K54" i="187"/>
  <c r="K48" i="187"/>
  <c r="F64" i="175"/>
  <c r="F46" i="181"/>
  <c r="F12" i="182"/>
  <c r="F31" i="182"/>
  <c r="K31" i="182" s="1"/>
  <c r="K25" i="224"/>
  <c r="K61" i="187"/>
  <c r="K23" i="224"/>
  <c r="K49" i="189"/>
  <c r="K57" i="187"/>
  <c r="K53" i="187"/>
  <c r="K49" i="187"/>
  <c r="K64" i="194"/>
  <c r="K46" i="198"/>
  <c r="K16" i="189"/>
  <c r="K53" i="188"/>
  <c r="K51" i="186"/>
  <c r="K52" i="186"/>
  <c r="G28" i="182"/>
  <c r="F22" i="178"/>
  <c r="K22" i="178" s="1"/>
  <c r="F18" i="178"/>
  <c r="F22" i="183"/>
  <c r="K22" i="183" s="1"/>
  <c r="F18" i="183"/>
  <c r="F14" i="183"/>
  <c r="K14" i="183" s="1"/>
  <c r="F26" i="222"/>
  <c r="F22" i="222"/>
  <c r="F18" i="222"/>
  <c r="F22" i="181"/>
  <c r="K22" i="181" s="1"/>
  <c r="F18" i="181"/>
  <c r="F14" i="181"/>
  <c r="K14" i="181" s="1"/>
  <c r="M76" i="211"/>
  <c r="K52" i="148"/>
  <c r="K78" i="150"/>
  <c r="K66" i="149"/>
  <c r="K80" i="148"/>
  <c r="K60" i="148"/>
  <c r="K55" i="148"/>
  <c r="K69" i="148"/>
  <c r="K81" i="147"/>
  <c r="K41" i="147"/>
  <c r="K73" i="147"/>
  <c r="G28" i="217"/>
  <c r="L28" i="217" s="1"/>
  <c r="K81" i="150"/>
  <c r="K61" i="150"/>
  <c r="F20" i="160"/>
  <c r="F24" i="158"/>
  <c r="F18" i="158"/>
  <c r="K18" i="158" s="1"/>
  <c r="F12" i="158"/>
  <c r="F24" i="157"/>
  <c r="F22" i="157"/>
  <c r="F46" i="156"/>
  <c r="K46" i="156" s="1"/>
  <c r="F31" i="146"/>
  <c r="F35" i="146"/>
  <c r="K35" i="146" s="1"/>
  <c r="F39" i="146"/>
  <c r="F49" i="146"/>
  <c r="K49" i="146" s="1"/>
  <c r="F57" i="146"/>
  <c r="F67" i="146"/>
  <c r="K67" i="146" s="1"/>
  <c r="F75" i="146"/>
  <c r="F35" i="216"/>
  <c r="K35" i="216" s="1"/>
  <c r="F39" i="216"/>
  <c r="K39" i="216" s="1"/>
  <c r="F57" i="216"/>
  <c r="K57" i="216" s="1"/>
  <c r="F75" i="216"/>
  <c r="K75" i="216" s="1"/>
  <c r="F31" i="152"/>
  <c r="K31" i="152" s="1"/>
  <c r="F35" i="152"/>
  <c r="K35" i="152" s="1"/>
  <c r="F39" i="152"/>
  <c r="K39" i="152" s="1"/>
  <c r="F49" i="152"/>
  <c r="K49" i="152" s="1"/>
  <c r="F57" i="152"/>
  <c r="K57" i="152" s="1"/>
  <c r="F67" i="152"/>
  <c r="K67" i="152" s="1"/>
  <c r="F75" i="152"/>
  <c r="K75" i="152" s="1"/>
  <c r="F31" i="151"/>
  <c r="K31" i="151" s="1"/>
  <c r="F35" i="151"/>
  <c r="K35" i="151" s="1"/>
  <c r="F39" i="151"/>
  <c r="K39" i="151" s="1"/>
  <c r="F49" i="151"/>
  <c r="K49" i="151" s="1"/>
  <c r="F57" i="151"/>
  <c r="K57" i="151" s="1"/>
  <c r="F67" i="151"/>
  <c r="K67" i="151" s="1"/>
  <c r="F75" i="151"/>
  <c r="K75" i="151" s="1"/>
  <c r="F31" i="150"/>
  <c r="K31" i="150" s="1"/>
  <c r="F39" i="150"/>
  <c r="K39" i="150" s="1"/>
  <c r="F49" i="150"/>
  <c r="K49" i="150" s="1"/>
  <c r="F53" i="150"/>
  <c r="F57" i="150"/>
  <c r="K57" i="150" s="1"/>
  <c r="F67" i="150"/>
  <c r="K67" i="150" s="1"/>
  <c r="F71" i="150"/>
  <c r="F75" i="150"/>
  <c r="K75" i="150" s="1"/>
  <c r="F31" i="149"/>
  <c r="F39" i="149"/>
  <c r="F53" i="149"/>
  <c r="F57" i="149"/>
  <c r="K57" i="149" s="1"/>
  <c r="F71" i="149"/>
  <c r="F75" i="149"/>
  <c r="K75" i="149" s="1"/>
  <c r="F31" i="148"/>
  <c r="K31" i="148" s="1"/>
  <c r="F39" i="148"/>
  <c r="F49" i="148"/>
  <c r="K49" i="148" s="1"/>
  <c r="F53" i="148"/>
  <c r="F57" i="148"/>
  <c r="F67" i="148"/>
  <c r="K67" i="148" s="1"/>
  <c r="F71" i="148"/>
  <c r="F75" i="148"/>
  <c r="F31" i="147"/>
  <c r="K31" i="147" s="1"/>
  <c r="F35" i="147"/>
  <c r="K35" i="147" s="1"/>
  <c r="F39" i="147"/>
  <c r="F57" i="147"/>
  <c r="F67" i="147"/>
  <c r="K67" i="147" s="1"/>
  <c r="F75" i="147"/>
  <c r="F26" i="171"/>
  <c r="K26" i="171" s="1"/>
  <c r="F22" i="171"/>
  <c r="F12" i="220"/>
  <c r="K12" i="220" s="1"/>
  <c r="F21" i="170"/>
  <c r="F17" i="219"/>
  <c r="K17" i="219" s="1"/>
  <c r="F13" i="219"/>
  <c r="K13" i="219" s="1"/>
  <c r="F21" i="169"/>
  <c r="K21" i="169" s="1"/>
  <c r="F21" i="168"/>
  <c r="F64" i="166"/>
  <c r="K64" i="166" s="1"/>
  <c r="M94" i="211"/>
  <c r="K62" i="147"/>
  <c r="K67" i="149"/>
  <c r="K68" i="149"/>
  <c r="K61" i="148"/>
  <c r="K77" i="148"/>
  <c r="K61" i="147"/>
  <c r="K73" i="150"/>
  <c r="K51" i="150"/>
  <c r="F20" i="134"/>
  <c r="F28" i="226"/>
  <c r="K28" i="226" s="1"/>
  <c r="M130" i="211"/>
  <c r="F64" i="205"/>
  <c r="F46" i="206"/>
  <c r="K46" i="206" s="1"/>
  <c r="K184" i="213"/>
  <c r="M184" i="213" s="1"/>
  <c r="K63" i="182"/>
  <c r="K44" i="185"/>
  <c r="K62" i="185"/>
  <c r="K44" i="186"/>
  <c r="K26" i="186"/>
  <c r="K13" i="186"/>
  <c r="K49" i="186"/>
  <c r="K53" i="182"/>
  <c r="K14" i="195"/>
  <c r="F28" i="224"/>
  <c r="F46" i="222"/>
  <c r="F28" i="222" s="1"/>
  <c r="F28" i="196"/>
  <c r="K28" i="196" s="1"/>
  <c r="F46" i="175"/>
  <c r="K12" i="182"/>
  <c r="K39" i="192"/>
  <c r="K21" i="192"/>
  <c r="K35" i="192"/>
  <c r="K17" i="192"/>
  <c r="K45" i="191"/>
  <c r="K27" i="224"/>
  <c r="K27" i="191"/>
  <c r="K61" i="190"/>
  <c r="K43" i="190"/>
  <c r="K78" i="152"/>
  <c r="K24" i="216"/>
  <c r="K24" i="152"/>
  <c r="K78" i="216"/>
  <c r="K60" i="152"/>
  <c r="K62" i="191"/>
  <c r="K44" i="224"/>
  <c r="K62" i="224"/>
  <c r="K37" i="191"/>
  <c r="K19" i="224"/>
  <c r="K19" i="191"/>
  <c r="K52" i="191"/>
  <c r="K34" i="224"/>
  <c r="K52" i="224"/>
  <c r="K31" i="191"/>
  <c r="K13" i="224"/>
  <c r="K13" i="191"/>
  <c r="K130" i="213"/>
  <c r="K64" i="191" s="1"/>
  <c r="K57" i="190"/>
  <c r="K39" i="190"/>
  <c r="K15" i="190"/>
  <c r="K112" i="213"/>
  <c r="M112" i="213" s="1"/>
  <c r="K41" i="189"/>
  <c r="K23" i="189"/>
  <c r="K37" i="189"/>
  <c r="K19" i="189"/>
  <c r="K32" i="186"/>
  <c r="K14" i="186"/>
  <c r="K45" i="185"/>
  <c r="K27" i="185"/>
  <c r="K58" i="216"/>
  <c r="K40" i="216"/>
  <c r="K56" i="191"/>
  <c r="K38" i="224"/>
  <c r="K56" i="224"/>
  <c r="K46" i="197"/>
  <c r="K46" i="195"/>
  <c r="K33" i="185"/>
  <c r="K15" i="185"/>
  <c r="K62" i="216"/>
  <c r="K44" i="216"/>
  <c r="K68" i="150"/>
  <c r="K14" i="150"/>
  <c r="K32" i="150"/>
  <c r="K50" i="150"/>
  <c r="K71" i="149"/>
  <c r="K17" i="149"/>
  <c r="K35" i="149"/>
  <c r="K53" i="149"/>
  <c r="K45" i="148"/>
  <c r="K63" i="148"/>
  <c r="K81" i="148"/>
  <c r="K27" i="148"/>
  <c r="K71" i="148"/>
  <c r="K17" i="148"/>
  <c r="K35" i="148"/>
  <c r="K53" i="148"/>
  <c r="K39" i="147"/>
  <c r="K21" i="147"/>
  <c r="K16" i="202"/>
  <c r="F42" i="182"/>
  <c r="K42" i="182" s="1"/>
  <c r="F24" i="162"/>
  <c r="K24" i="162" s="1"/>
  <c r="F20" i="162"/>
  <c r="F24" i="160"/>
  <c r="F12" i="160"/>
  <c r="F24" i="159"/>
  <c r="F20" i="159"/>
  <c r="F12" i="159"/>
  <c r="K12" i="159" s="1"/>
  <c r="F22" i="158"/>
  <c r="F20" i="158"/>
  <c r="K20" i="158" s="1"/>
  <c r="F20" i="157"/>
  <c r="F12" i="156"/>
  <c r="K12" i="156" s="1"/>
  <c r="F82" i="157"/>
  <c r="K82" i="157" s="1"/>
  <c r="F31" i="154"/>
  <c r="K31" i="154" s="1"/>
  <c r="F35" i="154"/>
  <c r="K35" i="154" s="1"/>
  <c r="F39" i="154"/>
  <c r="K39" i="154" s="1"/>
  <c r="F49" i="154"/>
  <c r="K49" i="154" s="1"/>
  <c r="F57" i="154"/>
  <c r="K57" i="154" s="1"/>
  <c r="F67" i="154"/>
  <c r="K67" i="154" s="1"/>
  <c r="F75" i="154"/>
  <c r="K75" i="154" s="1"/>
  <c r="K39" i="149"/>
  <c r="K39" i="148"/>
  <c r="K57" i="148"/>
  <c r="K75" i="148"/>
  <c r="F24" i="163"/>
  <c r="K24" i="163" s="1"/>
  <c r="F24" i="220"/>
  <c r="K24" i="220" s="1"/>
  <c r="F20" i="220"/>
  <c r="K20" i="220" s="1"/>
  <c r="F14" i="220"/>
  <c r="K14" i="220" s="1"/>
  <c r="F26" i="170"/>
  <c r="K26" i="170" s="1"/>
  <c r="F22" i="170"/>
  <c r="F20" i="170"/>
  <c r="K20" i="170" s="1"/>
  <c r="F14" i="170"/>
  <c r="F26" i="169"/>
  <c r="K26" i="169" s="1"/>
  <c r="F22" i="168"/>
  <c r="F20" i="168"/>
  <c r="K20" i="168" s="1"/>
  <c r="F16" i="168"/>
  <c r="F22" i="166"/>
  <c r="K22" i="166" s="1"/>
  <c r="F20" i="166"/>
  <c r="F14" i="164"/>
  <c r="K14" i="164" s="1"/>
  <c r="K34" i="217"/>
  <c r="F18" i="217"/>
  <c r="K49" i="217"/>
  <c r="K67" i="217"/>
  <c r="F20" i="205"/>
  <c r="K80" i="216"/>
  <c r="K42" i="216"/>
  <c r="K62" i="186"/>
  <c r="K13" i="187"/>
  <c r="K35" i="187"/>
  <c r="K21" i="187"/>
  <c r="K43" i="187"/>
  <c r="K64" i="197"/>
  <c r="K31" i="189"/>
  <c r="K31" i="224"/>
  <c r="K49" i="224"/>
  <c r="K55" i="191"/>
  <c r="K41" i="224"/>
  <c r="K61" i="224"/>
  <c r="K45" i="224"/>
  <c r="K63" i="224"/>
  <c r="K53" i="192"/>
  <c r="K57" i="192"/>
  <c r="K57" i="147"/>
  <c r="K41" i="148"/>
  <c r="K31" i="149"/>
  <c r="K42" i="152"/>
  <c r="K60" i="216"/>
  <c r="K22" i="216"/>
  <c r="K14" i="185"/>
  <c r="K31" i="186"/>
  <c r="K33" i="190"/>
  <c r="K21" i="190"/>
  <c r="K25" i="190"/>
  <c r="K16" i="224"/>
  <c r="K16" i="191"/>
  <c r="K38" i="191"/>
  <c r="K26" i="224"/>
  <c r="K26" i="191"/>
  <c r="K26" i="192"/>
  <c r="K16" i="185"/>
  <c r="K34" i="185"/>
  <c r="K24" i="185"/>
  <c r="K216" i="213"/>
  <c r="K42" i="205" s="1"/>
  <c r="K42" i="185"/>
  <c r="K20" i="185"/>
  <c r="K212" i="213"/>
  <c r="K56" i="185"/>
  <c r="K206" i="213"/>
  <c r="M202" i="211"/>
  <c r="M166" i="211"/>
  <c r="F27" i="182"/>
  <c r="K27" i="182" s="1"/>
  <c r="K61" i="188"/>
  <c r="K43" i="188"/>
  <c r="K57" i="188"/>
  <c r="K39" i="188"/>
  <c r="K27" i="186"/>
  <c r="K63" i="186"/>
  <c r="K59" i="186"/>
  <c r="K23" i="186"/>
  <c r="K19" i="186"/>
  <c r="K37" i="186"/>
  <c r="K78" i="147"/>
  <c r="K42" i="147"/>
  <c r="K24" i="147"/>
  <c r="K60" i="147"/>
  <c r="K34" i="147"/>
  <c r="K52" i="147"/>
  <c r="K70" i="147"/>
  <c r="K14" i="202"/>
  <c r="K22" i="202"/>
  <c r="F64" i="180"/>
  <c r="K64" i="202"/>
  <c r="F14" i="173"/>
  <c r="K14" i="173" s="1"/>
  <c r="K50" i="173"/>
  <c r="K50" i="189"/>
  <c r="K32" i="189"/>
  <c r="K60" i="187"/>
  <c r="K42" i="187"/>
  <c r="K56" i="187"/>
  <c r="K38" i="187"/>
  <c r="K50" i="187"/>
  <c r="K32" i="187"/>
  <c r="F21" i="182"/>
  <c r="K166" i="213"/>
  <c r="M166" i="213" s="1"/>
  <c r="M184" i="211"/>
  <c r="F58" i="182"/>
  <c r="K58" i="182" s="1"/>
  <c r="F44" i="182"/>
  <c r="K44" i="182" s="1"/>
  <c r="F28" i="194"/>
  <c r="K28" i="194" s="1"/>
  <c r="F46" i="177"/>
  <c r="F64" i="181"/>
  <c r="F12" i="155"/>
  <c r="K12" i="155" s="1"/>
  <c r="F35" i="150"/>
  <c r="F17" i="159"/>
  <c r="F35" i="149"/>
  <c r="F17" i="158"/>
  <c r="F35" i="148"/>
  <c r="F17" i="157"/>
  <c r="F49" i="147"/>
  <c r="K49" i="147" s="1"/>
  <c r="F64" i="156"/>
  <c r="K64" i="156" s="1"/>
  <c r="F17" i="155"/>
  <c r="F13" i="155"/>
  <c r="K13" i="155" s="1"/>
  <c r="F17" i="162"/>
  <c r="F17" i="160"/>
  <c r="K17" i="160" s="1"/>
  <c r="K35" i="171"/>
  <c r="F17" i="171"/>
  <c r="K17" i="171" s="1"/>
  <c r="K31" i="220"/>
  <c r="F13" i="220"/>
  <c r="K13" i="220" s="1"/>
  <c r="K35" i="220"/>
  <c r="F17" i="220"/>
  <c r="K17" i="220" s="1"/>
  <c r="F35" i="153"/>
  <c r="K35" i="153" s="1"/>
  <c r="F17" i="170"/>
  <c r="K17" i="170" s="1"/>
  <c r="F17" i="163"/>
  <c r="F13" i="163"/>
  <c r="F17" i="169"/>
  <c r="F17" i="168"/>
  <c r="K17" i="168" s="1"/>
  <c r="F13" i="166"/>
  <c r="K13" i="166" s="1"/>
  <c r="F13" i="165"/>
  <c r="K13" i="165" s="1"/>
  <c r="F17" i="164"/>
  <c r="K70" i="148"/>
  <c r="K58" i="181"/>
  <c r="K50" i="181"/>
  <c r="K49" i="181"/>
  <c r="K58" i="183"/>
  <c r="K32" i="185"/>
  <c r="K50" i="185"/>
  <c r="K52" i="185"/>
  <c r="K46" i="194"/>
  <c r="K33" i="186"/>
  <c r="K41" i="186"/>
  <c r="K35" i="188"/>
  <c r="K34" i="189"/>
  <c r="K44" i="192"/>
  <c r="K19" i="182"/>
  <c r="F15" i="177"/>
  <c r="F27" i="178"/>
  <c r="K27" i="178" s="1"/>
  <c r="F23" i="178"/>
  <c r="K23" i="178" s="1"/>
  <c r="F19" i="178"/>
  <c r="K19" i="178" s="1"/>
  <c r="F15" i="178"/>
  <c r="F27" i="183"/>
  <c r="K27" i="183" s="1"/>
  <c r="F23" i="183"/>
  <c r="K23" i="183" s="1"/>
  <c r="F19" i="183"/>
  <c r="K19" i="183" s="1"/>
  <c r="F15" i="183"/>
  <c r="F27" i="222"/>
  <c r="K27" i="222" s="1"/>
  <c r="F23" i="222"/>
  <c r="F19" i="222"/>
  <c r="F15" i="222"/>
  <c r="K15" i="222" s="1"/>
  <c r="F27" i="181"/>
  <c r="K27" i="181" s="1"/>
  <c r="F23" i="181"/>
  <c r="K23" i="181" s="1"/>
  <c r="F19" i="181"/>
  <c r="K19" i="181" s="1"/>
  <c r="F15" i="181"/>
  <c r="F20" i="182"/>
  <c r="F21" i="162"/>
  <c r="K21" i="162" s="1"/>
  <c r="F21" i="161"/>
  <c r="K21" i="161" s="1"/>
  <c r="F21" i="160"/>
  <c r="F21" i="159"/>
  <c r="K21" i="159" s="1"/>
  <c r="F21" i="157"/>
  <c r="F12" i="162"/>
  <c r="K12" i="162" s="1"/>
  <c r="F43" i="216"/>
  <c r="F61" i="216"/>
  <c r="F79" i="216"/>
  <c r="F43" i="150"/>
  <c r="F61" i="150"/>
  <c r="F79" i="150"/>
  <c r="F43" i="148"/>
  <c r="F61" i="148"/>
  <c r="F79" i="148"/>
  <c r="F43" i="147"/>
  <c r="F61" i="147"/>
  <c r="F79" i="147"/>
  <c r="F25" i="220"/>
  <c r="F24" i="155"/>
  <c r="K24" i="155" s="1"/>
  <c r="F20" i="155"/>
  <c r="K20" i="155" s="1"/>
  <c r="K37" i="182"/>
  <c r="F28" i="200"/>
  <c r="F21" i="155"/>
  <c r="K21" i="155" s="1"/>
  <c r="F21" i="171"/>
  <c r="K21" i="171" s="1"/>
  <c r="F21" i="220"/>
  <c r="K21" i="220" s="1"/>
  <c r="F28" i="191"/>
  <c r="F28" i="186"/>
  <c r="F13" i="162"/>
  <c r="F13" i="161"/>
  <c r="F13" i="160"/>
  <c r="F13" i="159"/>
  <c r="K13" i="159" s="1"/>
  <c r="F13" i="158"/>
  <c r="K13" i="158" s="1"/>
  <c r="F13" i="156"/>
  <c r="K13" i="156" s="1"/>
  <c r="F46" i="155"/>
  <c r="K46" i="155" s="1"/>
  <c r="F64" i="160"/>
  <c r="K64" i="160" s="1"/>
  <c r="F82" i="159"/>
  <c r="K82" i="159" s="1"/>
  <c r="F13" i="171"/>
  <c r="K13" i="171" s="1"/>
  <c r="F13" i="170"/>
  <c r="F13" i="169"/>
  <c r="M112" i="211"/>
  <c r="F64" i="174"/>
  <c r="F64" i="177"/>
  <c r="F28" i="225"/>
  <c r="K28" i="225" s="1"/>
  <c r="F28" i="203"/>
  <c r="K28" i="203" s="1"/>
  <c r="F46" i="165"/>
  <c r="K46" i="165" s="1"/>
  <c r="K21" i="177"/>
  <c r="F13" i="177"/>
  <c r="K13" i="177" s="1"/>
  <c r="K49" i="177"/>
  <c r="F21" i="178"/>
  <c r="K57" i="178"/>
  <c r="F13" i="178"/>
  <c r="K13" i="178" s="1"/>
  <c r="K49" i="178"/>
  <c r="F21" i="183"/>
  <c r="K57" i="183"/>
  <c r="F14" i="178"/>
  <c r="K50" i="178"/>
  <c r="F14" i="222"/>
  <c r="K14" i="222" s="1"/>
  <c r="K50" i="222"/>
  <c r="K49" i="188"/>
  <c r="K31" i="188"/>
  <c r="F23" i="182"/>
  <c r="K59" i="188"/>
  <c r="K41" i="188"/>
  <c r="F46" i="223"/>
  <c r="K46" i="223" s="1"/>
  <c r="K46" i="202"/>
  <c r="K26" i="185"/>
  <c r="K30" i="187"/>
  <c r="K36" i="187"/>
  <c r="K40" i="187"/>
  <c r="K30" i="189"/>
  <c r="K36" i="189"/>
  <c r="K64" i="198"/>
  <c r="K46" i="200"/>
  <c r="F27" i="177"/>
  <c r="F19" i="177"/>
  <c r="F46" i="174"/>
  <c r="F24" i="178"/>
  <c r="K24" i="178" s="1"/>
  <c r="F16" i="178"/>
  <c r="K16" i="178" s="1"/>
  <c r="F24" i="183"/>
  <c r="F16" i="183"/>
  <c r="K16" i="183" s="1"/>
  <c r="F20" i="222"/>
  <c r="F12" i="222"/>
  <c r="K12" i="222" s="1"/>
  <c r="F20" i="181"/>
  <c r="F12" i="181"/>
  <c r="F46" i="183"/>
  <c r="F28" i="183" s="1"/>
  <c r="M40" i="211"/>
  <c r="F14" i="206"/>
  <c r="K14" i="206" s="1"/>
  <c r="F28" i="192"/>
  <c r="F28" i="195"/>
  <c r="F28" i="197"/>
  <c r="F28" i="198"/>
  <c r="F41" i="217"/>
  <c r="K41" i="217" s="1"/>
  <c r="F23" i="220"/>
  <c r="K23" i="220" s="1"/>
  <c r="K33" i="219"/>
  <c r="F15" i="219"/>
  <c r="K15" i="219" s="1"/>
  <c r="K37" i="169"/>
  <c r="F19" i="169"/>
  <c r="K45" i="169"/>
  <c r="F27" i="169"/>
  <c r="K33" i="168"/>
  <c r="F15" i="168"/>
  <c r="K15" i="168" s="1"/>
  <c r="K45" i="168"/>
  <c r="F27" i="168"/>
  <c r="K27" i="168" s="1"/>
  <c r="K37" i="166"/>
  <c r="F19" i="166"/>
  <c r="K19" i="166" s="1"/>
  <c r="K45" i="166"/>
  <c r="F27" i="166"/>
  <c r="K33" i="164"/>
  <c r="F15" i="164"/>
  <c r="K15" i="164" s="1"/>
  <c r="F26" i="178"/>
  <c r="K62" i="178"/>
  <c r="F26" i="181"/>
  <c r="K26" i="181" s="1"/>
  <c r="K62" i="181"/>
  <c r="K64" i="196"/>
  <c r="K13" i="185"/>
  <c r="K205" i="213"/>
  <c r="K13" i="205" s="1"/>
  <c r="K31" i="185"/>
  <c r="K208" i="213"/>
  <c r="K52" i="205" s="1"/>
  <c r="K16" i="187"/>
  <c r="K34" i="187"/>
  <c r="K210" i="213"/>
  <c r="K36" i="185"/>
  <c r="K54" i="185"/>
  <c r="F15" i="182"/>
  <c r="K33" i="182"/>
  <c r="K63" i="188"/>
  <c r="K27" i="188"/>
  <c r="K219" i="213"/>
  <c r="K63" i="205" s="1"/>
  <c r="K45" i="188"/>
  <c r="K55" i="188"/>
  <c r="K19" i="188"/>
  <c r="K37" i="188"/>
  <c r="K76" i="213"/>
  <c r="K25" i="186"/>
  <c r="K43" i="186"/>
  <c r="K217" i="213"/>
  <c r="K61" i="205" s="1"/>
  <c r="K17" i="186"/>
  <c r="K35" i="186"/>
  <c r="K209" i="213"/>
  <c r="K53" i="205" s="1"/>
  <c r="K70" i="150"/>
  <c r="K52" i="150"/>
  <c r="K16" i="150"/>
  <c r="K50" i="148"/>
  <c r="K32" i="148"/>
  <c r="K76" i="147"/>
  <c r="K40" i="147"/>
  <c r="K22" i="147"/>
  <c r="K52" i="192"/>
  <c r="K16" i="192"/>
  <c r="K202" i="213"/>
  <c r="K28" i="192" s="1"/>
  <c r="K45" i="182"/>
  <c r="K14" i="191"/>
  <c r="F14" i="155"/>
  <c r="F22" i="162"/>
  <c r="K22" i="162" s="1"/>
  <c r="F18" i="162"/>
  <c r="K18" i="162" s="1"/>
  <c r="F14" i="160"/>
  <c r="K14" i="160" s="1"/>
  <c r="F22" i="159"/>
  <c r="F18" i="159"/>
  <c r="K18" i="159" s="1"/>
  <c r="F46" i="160"/>
  <c r="K46" i="160" s="1"/>
  <c r="F64" i="158"/>
  <c r="F33" i="146"/>
  <c r="K33" i="146" s="1"/>
  <c r="F37" i="146"/>
  <c r="K37" i="146" s="1"/>
  <c r="F41" i="146"/>
  <c r="K41" i="146" s="1"/>
  <c r="F45" i="146"/>
  <c r="K45" i="146" s="1"/>
  <c r="F51" i="146"/>
  <c r="F55" i="146"/>
  <c r="K55" i="146" s="1"/>
  <c r="F59" i="146"/>
  <c r="K59" i="146" s="1"/>
  <c r="F63" i="146"/>
  <c r="K63" i="146" s="1"/>
  <c r="F69" i="146"/>
  <c r="K69" i="146" s="1"/>
  <c r="F73" i="146"/>
  <c r="K73" i="146" s="1"/>
  <c r="F77" i="146"/>
  <c r="K77" i="146" s="1"/>
  <c r="F81" i="146"/>
  <c r="K81" i="146" s="1"/>
  <c r="F33" i="154"/>
  <c r="K33" i="154" s="1"/>
  <c r="F37" i="154"/>
  <c r="K37" i="154" s="1"/>
  <c r="F41" i="154"/>
  <c r="K41" i="154" s="1"/>
  <c r="F45" i="154"/>
  <c r="K45" i="154" s="1"/>
  <c r="F51" i="154"/>
  <c r="K51" i="154" s="1"/>
  <c r="F55" i="154"/>
  <c r="K55" i="154" s="1"/>
  <c r="F59" i="154"/>
  <c r="K59" i="154" s="1"/>
  <c r="F63" i="154"/>
  <c r="K63" i="154" s="1"/>
  <c r="F69" i="154"/>
  <c r="K69" i="154" s="1"/>
  <c r="F73" i="154"/>
  <c r="K73" i="154" s="1"/>
  <c r="F77" i="154"/>
  <c r="K77" i="154" s="1"/>
  <c r="F81" i="154"/>
  <c r="K81" i="154" s="1"/>
  <c r="F33" i="216"/>
  <c r="K33" i="216" s="1"/>
  <c r="F37" i="216"/>
  <c r="F41" i="216"/>
  <c r="F45" i="216"/>
  <c r="K45" i="216" s="1"/>
  <c r="F51" i="216"/>
  <c r="K51" i="216" s="1"/>
  <c r="F55" i="216"/>
  <c r="F59" i="216"/>
  <c r="F63" i="216"/>
  <c r="K63" i="216" s="1"/>
  <c r="F69" i="216"/>
  <c r="K69" i="216" s="1"/>
  <c r="F73" i="216"/>
  <c r="F77" i="216"/>
  <c r="F81" i="216"/>
  <c r="K81" i="216" s="1"/>
  <c r="F33" i="152"/>
  <c r="K33" i="152" s="1"/>
  <c r="F37" i="152"/>
  <c r="K37" i="152" s="1"/>
  <c r="F41" i="152"/>
  <c r="K41" i="152" s="1"/>
  <c r="F45" i="152"/>
  <c r="K45" i="152" s="1"/>
  <c r="F51" i="152"/>
  <c r="K51" i="152" s="1"/>
  <c r="F55" i="152"/>
  <c r="K55" i="152" s="1"/>
  <c r="F59" i="152"/>
  <c r="K59" i="152" s="1"/>
  <c r="F63" i="152"/>
  <c r="K63" i="152" s="1"/>
  <c r="F69" i="152"/>
  <c r="K69" i="152" s="1"/>
  <c r="F73" i="152"/>
  <c r="K73" i="152" s="1"/>
  <c r="F77" i="152"/>
  <c r="K77" i="152" s="1"/>
  <c r="F81" i="152"/>
  <c r="K81" i="152" s="1"/>
  <c r="F33" i="151"/>
  <c r="K33" i="151" s="1"/>
  <c r="F37" i="151"/>
  <c r="K37" i="151" s="1"/>
  <c r="F41" i="151"/>
  <c r="K41" i="151" s="1"/>
  <c r="F45" i="151"/>
  <c r="K45" i="151" s="1"/>
  <c r="F51" i="151"/>
  <c r="K51" i="151" s="1"/>
  <c r="F55" i="151"/>
  <c r="K55" i="151" s="1"/>
  <c r="F59" i="151"/>
  <c r="K59" i="151" s="1"/>
  <c r="F63" i="151"/>
  <c r="K63" i="151" s="1"/>
  <c r="F69" i="151"/>
  <c r="K69" i="151" s="1"/>
  <c r="F73" i="151"/>
  <c r="K73" i="151" s="1"/>
  <c r="F77" i="151"/>
  <c r="K77" i="151" s="1"/>
  <c r="F81" i="151"/>
  <c r="K81" i="151" s="1"/>
  <c r="F33" i="150"/>
  <c r="F37" i="150"/>
  <c r="F41" i="150"/>
  <c r="K41" i="150" s="1"/>
  <c r="F45" i="150"/>
  <c r="F51" i="150"/>
  <c r="F55" i="150"/>
  <c r="F59" i="150"/>
  <c r="K59" i="150" s="1"/>
  <c r="F63" i="150"/>
  <c r="F69" i="150"/>
  <c r="F73" i="150"/>
  <c r="F77" i="150"/>
  <c r="K77" i="150" s="1"/>
  <c r="F81" i="150"/>
  <c r="F33" i="149"/>
  <c r="K33" i="149" s="1"/>
  <c r="F37" i="149"/>
  <c r="K37" i="149" s="1"/>
  <c r="F41" i="149"/>
  <c r="K41" i="149" s="1"/>
  <c r="F45" i="149"/>
  <c r="K45" i="149" s="1"/>
  <c r="F51" i="149"/>
  <c r="K51" i="149" s="1"/>
  <c r="F55" i="149"/>
  <c r="K55" i="149" s="1"/>
  <c r="F59" i="149"/>
  <c r="K59" i="149" s="1"/>
  <c r="K13" i="169"/>
  <c r="K31" i="158"/>
  <c r="K53" i="183"/>
  <c r="K61" i="186"/>
  <c r="K34" i="192"/>
  <c r="K59" i="185"/>
  <c r="K215" i="213"/>
  <c r="K41" i="205" s="1"/>
  <c r="K23" i="185"/>
  <c r="K14" i="194"/>
  <c r="F26" i="173"/>
  <c r="K62" i="173"/>
  <c r="K37" i="171"/>
  <c r="F19" i="171"/>
  <c r="F33" i="217"/>
  <c r="K33" i="217" s="1"/>
  <c r="F15" i="220"/>
  <c r="K15" i="220" s="1"/>
  <c r="F37" i="217"/>
  <c r="F45" i="217"/>
  <c r="K45" i="217" s="1"/>
  <c r="F27" i="220"/>
  <c r="K27" i="220" s="1"/>
  <c r="K33" i="169"/>
  <c r="F15" i="169"/>
  <c r="K15" i="169" s="1"/>
  <c r="K37" i="168"/>
  <c r="F19" i="168"/>
  <c r="K19" i="168" s="1"/>
  <c r="F17" i="222"/>
  <c r="K17" i="222" s="1"/>
  <c r="K53" i="222"/>
  <c r="F17" i="181"/>
  <c r="K53" i="181"/>
  <c r="F22" i="155"/>
  <c r="K22" i="155" s="1"/>
  <c r="F18" i="155"/>
  <c r="K18" i="155" s="1"/>
  <c r="F22" i="160"/>
  <c r="F18" i="160"/>
  <c r="K18" i="160" s="1"/>
  <c r="F46" i="158"/>
  <c r="K46" i="158" s="1"/>
  <c r="F27" i="163"/>
  <c r="F23" i="163"/>
  <c r="F19" i="163"/>
  <c r="F15" i="170"/>
  <c r="K15" i="170" s="1"/>
  <c r="F27" i="219"/>
  <c r="K27" i="219" s="1"/>
  <c r="K58" i="213"/>
  <c r="K46" i="187" s="1"/>
  <c r="K58" i="147"/>
  <c r="K49" i="185"/>
  <c r="K14" i="180"/>
  <c r="F50" i="182"/>
  <c r="K50" i="182" s="1"/>
  <c r="F14" i="205"/>
  <c r="K33" i="171"/>
  <c r="F15" i="171"/>
  <c r="K41" i="171"/>
  <c r="F23" i="171"/>
  <c r="K45" i="171"/>
  <c r="F27" i="171"/>
  <c r="F37" i="153"/>
  <c r="K37" i="153" s="1"/>
  <c r="F19" i="170"/>
  <c r="F41" i="153"/>
  <c r="K41" i="153" s="1"/>
  <c r="F23" i="170"/>
  <c r="F45" i="153"/>
  <c r="K45" i="153" s="1"/>
  <c r="F27" i="170"/>
  <c r="K27" i="170" s="1"/>
  <c r="K41" i="169"/>
  <c r="F23" i="169"/>
  <c r="K41" i="168"/>
  <c r="F23" i="168"/>
  <c r="K33" i="166"/>
  <c r="F15" i="166"/>
  <c r="K15" i="166" s="1"/>
  <c r="K41" i="166"/>
  <c r="F23" i="166"/>
  <c r="K33" i="163"/>
  <c r="F15" i="163"/>
  <c r="F17" i="178"/>
  <c r="K17" i="178" s="1"/>
  <c r="K53" i="178"/>
  <c r="F26" i="183"/>
  <c r="K26" i="183" s="1"/>
  <c r="K62" i="183"/>
  <c r="F14" i="158"/>
  <c r="F82" i="161"/>
  <c r="K82" i="161" s="1"/>
  <c r="F31" i="216"/>
  <c r="K31" i="218"/>
  <c r="F49" i="216"/>
  <c r="K49" i="218"/>
  <c r="F67" i="216"/>
  <c r="K67" i="218"/>
  <c r="F49" i="149"/>
  <c r="K49" i="158"/>
  <c r="F67" i="149"/>
  <c r="K67" i="158"/>
  <c r="K40" i="213"/>
  <c r="K46" i="186" s="1"/>
  <c r="K36" i="206"/>
  <c r="K34" i="150"/>
  <c r="K18" i="185"/>
  <c r="K53" i="186"/>
  <c r="K52" i="187"/>
  <c r="K211" i="213"/>
  <c r="K19" i="205" s="1"/>
  <c r="K37" i="185"/>
  <c r="K55" i="185"/>
  <c r="F40" i="182"/>
  <c r="F22" i="205"/>
  <c r="K22" i="205" s="1"/>
  <c r="K22" i="185"/>
  <c r="K14" i="192"/>
  <c r="F64" i="219"/>
  <c r="K64" i="219" s="1"/>
  <c r="F82" i="167"/>
  <c r="K82" i="167" s="1"/>
  <c r="F23" i="177"/>
  <c r="K23" i="177" s="1"/>
  <c r="F24" i="222"/>
  <c r="F16" i="222"/>
  <c r="F24" i="181"/>
  <c r="K24" i="181" s="1"/>
  <c r="F16" i="181"/>
  <c r="K16" i="181" s="1"/>
  <c r="F46" i="180"/>
  <c r="F28" i="202"/>
  <c r="K32" i="147"/>
  <c r="K68" i="147"/>
  <c r="K218" i="213"/>
  <c r="K44" i="205" s="1"/>
  <c r="F32" i="182"/>
  <c r="F63" i="149"/>
  <c r="K63" i="149" s="1"/>
  <c r="F69" i="149"/>
  <c r="K69" i="149" s="1"/>
  <c r="F73" i="149"/>
  <c r="K73" i="149" s="1"/>
  <c r="F77" i="149"/>
  <c r="K77" i="149" s="1"/>
  <c r="F81" i="149"/>
  <c r="K81" i="149" s="1"/>
  <c r="F33" i="148"/>
  <c r="F37" i="148"/>
  <c r="F41" i="148"/>
  <c r="F45" i="148"/>
  <c r="F51" i="148"/>
  <c r="F55" i="148"/>
  <c r="F59" i="148"/>
  <c r="F63" i="148"/>
  <c r="F69" i="148"/>
  <c r="F73" i="148"/>
  <c r="F77" i="148"/>
  <c r="F81" i="148"/>
  <c r="F33" i="147"/>
  <c r="K33" i="147" s="1"/>
  <c r="F37" i="147"/>
  <c r="F41" i="147"/>
  <c r="F45" i="147"/>
  <c r="F51" i="147"/>
  <c r="K51" i="147" s="1"/>
  <c r="F55" i="147"/>
  <c r="F59" i="147"/>
  <c r="F63" i="147"/>
  <c r="F69" i="147"/>
  <c r="K69" i="147" s="1"/>
  <c r="F73" i="147"/>
  <c r="F77" i="147"/>
  <c r="F81" i="147"/>
  <c r="K13" i="164"/>
  <c r="F20" i="178"/>
  <c r="F12" i="178"/>
  <c r="K12" i="178" s="1"/>
  <c r="F20" i="183"/>
  <c r="F12" i="183"/>
  <c r="F28" i="190"/>
  <c r="F36" i="182"/>
  <c r="F18" i="182" s="1"/>
  <c r="F64" i="182"/>
  <c r="F16" i="155"/>
  <c r="F16" i="162"/>
  <c r="K16" i="162" s="1"/>
  <c r="F16" i="160"/>
  <c r="F16" i="159"/>
  <c r="F16" i="158"/>
  <c r="K16" i="158" s="1"/>
  <c r="F16" i="157"/>
  <c r="F16" i="156"/>
  <c r="F46" i="161"/>
  <c r="K46" i="161" s="1"/>
  <c r="F46" i="159"/>
  <c r="K46" i="159" s="1"/>
  <c r="F46" i="157"/>
  <c r="K46" i="157" s="1"/>
  <c r="F64" i="161"/>
  <c r="K64" i="161" s="1"/>
  <c r="F64" i="159"/>
  <c r="K64" i="159" s="1"/>
  <c r="F64" i="157"/>
  <c r="K64" i="157" s="1"/>
  <c r="F82" i="155"/>
  <c r="K82" i="155" s="1"/>
  <c r="F82" i="160"/>
  <c r="K82" i="160" s="1"/>
  <c r="F82" i="158"/>
  <c r="K82" i="158" s="1"/>
  <c r="F82" i="156"/>
  <c r="K82" i="156" s="1"/>
  <c r="F16" i="163"/>
  <c r="F16" i="171"/>
  <c r="F16" i="220"/>
  <c r="K16" i="220" s="1"/>
  <c r="F16" i="170"/>
  <c r="K16" i="170" s="1"/>
  <c r="F16" i="169"/>
  <c r="F46" i="170"/>
  <c r="F46" i="153" s="1"/>
  <c r="K22" i="213"/>
  <c r="K94" i="213"/>
  <c r="K64" i="189" s="1"/>
  <c r="K46" i="196"/>
  <c r="F16" i="182"/>
  <c r="F82" i="171"/>
  <c r="K82" i="171" s="1"/>
  <c r="F46" i="169"/>
  <c r="K46" i="169" s="1"/>
  <c r="F46" i="168"/>
  <c r="K46" i="168" s="1"/>
  <c r="F82" i="168"/>
  <c r="K82" i="168" s="1"/>
  <c r="F46" i="166"/>
  <c r="K46" i="166" s="1"/>
  <c r="F82" i="166"/>
  <c r="K82" i="166" s="1"/>
  <c r="F46" i="163"/>
  <c r="F64" i="162"/>
  <c r="K64" i="162" s="1"/>
  <c r="F24" i="218"/>
  <c r="F22" i="218"/>
  <c r="F20" i="218"/>
  <c r="K20" i="218" s="1"/>
  <c r="F18" i="218"/>
  <c r="K18" i="218" s="1"/>
  <c r="F16" i="218"/>
  <c r="F14" i="218"/>
  <c r="K14" i="218" s="1"/>
  <c r="F12" i="218"/>
  <c r="K12" i="218" s="1"/>
  <c r="F22" i="161"/>
  <c r="F20" i="161"/>
  <c r="K20" i="161" s="1"/>
  <c r="F18" i="161"/>
  <c r="K18" i="161" s="1"/>
  <c r="F16" i="161"/>
  <c r="F14" i="161"/>
  <c r="K14" i="161" s="1"/>
  <c r="F12" i="161"/>
  <c r="F46" i="218"/>
  <c r="F64" i="218"/>
  <c r="K64" i="218" s="1"/>
  <c r="F82" i="218"/>
  <c r="K82" i="218" s="1"/>
  <c r="F82" i="170"/>
  <c r="K82" i="170" s="1"/>
  <c r="F82" i="165"/>
  <c r="K82" i="165" s="1"/>
  <c r="F46" i="162"/>
  <c r="K46" i="162" s="1"/>
  <c r="F64" i="155"/>
  <c r="K64" i="155" s="1"/>
  <c r="F82" i="162"/>
  <c r="K82" i="162" s="1"/>
  <c r="F46" i="171"/>
  <c r="K46" i="171" s="1"/>
  <c r="F64" i="220"/>
  <c r="K64" i="220" s="1"/>
  <c r="F46" i="219"/>
  <c r="K46" i="219" s="1"/>
  <c r="F64" i="164"/>
  <c r="K64" i="164" s="1"/>
  <c r="F44" i="146"/>
  <c r="K44" i="146" s="1"/>
  <c r="F62" i="146"/>
  <c r="K62" i="146" s="1"/>
  <c r="F80" i="146"/>
  <c r="K80" i="146" s="1"/>
  <c r="F44" i="154"/>
  <c r="K44" i="154" s="1"/>
  <c r="F62" i="154"/>
  <c r="K62" i="154" s="1"/>
  <c r="F80" i="154"/>
  <c r="K80" i="154" s="1"/>
  <c r="F44" i="216"/>
  <c r="F62" i="216"/>
  <c r="F80" i="216"/>
  <c r="F44" i="152"/>
  <c r="K44" i="152" s="1"/>
  <c r="F62" i="152"/>
  <c r="K62" i="152" s="1"/>
  <c r="F80" i="152"/>
  <c r="K80" i="152" s="1"/>
  <c r="F44" i="151"/>
  <c r="K44" i="151" s="1"/>
  <c r="F62" i="151"/>
  <c r="K62" i="151" s="1"/>
  <c r="F80" i="151"/>
  <c r="K80" i="151" s="1"/>
  <c r="F44" i="150"/>
  <c r="K44" i="150" s="1"/>
  <c r="F62" i="150"/>
  <c r="K62" i="150" s="1"/>
  <c r="F80" i="150"/>
  <c r="K80" i="150" s="1"/>
  <c r="F44" i="149"/>
  <c r="K44" i="149" s="1"/>
  <c r="F62" i="149"/>
  <c r="K62" i="149" s="1"/>
  <c r="F80" i="149"/>
  <c r="K80" i="149" s="1"/>
  <c r="F44" i="148"/>
  <c r="F62" i="148"/>
  <c r="F80" i="148"/>
  <c r="F44" i="147"/>
  <c r="F62" i="147"/>
  <c r="F80" i="147"/>
  <c r="F26" i="168"/>
  <c r="K26" i="168" s="1"/>
  <c r="F26" i="167"/>
  <c r="F26" i="166"/>
  <c r="K26" i="166" s="1"/>
  <c r="F46" i="167"/>
  <c r="K46" i="167" s="1"/>
  <c r="F64" i="163"/>
  <c r="K64" i="163" s="1"/>
  <c r="F64" i="168"/>
  <c r="K64" i="168" s="1"/>
  <c r="F82" i="169"/>
  <c r="K82" i="169" s="1"/>
  <c r="K26" i="187"/>
  <c r="F46" i="164"/>
  <c r="F82" i="164"/>
  <c r="K82" i="164" s="1"/>
  <c r="K75" i="218"/>
  <c r="K39" i="162"/>
  <c r="K39" i="161"/>
  <c r="K21" i="160"/>
  <c r="K39" i="160"/>
  <c r="K39" i="159"/>
  <c r="K21" i="158"/>
  <c r="K39" i="158"/>
  <c r="K21" i="157"/>
  <c r="K39" i="157"/>
  <c r="K57" i="218"/>
  <c r="K57" i="162"/>
  <c r="K57" i="155"/>
  <c r="K39" i="220"/>
  <c r="K75" i="220"/>
  <c r="K39" i="170"/>
  <c r="K75" i="170"/>
  <c r="K21" i="168"/>
  <c r="K39" i="218"/>
  <c r="K39" i="155"/>
  <c r="K57" i="161"/>
  <c r="K75" i="161"/>
  <c r="K57" i="160"/>
  <c r="K75" i="160"/>
  <c r="K57" i="159"/>
  <c r="K75" i="159"/>
  <c r="K57" i="158"/>
  <c r="K75" i="158"/>
  <c r="K57" i="157"/>
  <c r="K75" i="157"/>
  <c r="K57" i="220"/>
  <c r="K21" i="170"/>
  <c r="K57" i="170"/>
  <c r="K21" i="165"/>
  <c r="K75" i="162"/>
  <c r="K75" i="155"/>
  <c r="K13" i="183"/>
  <c r="K14" i="178"/>
  <c r="K15" i="178"/>
  <c r="K15" i="183"/>
  <c r="K15" i="181"/>
  <c r="K12" i="181"/>
  <c r="F24" i="134"/>
  <c r="F35" i="217"/>
  <c r="K35" i="217" s="1"/>
  <c r="F31" i="217"/>
  <c r="K31" i="217" s="1"/>
  <c r="F53" i="153"/>
  <c r="K53" i="153" s="1"/>
  <c r="F49" i="153"/>
  <c r="K49" i="153" s="1"/>
  <c r="F67" i="153"/>
  <c r="K67" i="153" s="1"/>
  <c r="K46" i="185"/>
  <c r="K28" i="189"/>
  <c r="K64" i="223"/>
  <c r="K12" i="161"/>
  <c r="K50" i="218"/>
  <c r="K45" i="218"/>
  <c r="K33" i="218"/>
  <c r="K35" i="162"/>
  <c r="K31" i="162"/>
  <c r="K26" i="162"/>
  <c r="K45" i="155"/>
  <c r="K41" i="155"/>
  <c r="K37" i="155"/>
  <c r="K33" i="155"/>
  <c r="K16" i="155"/>
  <c r="K28" i="199"/>
  <c r="K49" i="205"/>
  <c r="K31" i="205"/>
  <c r="K51" i="205"/>
  <c r="K15" i="205"/>
  <c r="K33" i="205"/>
  <c r="K55" i="205"/>
  <c r="K39" i="205"/>
  <c r="K43" i="205"/>
  <c r="K27" i="205"/>
  <c r="K27" i="161"/>
  <c r="K45" i="161"/>
  <c r="K44" i="161"/>
  <c r="K26" i="161"/>
  <c r="K25" i="161"/>
  <c r="K41" i="161"/>
  <c r="K40" i="161"/>
  <c r="K58" i="161"/>
  <c r="K37" i="161"/>
  <c r="K35" i="161"/>
  <c r="K34" i="161"/>
  <c r="K52" i="161"/>
  <c r="K33" i="161"/>
  <c r="K32" i="161"/>
  <c r="K50" i="161"/>
  <c r="K31" i="161"/>
  <c r="K30" i="161"/>
  <c r="K48" i="161"/>
  <c r="K63" i="160"/>
  <c r="K81" i="160"/>
  <c r="K80" i="160"/>
  <c r="K62" i="160"/>
  <c r="K78" i="160"/>
  <c r="K60" i="160"/>
  <c r="K59" i="160"/>
  <c r="K77" i="160"/>
  <c r="K76" i="160"/>
  <c r="K58" i="160"/>
  <c r="K55" i="160"/>
  <c r="K73" i="160"/>
  <c r="K70" i="160"/>
  <c r="K52" i="160"/>
  <c r="K51" i="160"/>
  <c r="K69" i="160"/>
  <c r="K68" i="160"/>
  <c r="K50" i="160"/>
  <c r="K49" i="160"/>
  <c r="K67" i="160"/>
  <c r="K66" i="160"/>
  <c r="K48" i="160"/>
  <c r="K80" i="159"/>
  <c r="K62" i="159"/>
  <c r="K49" i="159"/>
  <c r="K67" i="159"/>
  <c r="K66" i="159"/>
  <c r="K48" i="159"/>
  <c r="K63" i="158"/>
  <c r="K81" i="158"/>
  <c r="K80" i="158"/>
  <c r="K62" i="158"/>
  <c r="K78" i="158"/>
  <c r="K60" i="158"/>
  <c r="K76" i="158"/>
  <c r="K58" i="158"/>
  <c r="K55" i="158"/>
  <c r="K73" i="158"/>
  <c r="K70" i="158"/>
  <c r="K52" i="158"/>
  <c r="K51" i="158"/>
  <c r="K69" i="158"/>
  <c r="K49" i="157"/>
  <c r="K67" i="157"/>
  <c r="K66" i="157"/>
  <c r="K48" i="157"/>
  <c r="K51" i="156"/>
  <c r="K69" i="156"/>
  <c r="K68" i="156"/>
  <c r="K50" i="156"/>
  <c r="K49" i="156"/>
  <c r="K67" i="156"/>
  <c r="K66" i="156"/>
  <c r="K48" i="156"/>
  <c r="K51" i="146"/>
  <c r="M22" i="211"/>
  <c r="K51" i="218"/>
  <c r="K30" i="218"/>
  <c r="K80" i="162"/>
  <c r="K76" i="162"/>
  <c r="K68" i="162"/>
  <c r="K63" i="162"/>
  <c r="K59" i="162"/>
  <c r="K55" i="162"/>
  <c r="K51" i="162"/>
  <c r="K42" i="162"/>
  <c r="K34" i="162"/>
  <c r="K30" i="162"/>
  <c r="K17" i="162"/>
  <c r="K13" i="162"/>
  <c r="K80" i="155"/>
  <c r="K76" i="155"/>
  <c r="K68" i="155"/>
  <c r="K63" i="155"/>
  <c r="K59" i="155"/>
  <c r="K55" i="155"/>
  <c r="K51" i="155"/>
  <c r="K42" i="155"/>
  <c r="K34" i="155"/>
  <c r="K30" i="155"/>
  <c r="K25" i="155"/>
  <c r="K17" i="155"/>
  <c r="K32" i="205"/>
  <c r="K50" i="205"/>
  <c r="K34" i="205"/>
  <c r="K16" i="205"/>
  <c r="K38" i="205"/>
  <c r="K56" i="205"/>
  <c r="K58" i="205"/>
  <c r="K22" i="171"/>
  <c r="K20" i="171"/>
  <c r="K14" i="171"/>
  <c r="K12" i="171"/>
  <c r="K45" i="170"/>
  <c r="K81" i="170"/>
  <c r="K45" i="220"/>
  <c r="K81" i="220"/>
  <c r="K44" i="220"/>
  <c r="K44" i="170"/>
  <c r="K60" i="170"/>
  <c r="K60" i="220"/>
  <c r="K24" i="170"/>
  <c r="K41" i="220"/>
  <c r="K77" i="220"/>
  <c r="K41" i="170"/>
  <c r="K77" i="170"/>
  <c r="K58" i="170"/>
  <c r="K58" i="220"/>
  <c r="K22" i="170"/>
  <c r="K55" i="170"/>
  <c r="K71" i="220"/>
  <c r="K34" i="220"/>
  <c r="K33" i="220"/>
  <c r="K69" i="220"/>
  <c r="K51" i="170"/>
  <c r="K32" i="220"/>
  <c r="K67" i="220"/>
  <c r="K27" i="169"/>
  <c r="K19" i="169"/>
  <c r="K17" i="169"/>
  <c r="K16" i="169"/>
  <c r="K12" i="169"/>
  <c r="K30" i="169"/>
  <c r="K24" i="168"/>
  <c r="K22" i="168"/>
  <c r="K16" i="168"/>
  <c r="K13" i="168"/>
  <c r="K12" i="168"/>
  <c r="K30" i="168"/>
  <c r="K23" i="167"/>
  <c r="K20" i="167"/>
  <c r="K13" i="167"/>
  <c r="K12" i="167"/>
  <c r="K23" i="166"/>
  <c r="K20" i="166"/>
  <c r="K16" i="166"/>
  <c r="K22" i="165"/>
  <c r="K20" i="165"/>
  <c r="K12" i="165"/>
  <c r="K17" i="164"/>
  <c r="K27" i="163"/>
  <c r="K22" i="163"/>
  <c r="K20" i="163"/>
  <c r="K19" i="163"/>
  <c r="K17" i="163"/>
  <c r="K15" i="163"/>
  <c r="K13" i="163"/>
  <c r="K30" i="163"/>
  <c r="K12" i="163"/>
  <c r="F25" i="174"/>
  <c r="F21" i="174"/>
  <c r="F17" i="174"/>
  <c r="F13" i="174"/>
  <c r="F25" i="175"/>
  <c r="F21" i="175"/>
  <c r="F17" i="175"/>
  <c r="F13" i="175"/>
  <c r="F25" i="176"/>
  <c r="F21" i="176"/>
  <c r="F17" i="176"/>
  <c r="F13" i="176"/>
  <c r="K62" i="162"/>
  <c r="K60" i="162"/>
  <c r="K58" i="162"/>
  <c r="K73" i="162"/>
  <c r="K69" i="162"/>
  <c r="K67" i="162"/>
  <c r="K63" i="218"/>
  <c r="K15" i="161"/>
  <c r="K13" i="161"/>
  <c r="K81" i="155"/>
  <c r="K77" i="155"/>
  <c r="K52" i="155"/>
  <c r="K50" i="155"/>
  <c r="K48" i="155"/>
  <c r="F28" i="223"/>
  <c r="K28" i="223" s="1"/>
  <c r="F24" i="174"/>
  <c r="F20" i="174"/>
  <c r="F16" i="174"/>
  <c r="F12" i="174"/>
  <c r="F24" i="175"/>
  <c r="F20" i="175"/>
  <c r="F16" i="175"/>
  <c r="F12" i="175"/>
  <c r="F24" i="176"/>
  <c r="F20" i="176"/>
  <c r="F16" i="176"/>
  <c r="F12" i="176"/>
  <c r="F24" i="177"/>
  <c r="F20" i="177"/>
  <c r="F16" i="177"/>
  <c r="F12" i="177"/>
  <c r="F63" i="153"/>
  <c r="K63" i="153" s="1"/>
  <c r="F59" i="153"/>
  <c r="K59" i="153" s="1"/>
  <c r="F71" i="153"/>
  <c r="K71" i="153" s="1"/>
  <c r="K28" i="188"/>
  <c r="M202" i="213"/>
  <c r="K22" i="161"/>
  <c r="K81" i="218"/>
  <c r="K69" i="218"/>
  <c r="K48" i="218"/>
  <c r="K35" i="218"/>
  <c r="K45" i="162"/>
  <c r="K41" i="162"/>
  <c r="K37" i="162"/>
  <c r="K33" i="162"/>
  <c r="K20" i="162"/>
  <c r="K35" i="155"/>
  <c r="K31" i="155"/>
  <c r="K26" i="155"/>
  <c r="K14" i="155"/>
  <c r="K40" i="217"/>
  <c r="K12" i="206"/>
  <c r="K13" i="206"/>
  <c r="K15" i="206"/>
  <c r="K17" i="206"/>
  <c r="K18" i="206"/>
  <c r="K19" i="206"/>
  <c r="K20" i="206"/>
  <c r="K22" i="206"/>
  <c r="K23" i="206"/>
  <c r="K24" i="206"/>
  <c r="K26" i="206"/>
  <c r="K27" i="206"/>
  <c r="K63" i="161"/>
  <c r="K81" i="161"/>
  <c r="K80" i="161"/>
  <c r="K62" i="161"/>
  <c r="K59" i="161"/>
  <c r="K77" i="161"/>
  <c r="K76" i="161"/>
  <c r="K55" i="161"/>
  <c r="K73" i="161"/>
  <c r="K70" i="161"/>
  <c r="K51" i="161"/>
  <c r="K69" i="161"/>
  <c r="K68" i="161"/>
  <c r="K49" i="161"/>
  <c r="K67" i="161"/>
  <c r="K66" i="161"/>
  <c r="K27" i="160"/>
  <c r="K45" i="160"/>
  <c r="K44" i="160"/>
  <c r="K26" i="160"/>
  <c r="K25" i="160"/>
  <c r="K42" i="160"/>
  <c r="K24" i="160"/>
  <c r="K23" i="160"/>
  <c r="K41" i="160"/>
  <c r="K40" i="160"/>
  <c r="K20" i="160"/>
  <c r="K19" i="160"/>
  <c r="K37" i="160"/>
  <c r="K35" i="160"/>
  <c r="K34" i="160"/>
  <c r="K15" i="160"/>
  <c r="K33" i="160"/>
  <c r="K32" i="160"/>
  <c r="K13" i="160"/>
  <c r="K31" i="160"/>
  <c r="K30" i="160"/>
  <c r="K12" i="160"/>
  <c r="K44" i="159"/>
  <c r="K26" i="159"/>
  <c r="K20" i="159"/>
  <c r="K31" i="159"/>
  <c r="K30" i="159"/>
  <c r="K27" i="158"/>
  <c r="K45" i="158"/>
  <c r="K44" i="158"/>
  <c r="K26" i="158"/>
  <c r="K25" i="158"/>
  <c r="K42" i="158"/>
  <c r="K24" i="158"/>
  <c r="K40" i="158"/>
  <c r="K22" i="158"/>
  <c r="K19" i="158"/>
  <c r="K37" i="158"/>
  <c r="K34" i="158"/>
  <c r="K15" i="158"/>
  <c r="K33" i="158"/>
  <c r="K20" i="157"/>
  <c r="K13" i="157"/>
  <c r="K31" i="157"/>
  <c r="K30" i="157"/>
  <c r="K18" i="156"/>
  <c r="K17" i="156"/>
  <c r="K35" i="156"/>
  <c r="K15" i="156"/>
  <c r="K33" i="156"/>
  <c r="K32" i="156"/>
  <c r="K14" i="156"/>
  <c r="K31" i="156"/>
  <c r="K30" i="156"/>
  <c r="K31" i="146"/>
  <c r="K75" i="146"/>
  <c r="K57" i="146"/>
  <c r="K39" i="146"/>
  <c r="K32" i="218"/>
  <c r="K78" i="162"/>
  <c r="K70" i="162"/>
  <c r="K66" i="162"/>
  <c r="K49" i="162"/>
  <c r="K44" i="162"/>
  <c r="K40" i="162"/>
  <c r="K32" i="162"/>
  <c r="K27" i="162"/>
  <c r="K23" i="162"/>
  <c r="K19" i="162"/>
  <c r="K15" i="162"/>
  <c r="K78" i="155"/>
  <c r="K70" i="155"/>
  <c r="K66" i="155"/>
  <c r="K49" i="155"/>
  <c r="K44" i="155"/>
  <c r="K40" i="155"/>
  <c r="K32" i="155"/>
  <c r="K27" i="155"/>
  <c r="K23" i="155"/>
  <c r="K19" i="155"/>
  <c r="K15" i="155"/>
  <c r="K23" i="171"/>
  <c r="K19" i="171"/>
  <c r="K30" i="171"/>
  <c r="K63" i="220"/>
  <c r="K42" i="170"/>
  <c r="K42" i="220"/>
  <c r="K59" i="220"/>
  <c r="K23" i="170"/>
  <c r="K40" i="170"/>
  <c r="K40" i="220"/>
  <c r="K76" i="220"/>
  <c r="K19" i="170"/>
  <c r="K37" i="170"/>
  <c r="K73" i="170"/>
  <c r="K53" i="220"/>
  <c r="K35" i="170"/>
  <c r="K34" i="170"/>
  <c r="K51" i="220"/>
  <c r="K33" i="170"/>
  <c r="K69" i="170"/>
  <c r="K32" i="170"/>
  <c r="K14" i="170"/>
  <c r="K49" i="220"/>
  <c r="K13" i="170"/>
  <c r="K31" i="170"/>
  <c r="K30" i="170"/>
  <c r="K66" i="170"/>
  <c r="K48" i="220"/>
  <c r="K12" i="170"/>
  <c r="K30" i="219"/>
  <c r="K23" i="168"/>
  <c r="K66" i="168"/>
  <c r="F27" i="174"/>
  <c r="F23" i="174"/>
  <c r="F19" i="174"/>
  <c r="F15" i="174"/>
  <c r="F27" i="175"/>
  <c r="F23" i="175"/>
  <c r="F19" i="175"/>
  <c r="F15" i="175"/>
  <c r="F27" i="176"/>
  <c r="F23" i="176"/>
  <c r="F19" i="176"/>
  <c r="F15" i="176"/>
  <c r="K81" i="162"/>
  <c r="K77" i="162"/>
  <c r="K52" i="162"/>
  <c r="K50" i="162"/>
  <c r="K48" i="162"/>
  <c r="K23" i="161"/>
  <c r="K19" i="161"/>
  <c r="K17" i="161"/>
  <c r="K68" i="218"/>
  <c r="K66" i="218"/>
  <c r="K62" i="155"/>
  <c r="K60" i="155"/>
  <c r="K58" i="155"/>
  <c r="K73" i="155"/>
  <c r="K69" i="155"/>
  <c r="K67" i="155"/>
  <c r="F26" i="174"/>
  <c r="F22" i="174"/>
  <c r="F18" i="174"/>
  <c r="F14" i="174"/>
  <c r="F26" i="175"/>
  <c r="F22" i="175"/>
  <c r="F18" i="175"/>
  <c r="F14" i="175"/>
  <c r="F26" i="176"/>
  <c r="F22" i="176"/>
  <c r="F18" i="176"/>
  <c r="F14" i="176"/>
  <c r="F26" i="177"/>
  <c r="F22" i="177"/>
  <c r="F18" i="177"/>
  <c r="F14" i="177"/>
  <c r="F46" i="205"/>
  <c r="F28" i="185"/>
  <c r="F12" i="146"/>
  <c r="F14" i="146"/>
  <c r="F16" i="146"/>
  <c r="F36" i="146"/>
  <c r="F38" i="146"/>
  <c r="F22" i="146"/>
  <c r="F24" i="146"/>
  <c r="F54" i="146"/>
  <c r="F56" i="146"/>
  <c r="F72" i="146"/>
  <c r="F74" i="146"/>
  <c r="F12" i="154"/>
  <c r="F14" i="154"/>
  <c r="F16" i="154"/>
  <c r="F36" i="154"/>
  <c r="F38" i="154"/>
  <c r="F22" i="154"/>
  <c r="F24" i="154"/>
  <c r="F54" i="154"/>
  <c r="F56" i="154"/>
  <c r="F72" i="154"/>
  <c r="F74" i="154"/>
  <c r="F12" i="216"/>
  <c r="K12" i="216" s="1"/>
  <c r="F14" i="216"/>
  <c r="K14" i="216" s="1"/>
  <c r="F36" i="216"/>
  <c r="F38" i="216"/>
  <c r="F54" i="216"/>
  <c r="F56" i="216"/>
  <c r="F72" i="216"/>
  <c r="F74" i="216"/>
  <c r="F12" i="152"/>
  <c r="F14" i="152"/>
  <c r="F16" i="152"/>
  <c r="F36" i="152"/>
  <c r="F38" i="152"/>
  <c r="F22" i="152"/>
  <c r="F54" i="152"/>
  <c r="K54" i="152" s="1"/>
  <c r="F56" i="152"/>
  <c r="F72" i="152"/>
  <c r="F74" i="152"/>
  <c r="F12" i="151"/>
  <c r="F14" i="151"/>
  <c r="F16" i="151"/>
  <c r="F36" i="151"/>
  <c r="F38" i="151"/>
  <c r="F24" i="151"/>
  <c r="F54" i="151"/>
  <c r="F56" i="151"/>
  <c r="F72" i="151"/>
  <c r="F74" i="151"/>
  <c r="F36" i="150"/>
  <c r="F38" i="150"/>
  <c r="F54" i="150"/>
  <c r="F56" i="150"/>
  <c r="F72" i="150"/>
  <c r="F74" i="150"/>
  <c r="F36" i="149"/>
  <c r="F38" i="149"/>
  <c r="F22" i="149"/>
  <c r="F54" i="149"/>
  <c r="F56" i="149"/>
  <c r="F72" i="149"/>
  <c r="F74" i="149"/>
  <c r="F36" i="148"/>
  <c r="F38" i="148"/>
  <c r="F54" i="148"/>
  <c r="F56" i="148"/>
  <c r="F72" i="148"/>
  <c r="F74" i="148"/>
  <c r="F14" i="147"/>
  <c r="F36" i="147"/>
  <c r="F54" i="147"/>
  <c r="F72" i="147"/>
  <c r="F64" i="216"/>
  <c r="K64" i="216" s="1"/>
  <c r="F21" i="146"/>
  <c r="F43" i="146"/>
  <c r="F53" i="146"/>
  <c r="K53" i="146" s="1"/>
  <c r="F61" i="146"/>
  <c r="F71" i="146"/>
  <c r="K71" i="146" s="1"/>
  <c r="F79" i="146"/>
  <c r="F15" i="154"/>
  <c r="F19" i="154"/>
  <c r="F43" i="154"/>
  <c r="F53" i="154"/>
  <c r="K53" i="154" s="1"/>
  <c r="F61" i="154"/>
  <c r="K61" i="154" s="1"/>
  <c r="F71" i="154"/>
  <c r="K71" i="154" s="1"/>
  <c r="F79" i="154"/>
  <c r="F27" i="216"/>
  <c r="K27" i="216" s="1"/>
  <c r="F53" i="216"/>
  <c r="K53" i="216" s="1"/>
  <c r="F71" i="216"/>
  <c r="K71" i="216" s="1"/>
  <c r="F43" i="152"/>
  <c r="F53" i="152"/>
  <c r="K53" i="152" s="1"/>
  <c r="F61" i="152"/>
  <c r="F71" i="152"/>
  <c r="K71" i="152" s="1"/>
  <c r="F79" i="152"/>
  <c r="F21" i="151"/>
  <c r="F43" i="151"/>
  <c r="F53" i="151"/>
  <c r="K53" i="151" s="1"/>
  <c r="F61" i="151"/>
  <c r="F71" i="151"/>
  <c r="K71" i="151" s="1"/>
  <c r="F79" i="151"/>
  <c r="F15" i="149"/>
  <c r="F21" i="149"/>
  <c r="F43" i="149"/>
  <c r="F61" i="149"/>
  <c r="F79" i="149"/>
  <c r="F23" i="148"/>
  <c r="F15" i="147"/>
  <c r="F53" i="147"/>
  <c r="K53" i="147" s="1"/>
  <c r="F71" i="147"/>
  <c r="K71" i="147" s="1"/>
  <c r="F64" i="171"/>
  <c r="K64" i="171" s="1"/>
  <c r="F30" i="217"/>
  <c r="K30" i="217" s="1"/>
  <c r="F46" i="220"/>
  <c r="K46" i="220" s="1"/>
  <c r="F20" i="217"/>
  <c r="K20" i="217" s="1"/>
  <c r="F48" i="217"/>
  <c r="K48" i="217" s="1"/>
  <c r="F50" i="217"/>
  <c r="K50" i="217" s="1"/>
  <c r="F52" i="217"/>
  <c r="K52" i="217" s="1"/>
  <c r="F62" i="217"/>
  <c r="K62" i="217" s="1"/>
  <c r="F82" i="220"/>
  <c r="K82" i="220" s="1"/>
  <c r="F66" i="217"/>
  <c r="K66" i="217" s="1"/>
  <c r="F68" i="217"/>
  <c r="K68" i="217" s="1"/>
  <c r="F70" i="217"/>
  <c r="K70" i="217" s="1"/>
  <c r="F78" i="217"/>
  <c r="K78" i="217" s="1"/>
  <c r="F80" i="217"/>
  <c r="K80" i="217" s="1"/>
  <c r="F38" i="153"/>
  <c r="F48" i="153"/>
  <c r="K48" i="153" s="1"/>
  <c r="F64" i="170"/>
  <c r="K64" i="170" s="1"/>
  <c r="F50" i="153"/>
  <c r="K50" i="153" s="1"/>
  <c r="F52" i="153"/>
  <c r="K52" i="153" s="1"/>
  <c r="F56" i="153"/>
  <c r="F62" i="153"/>
  <c r="K62" i="153" s="1"/>
  <c r="F66" i="153"/>
  <c r="K66" i="153" s="1"/>
  <c r="F68" i="153"/>
  <c r="K68" i="153" s="1"/>
  <c r="F70" i="153"/>
  <c r="K70" i="153" s="1"/>
  <c r="F74" i="153"/>
  <c r="F76" i="153"/>
  <c r="K76" i="153" s="1"/>
  <c r="F78" i="153"/>
  <c r="K78" i="153" s="1"/>
  <c r="F80" i="153"/>
  <c r="K80" i="153" s="1"/>
  <c r="F82" i="219"/>
  <c r="K82" i="219" s="1"/>
  <c r="F64" i="169"/>
  <c r="K64" i="169" s="1"/>
  <c r="F64" i="167"/>
  <c r="K64" i="167" s="1"/>
  <c r="F64" i="165"/>
  <c r="K64" i="165" s="1"/>
  <c r="F82" i="163"/>
  <c r="K82" i="163" s="1"/>
  <c r="F19" i="153"/>
  <c r="F15" i="153"/>
  <c r="F25" i="217"/>
  <c r="F21" i="217"/>
  <c r="K21" i="217" s="1"/>
  <c r="F21" i="153"/>
  <c r="F19" i="217"/>
  <c r="F15" i="217"/>
  <c r="K15" i="217" s="1"/>
  <c r="F43" i="153"/>
  <c r="F25" i="153" s="1"/>
  <c r="F28" i="135"/>
  <c r="F14" i="134"/>
  <c r="F18" i="134"/>
  <c r="F22" i="134"/>
  <c r="F26" i="134"/>
  <c r="F28" i="136"/>
  <c r="F13" i="134"/>
  <c r="F15" i="134"/>
  <c r="F17" i="134"/>
  <c r="F19" i="134"/>
  <c r="F21" i="134"/>
  <c r="F23" i="134"/>
  <c r="F25" i="134"/>
  <c r="F27" i="134"/>
  <c r="C79" i="73"/>
  <c r="C80" i="73" s="1"/>
  <c r="C81" i="73" s="1"/>
  <c r="C82" i="73" s="1"/>
  <c r="C83" i="73" s="1"/>
  <c r="C84" i="73" s="1"/>
  <c r="C85" i="73" s="1"/>
  <c r="C86" i="73" s="1"/>
  <c r="C87" i="73" s="1"/>
  <c r="C88" i="73" s="1"/>
  <c r="C78" i="73"/>
  <c r="C77" i="73"/>
  <c r="C76" i="73"/>
  <c r="C67" i="73"/>
  <c r="C68" i="73" s="1"/>
  <c r="C69" i="73" s="1"/>
  <c r="C70" i="73" s="1"/>
  <c r="C71" i="73" s="1"/>
  <c r="C72" i="73" s="1"/>
  <c r="C73" i="73" s="1"/>
  <c r="C74" i="73" s="1"/>
  <c r="C66" i="73"/>
  <c r="C65" i="73"/>
  <c r="C53" i="73"/>
  <c r="C54" i="73" s="1"/>
  <c r="C55" i="73" s="1"/>
  <c r="C56" i="73" s="1"/>
  <c r="C57" i="73" s="1"/>
  <c r="C58" i="73" s="1"/>
  <c r="C59" i="73" s="1"/>
  <c r="C60" i="73" s="1"/>
  <c r="C61" i="73" s="1"/>
  <c r="C62" i="73" s="1"/>
  <c r="C52" i="73"/>
  <c r="C51" i="73"/>
  <c r="C50" i="73"/>
  <c r="C38" i="73"/>
  <c r="C39" i="73" s="1"/>
  <c r="C40" i="73" s="1"/>
  <c r="C41" i="73" s="1"/>
  <c r="C42" i="73" s="1"/>
  <c r="C43" i="73" s="1"/>
  <c r="C44" i="73" s="1"/>
  <c r="C45" i="73" s="1"/>
  <c r="C46" i="73" s="1"/>
  <c r="C37" i="73"/>
  <c r="C36" i="73"/>
  <c r="C27" i="73"/>
  <c r="C28" i="73" s="1"/>
  <c r="C29" i="73" s="1"/>
  <c r="C30" i="73" s="1"/>
  <c r="C31" i="73" s="1"/>
  <c r="C32" i="73" s="1"/>
  <c r="C33" i="73" s="1"/>
  <c r="C26" i="73"/>
  <c r="C25" i="73"/>
  <c r="C24" i="73"/>
  <c r="C12" i="73"/>
  <c r="C11" i="73"/>
  <c r="C7" i="73"/>
  <c r="C9" i="73" s="1"/>
  <c r="C6" i="73"/>
  <c r="F28" i="175" l="1"/>
  <c r="F21" i="148"/>
  <c r="S34" i="208"/>
  <c r="F23" i="217"/>
  <c r="K23" i="217" s="1"/>
  <c r="F13" i="147"/>
  <c r="F27" i="152"/>
  <c r="F21" i="152"/>
  <c r="F12" i="148"/>
  <c r="F22" i="150"/>
  <c r="F22" i="151"/>
  <c r="F28" i="206"/>
  <c r="K28" i="206" s="1"/>
  <c r="K46" i="224"/>
  <c r="K60" i="205"/>
  <c r="K45" i="205"/>
  <c r="K35" i="182"/>
  <c r="K21" i="205"/>
  <c r="F28" i="174"/>
  <c r="K64" i="206"/>
  <c r="F14" i="148"/>
  <c r="F12" i="149"/>
  <c r="F14" i="150"/>
  <c r="F27" i="149"/>
  <c r="F13" i="150"/>
  <c r="K13" i="150" s="1"/>
  <c r="F23" i="151"/>
  <c r="F15" i="151"/>
  <c r="F15" i="152"/>
  <c r="F15" i="216"/>
  <c r="K15" i="216" s="1"/>
  <c r="F13" i="154"/>
  <c r="F23" i="146"/>
  <c r="F15" i="146"/>
  <c r="F22" i="148"/>
  <c r="K22" i="148" s="1"/>
  <c r="F24" i="149"/>
  <c r="F16" i="149"/>
  <c r="K16" i="149" s="1"/>
  <c r="F12" i="150"/>
  <c r="F46" i="147"/>
  <c r="K46" i="147" s="1"/>
  <c r="K64" i="224"/>
  <c r="M130" i="213"/>
  <c r="K64" i="183" s="1"/>
  <c r="K62" i="205"/>
  <c r="K48" i="205"/>
  <c r="K46" i="190"/>
  <c r="F26" i="182"/>
  <c r="K26" i="182" s="1"/>
  <c r="F28" i="180"/>
  <c r="F24" i="148"/>
  <c r="F16" i="148"/>
  <c r="F14" i="149"/>
  <c r="F24" i="150"/>
  <c r="F16" i="150"/>
  <c r="K64" i="180"/>
  <c r="F13" i="146"/>
  <c r="F27" i="153"/>
  <c r="F13" i="148"/>
  <c r="K13" i="148" s="1"/>
  <c r="F19" i="149"/>
  <c r="F21" i="150"/>
  <c r="K21" i="150" s="1"/>
  <c r="F27" i="151"/>
  <c r="F19" i="151"/>
  <c r="K19" i="151" s="1"/>
  <c r="F13" i="151"/>
  <c r="F19" i="152"/>
  <c r="K19" i="152" s="1"/>
  <c r="F13" i="152"/>
  <c r="F21" i="216"/>
  <c r="K21" i="216" s="1"/>
  <c r="F27" i="154"/>
  <c r="F21" i="154"/>
  <c r="K21" i="154" s="1"/>
  <c r="F27" i="146"/>
  <c r="F19" i="146"/>
  <c r="K19" i="146" s="1"/>
  <c r="F12" i="147"/>
  <c r="F46" i="151"/>
  <c r="K46" i="170"/>
  <c r="K46" i="191"/>
  <c r="K24" i="205"/>
  <c r="K37" i="205"/>
  <c r="K17" i="205"/>
  <c r="K12" i="205"/>
  <c r="M94" i="213"/>
  <c r="K64" i="190"/>
  <c r="F82" i="154"/>
  <c r="K82" i="154" s="1"/>
  <c r="F13" i="182"/>
  <c r="K13" i="182" s="1"/>
  <c r="F28" i="177"/>
  <c r="F17" i="148"/>
  <c r="F17" i="149"/>
  <c r="F17" i="150"/>
  <c r="F28" i="181"/>
  <c r="F24" i="147"/>
  <c r="F20" i="147"/>
  <c r="F22" i="147"/>
  <c r="F16" i="147"/>
  <c r="F26" i="148"/>
  <c r="F17" i="217"/>
  <c r="K17" i="217" s="1"/>
  <c r="F64" i="147"/>
  <c r="K64" i="147" s="1"/>
  <c r="F46" i="154"/>
  <c r="F26" i="151"/>
  <c r="K26" i="151" s="1"/>
  <c r="F26" i="152"/>
  <c r="K26" i="152" s="1"/>
  <c r="F46" i="149"/>
  <c r="K46" i="149" s="1"/>
  <c r="F82" i="153"/>
  <c r="F28" i="160"/>
  <c r="K28" i="160" s="1"/>
  <c r="K26" i="205"/>
  <c r="K35" i="205"/>
  <c r="K46" i="189"/>
  <c r="F28" i="156"/>
  <c r="F21" i="147"/>
  <c r="S7" i="209"/>
  <c r="L28" i="182"/>
  <c r="K64" i="185"/>
  <c r="M58" i="213"/>
  <c r="K64" i="175" s="1"/>
  <c r="K64" i="192"/>
  <c r="K25" i="205"/>
  <c r="M40" i="213"/>
  <c r="K46" i="174" s="1"/>
  <c r="K59" i="205"/>
  <c r="M76" i="213"/>
  <c r="K46" i="176" s="1"/>
  <c r="K36" i="205"/>
  <c r="K28" i="224"/>
  <c r="F46" i="182"/>
  <c r="K20" i="205"/>
  <c r="K14" i="205"/>
  <c r="K28" i="190"/>
  <c r="K28" i="186"/>
  <c r="F24" i="182"/>
  <c r="F28" i="165"/>
  <c r="K21" i="182"/>
  <c r="K46" i="151"/>
  <c r="K46" i="153"/>
  <c r="K46" i="154"/>
  <c r="K82" i="153"/>
  <c r="F13" i="153"/>
  <c r="K13" i="153" s="1"/>
  <c r="F13" i="217"/>
  <c r="K13" i="217" s="1"/>
  <c r="F23" i="153"/>
  <c r="K23" i="153" s="1"/>
  <c r="F28" i="158"/>
  <c r="F25" i="148"/>
  <c r="F25" i="216"/>
  <c r="F28" i="157"/>
  <c r="K28" i="157" s="1"/>
  <c r="F82" i="150"/>
  <c r="F64" i="149"/>
  <c r="F46" i="148"/>
  <c r="F82" i="149"/>
  <c r="K64" i="158"/>
  <c r="K46" i="192"/>
  <c r="K28" i="191"/>
  <c r="K46" i="180"/>
  <c r="M22" i="213"/>
  <c r="K64" i="173" s="1"/>
  <c r="K64" i="186"/>
  <c r="F46" i="146"/>
  <c r="K28" i="200"/>
  <c r="F25" i="147"/>
  <c r="F25" i="150"/>
  <c r="F13" i="149"/>
  <c r="F64" i="146"/>
  <c r="K64" i="146" s="1"/>
  <c r="F13" i="216"/>
  <c r="K28" i="195"/>
  <c r="K23" i="182"/>
  <c r="K21" i="183"/>
  <c r="K21" i="178"/>
  <c r="K28" i="197"/>
  <c r="K28" i="198"/>
  <c r="K24" i="182"/>
  <c r="K28" i="180"/>
  <c r="K26" i="173"/>
  <c r="F23" i="216"/>
  <c r="F15" i="148"/>
  <c r="K28" i="202"/>
  <c r="F27" i="217"/>
  <c r="K27" i="217" s="1"/>
  <c r="F23" i="149"/>
  <c r="K23" i="149" s="1"/>
  <c r="F23" i="150"/>
  <c r="K23" i="150" s="1"/>
  <c r="F23" i="152"/>
  <c r="K23" i="152" s="1"/>
  <c r="F23" i="154"/>
  <c r="K23" i="154" s="1"/>
  <c r="F64" i="217"/>
  <c r="K64" i="217" s="1"/>
  <c r="K15" i="171"/>
  <c r="K16" i="160"/>
  <c r="K22" i="160"/>
  <c r="K28" i="187"/>
  <c r="K64" i="188"/>
  <c r="K23" i="163"/>
  <c r="K16" i="171"/>
  <c r="K18" i="205"/>
  <c r="K23" i="205"/>
  <c r="K16" i="161"/>
  <c r="F28" i="161"/>
  <c r="F46" i="216"/>
  <c r="K46" i="216" s="1"/>
  <c r="F27" i="147"/>
  <c r="F27" i="148"/>
  <c r="F19" i="150"/>
  <c r="F19" i="216"/>
  <c r="K15" i="182"/>
  <c r="K27" i="171"/>
  <c r="K64" i="187"/>
  <c r="K46" i="188"/>
  <c r="K23" i="169"/>
  <c r="K54" i="205"/>
  <c r="K46" i="163"/>
  <c r="K220" i="213"/>
  <c r="K12" i="183"/>
  <c r="K26" i="178"/>
  <c r="K17" i="181"/>
  <c r="F23" i="147"/>
  <c r="F14" i="182"/>
  <c r="K32" i="182"/>
  <c r="F22" i="182"/>
  <c r="K40" i="182"/>
  <c r="F15" i="150"/>
  <c r="F17" i="153"/>
  <c r="K17" i="153" s="1"/>
  <c r="F17" i="147"/>
  <c r="K17" i="147" s="1"/>
  <c r="F28" i="182"/>
  <c r="K28" i="156"/>
  <c r="K27" i="166"/>
  <c r="F19" i="147"/>
  <c r="F19" i="148"/>
  <c r="F27" i="150"/>
  <c r="K16" i="182"/>
  <c r="F28" i="162"/>
  <c r="K28" i="162" s="1"/>
  <c r="F82" i="148"/>
  <c r="F82" i="152"/>
  <c r="F46" i="152"/>
  <c r="F28" i="166"/>
  <c r="K28" i="166" s="1"/>
  <c r="F82" i="151"/>
  <c r="K16" i="163"/>
  <c r="F28" i="155"/>
  <c r="F28" i="159"/>
  <c r="K46" i="218"/>
  <c r="F28" i="218"/>
  <c r="K28" i="218" s="1"/>
  <c r="F28" i="168"/>
  <c r="F28" i="134"/>
  <c r="F64" i="151"/>
  <c r="F46" i="150"/>
  <c r="F26" i="149"/>
  <c r="F26" i="150"/>
  <c r="F26" i="154"/>
  <c r="F26" i="146"/>
  <c r="F82" i="147"/>
  <c r="K26" i="167"/>
  <c r="F26" i="147"/>
  <c r="F26" i="216"/>
  <c r="K21" i="148"/>
  <c r="K21" i="151"/>
  <c r="K21" i="146"/>
  <c r="K21" i="153"/>
  <c r="K21" i="149"/>
  <c r="K21" i="152"/>
  <c r="K21" i="176"/>
  <c r="K21" i="175"/>
  <c r="K46" i="164"/>
  <c r="F28" i="164"/>
  <c r="K28" i="165"/>
  <c r="K19" i="153"/>
  <c r="K27" i="153"/>
  <c r="K15" i="147"/>
  <c r="K15" i="149"/>
  <c r="K27" i="151"/>
  <c r="K23" i="151"/>
  <c r="K13" i="151"/>
  <c r="K15" i="152"/>
  <c r="K15" i="154"/>
  <c r="K27" i="146"/>
  <c r="K12" i="147"/>
  <c r="K26" i="149"/>
  <c r="K22" i="149"/>
  <c r="K12" i="150"/>
  <c r="K24" i="151"/>
  <c r="K16" i="151"/>
  <c r="K12" i="151"/>
  <c r="K22" i="152"/>
  <c r="K14" i="152"/>
  <c r="K26" i="154"/>
  <c r="K22" i="154"/>
  <c r="K14" i="154"/>
  <c r="K22" i="146"/>
  <c r="K14" i="146"/>
  <c r="K22" i="177"/>
  <c r="K22" i="176"/>
  <c r="K22" i="175"/>
  <c r="K14" i="174"/>
  <c r="K19" i="176"/>
  <c r="K27" i="176"/>
  <c r="K13" i="146"/>
  <c r="K46" i="183"/>
  <c r="K64" i="222"/>
  <c r="K46" i="222"/>
  <c r="K28" i="158"/>
  <c r="K16" i="176"/>
  <c r="K24" i="176"/>
  <c r="K17" i="174"/>
  <c r="K23" i="146"/>
  <c r="K15" i="146"/>
  <c r="K15" i="153"/>
  <c r="K13" i="147"/>
  <c r="K27" i="149"/>
  <c r="K19" i="149"/>
  <c r="K15" i="151"/>
  <c r="K27" i="152"/>
  <c r="K13" i="152"/>
  <c r="K27" i="154"/>
  <c r="K19" i="154"/>
  <c r="K13" i="154"/>
  <c r="K14" i="147"/>
  <c r="K12" i="148"/>
  <c r="K24" i="149"/>
  <c r="K22" i="150"/>
  <c r="K22" i="151"/>
  <c r="K14" i="151"/>
  <c r="K16" i="152"/>
  <c r="K12" i="152"/>
  <c r="K24" i="154"/>
  <c r="K16" i="154"/>
  <c r="K12" i="154"/>
  <c r="K24" i="146"/>
  <c r="K16" i="146"/>
  <c r="K12" i="146"/>
  <c r="K26" i="177"/>
  <c r="K18" i="176"/>
  <c r="K26" i="176"/>
  <c r="K15" i="176"/>
  <c r="K23" i="176"/>
  <c r="K15" i="174"/>
  <c r="K64" i="181"/>
  <c r="K46" i="181"/>
  <c r="K28" i="181"/>
  <c r="K12" i="177"/>
  <c r="K20" i="176"/>
  <c r="K12" i="175"/>
  <c r="K12" i="174"/>
  <c r="K13" i="175"/>
  <c r="K13" i="174"/>
  <c r="K46" i="146"/>
  <c r="K64" i="177"/>
  <c r="K28" i="177"/>
  <c r="K46" i="177"/>
  <c r="K28" i="185"/>
  <c r="K64" i="178"/>
  <c r="K46" i="178"/>
  <c r="K28" i="178"/>
  <c r="K64" i="174"/>
  <c r="F28" i="205"/>
  <c r="F28" i="167"/>
  <c r="F64" i="153"/>
  <c r="F28" i="170"/>
  <c r="F26" i="217"/>
  <c r="K26" i="217" s="1"/>
  <c r="F24" i="217"/>
  <c r="K24" i="217" s="1"/>
  <c r="F16" i="217"/>
  <c r="K16" i="217" s="1"/>
  <c r="F14" i="217"/>
  <c r="K14" i="217" s="1"/>
  <c r="F46" i="217"/>
  <c r="K46" i="217" s="1"/>
  <c r="F28" i="220"/>
  <c r="K28" i="220" s="1"/>
  <c r="F28" i="219"/>
  <c r="K28" i="219" s="1"/>
  <c r="F18" i="147"/>
  <c r="F20" i="148"/>
  <c r="F18" i="148"/>
  <c r="F20" i="149"/>
  <c r="F18" i="149"/>
  <c r="F20" i="150"/>
  <c r="F18" i="150"/>
  <c r="F20" i="151"/>
  <c r="F18" i="151"/>
  <c r="F20" i="152"/>
  <c r="F18" i="152"/>
  <c r="F20" i="216"/>
  <c r="F18" i="216"/>
  <c r="F20" i="154"/>
  <c r="F18" i="154"/>
  <c r="F20" i="146"/>
  <c r="F18" i="146"/>
  <c r="F82" i="216"/>
  <c r="K82" i="216" s="1"/>
  <c r="F82" i="146"/>
  <c r="F64" i="148"/>
  <c r="F64" i="150"/>
  <c r="F64" i="152"/>
  <c r="F64" i="154"/>
  <c r="F26" i="153"/>
  <c r="F24" i="153"/>
  <c r="F22" i="153"/>
  <c r="F20" i="153"/>
  <c r="F16" i="153"/>
  <c r="F14" i="153"/>
  <c r="F12" i="153"/>
  <c r="F82" i="217"/>
  <c r="K82" i="217" s="1"/>
  <c r="F12" i="217"/>
  <c r="K12" i="217" s="1"/>
  <c r="F25" i="149"/>
  <c r="F25" i="151"/>
  <c r="F17" i="151"/>
  <c r="F25" i="152"/>
  <c r="F17" i="152"/>
  <c r="F17" i="216"/>
  <c r="K17" i="216" s="1"/>
  <c r="F25" i="154"/>
  <c r="F17" i="154"/>
  <c r="F25" i="146"/>
  <c r="F17" i="146"/>
  <c r="F28" i="163"/>
  <c r="F28" i="169"/>
  <c r="F28" i="171"/>
  <c r="C35" i="73"/>
  <c r="K64" i="176" l="1"/>
  <c r="K28" i="222"/>
  <c r="K28" i="183"/>
  <c r="K28" i="174"/>
  <c r="K28" i="176"/>
  <c r="K28" i="173"/>
  <c r="K46" i="175"/>
  <c r="K28" i="175"/>
  <c r="F28" i="149"/>
  <c r="K28" i="149" s="1"/>
  <c r="M220" i="213"/>
  <c r="K46" i="182" s="1"/>
  <c r="K46" i="173"/>
  <c r="K64" i="154"/>
  <c r="K64" i="150"/>
  <c r="F28" i="146"/>
  <c r="K28" i="146" s="1"/>
  <c r="K82" i="147"/>
  <c r="K64" i="151"/>
  <c r="K82" i="151"/>
  <c r="K46" i="152"/>
  <c r="K82" i="148"/>
  <c r="K82" i="149"/>
  <c r="K64" i="149"/>
  <c r="K64" i="152"/>
  <c r="K64" i="148"/>
  <c r="K64" i="153"/>
  <c r="K46" i="150"/>
  <c r="K82" i="152"/>
  <c r="K46" i="148"/>
  <c r="K82" i="150"/>
  <c r="F28" i="152"/>
  <c r="K28" i="152" s="1"/>
  <c r="K64" i="205"/>
  <c r="K26" i="146"/>
  <c r="K28" i="161"/>
  <c r="K46" i="205"/>
  <c r="K26" i="150"/>
  <c r="K14" i="182"/>
  <c r="K22" i="182"/>
  <c r="K28" i="155"/>
  <c r="F28" i="154"/>
  <c r="F28" i="148"/>
  <c r="F28" i="151"/>
  <c r="K28" i="151" s="1"/>
  <c r="F28" i="147"/>
  <c r="K28" i="147" s="1"/>
  <c r="K28" i="159"/>
  <c r="F28" i="150"/>
  <c r="K28" i="168"/>
  <c r="F28" i="216"/>
  <c r="K28" i="216" s="1"/>
  <c r="K28" i="164"/>
  <c r="K28" i="169"/>
  <c r="K12" i="153"/>
  <c r="K16" i="153"/>
  <c r="K22" i="153"/>
  <c r="K26" i="153"/>
  <c r="K28" i="170"/>
  <c r="K28" i="167"/>
  <c r="K64" i="182"/>
  <c r="K82" i="146"/>
  <c r="K17" i="146"/>
  <c r="K17" i="154"/>
  <c r="K28" i="171"/>
  <c r="K28" i="163"/>
  <c r="K17" i="152"/>
  <c r="K17" i="151"/>
  <c r="K14" i="153"/>
  <c r="K24" i="153"/>
  <c r="K28" i="205"/>
  <c r="F28" i="217"/>
  <c r="K28" i="217" s="1"/>
  <c r="F28" i="153"/>
  <c r="J186" i="213"/>
  <c r="I186" i="213"/>
  <c r="G186" i="213"/>
  <c r="F186" i="213"/>
  <c r="K28" i="182" l="1"/>
  <c r="K28" i="150"/>
  <c r="K28" i="154"/>
  <c r="K28" i="148"/>
  <c r="K28" i="153"/>
  <c r="H186" i="213"/>
  <c r="E186" i="213"/>
  <c r="A1" i="135"/>
  <c r="A1" i="136" s="1"/>
  <c r="A1" i="146" s="1"/>
  <c r="E45" i="226" l="1"/>
  <c r="E45" i="223" s="1"/>
  <c r="D45" i="226"/>
  <c r="D45" i="223" s="1"/>
  <c r="E44" i="226"/>
  <c r="E44" i="223" s="1"/>
  <c r="D44" i="226"/>
  <c r="D44" i="223" s="1"/>
  <c r="E43" i="226"/>
  <c r="E43" i="223" s="1"/>
  <c r="D43" i="226"/>
  <c r="D43" i="223" s="1"/>
  <c r="E42" i="226"/>
  <c r="E42" i="223" s="1"/>
  <c r="D42" i="226"/>
  <c r="D42" i="223" s="1"/>
  <c r="E41" i="226"/>
  <c r="E41" i="223" s="1"/>
  <c r="D41" i="226"/>
  <c r="D41" i="223" s="1"/>
  <c r="E40" i="226"/>
  <c r="E40" i="223" s="1"/>
  <c r="D40" i="226"/>
  <c r="D40" i="223" s="1"/>
  <c r="E39" i="226"/>
  <c r="E39" i="223" s="1"/>
  <c r="D39" i="226"/>
  <c r="D39" i="223" s="1"/>
  <c r="E38" i="226"/>
  <c r="E38" i="223" s="1"/>
  <c r="D38" i="226"/>
  <c r="D38" i="223" s="1"/>
  <c r="E37" i="226"/>
  <c r="E37" i="223" s="1"/>
  <c r="D37" i="226"/>
  <c r="D37" i="223" s="1"/>
  <c r="E36" i="226"/>
  <c r="E36" i="223" s="1"/>
  <c r="D36" i="226"/>
  <c r="D36" i="223" s="1"/>
  <c r="E35" i="226"/>
  <c r="E35" i="223" s="1"/>
  <c r="D35" i="226"/>
  <c r="D35" i="223" s="1"/>
  <c r="E34" i="226"/>
  <c r="E34" i="223" s="1"/>
  <c r="D34" i="226"/>
  <c r="D34" i="223" s="1"/>
  <c r="E33" i="226"/>
  <c r="E33" i="223" s="1"/>
  <c r="D33" i="226"/>
  <c r="D33" i="223" s="1"/>
  <c r="E32" i="226"/>
  <c r="E32" i="223" s="1"/>
  <c r="D32" i="226"/>
  <c r="D32" i="223" s="1"/>
  <c r="E31" i="226"/>
  <c r="E31" i="223" s="1"/>
  <c r="D31" i="226"/>
  <c r="D31" i="223" s="1"/>
  <c r="E30" i="226"/>
  <c r="E30" i="223" s="1"/>
  <c r="D30" i="226"/>
  <c r="D30" i="223" s="1"/>
  <c r="E63" i="226"/>
  <c r="D63" i="226"/>
  <c r="E62" i="226"/>
  <c r="E62" i="223" s="1"/>
  <c r="D62" i="226"/>
  <c r="E61" i="226"/>
  <c r="E61" i="223" s="1"/>
  <c r="D61" i="226"/>
  <c r="D61" i="223" s="1"/>
  <c r="E60" i="226"/>
  <c r="E60" i="223" s="1"/>
  <c r="D60" i="226"/>
  <c r="D60" i="223" s="1"/>
  <c r="E59" i="226"/>
  <c r="E59" i="223" s="1"/>
  <c r="D59" i="226"/>
  <c r="E58" i="226"/>
  <c r="E58" i="223" s="1"/>
  <c r="D58" i="226"/>
  <c r="E57" i="226"/>
  <c r="E57" i="223" s="1"/>
  <c r="D57" i="226"/>
  <c r="D57" i="223" s="1"/>
  <c r="E56" i="226"/>
  <c r="E56" i="223" s="1"/>
  <c r="D56" i="226"/>
  <c r="D56" i="223" s="1"/>
  <c r="E55" i="226"/>
  <c r="E55" i="223" s="1"/>
  <c r="D55" i="226"/>
  <c r="D55" i="223" s="1"/>
  <c r="E54" i="226"/>
  <c r="E54" i="223" s="1"/>
  <c r="D54" i="226"/>
  <c r="D54" i="223" s="1"/>
  <c r="E53" i="226"/>
  <c r="E53" i="223" s="1"/>
  <c r="D53" i="226"/>
  <c r="D53" i="223" s="1"/>
  <c r="E52" i="226"/>
  <c r="E52" i="223" s="1"/>
  <c r="D52" i="226"/>
  <c r="D52" i="223" s="1"/>
  <c r="E51" i="226"/>
  <c r="E51" i="223" s="1"/>
  <c r="D51" i="226"/>
  <c r="D51" i="223" s="1"/>
  <c r="E50" i="226"/>
  <c r="E50" i="223" s="1"/>
  <c r="D50" i="226"/>
  <c r="D50" i="223" s="1"/>
  <c r="E49" i="226"/>
  <c r="E49" i="223" s="1"/>
  <c r="D49" i="226"/>
  <c r="D49" i="223" s="1"/>
  <c r="E48" i="226"/>
  <c r="E48" i="223" s="1"/>
  <c r="D48" i="226"/>
  <c r="D48" i="223" s="1"/>
  <c r="C63" i="226"/>
  <c r="C62" i="226"/>
  <c r="C62" i="223" s="1"/>
  <c r="C61" i="226"/>
  <c r="C60" i="226"/>
  <c r="C60" i="223" s="1"/>
  <c r="C59" i="226"/>
  <c r="C58" i="226"/>
  <c r="C58" i="223" s="1"/>
  <c r="C57" i="226"/>
  <c r="C56" i="226"/>
  <c r="C56" i="223" s="1"/>
  <c r="C55" i="226"/>
  <c r="C54" i="226"/>
  <c r="C54" i="223" s="1"/>
  <c r="C53" i="226"/>
  <c r="C52" i="226"/>
  <c r="C52" i="223" s="1"/>
  <c r="C51" i="226"/>
  <c r="C50" i="226"/>
  <c r="C50" i="223" s="1"/>
  <c r="C49" i="226"/>
  <c r="C48" i="226"/>
  <c r="C48" i="223" s="1"/>
  <c r="C45" i="226"/>
  <c r="C44" i="226"/>
  <c r="C44" i="223" s="1"/>
  <c r="C43" i="226"/>
  <c r="C42" i="226"/>
  <c r="C42" i="223" s="1"/>
  <c r="C41" i="226"/>
  <c r="C40" i="226"/>
  <c r="C40" i="223" s="1"/>
  <c r="C39" i="226"/>
  <c r="C38" i="226"/>
  <c r="C38" i="223" s="1"/>
  <c r="C37" i="226"/>
  <c r="C36" i="226"/>
  <c r="C36" i="223" s="1"/>
  <c r="C35" i="226"/>
  <c r="C34" i="226"/>
  <c r="C34" i="223" s="1"/>
  <c r="C33" i="226"/>
  <c r="C32" i="226"/>
  <c r="C32" i="223" s="1"/>
  <c r="C31" i="226"/>
  <c r="C30" i="226"/>
  <c r="C30" i="223" s="1"/>
  <c r="C45" i="225"/>
  <c r="C44" i="225"/>
  <c r="C43" i="225"/>
  <c r="C42" i="225"/>
  <c r="C41" i="225"/>
  <c r="C40" i="225"/>
  <c r="C39" i="225"/>
  <c r="C38" i="225"/>
  <c r="C37" i="225"/>
  <c r="C36" i="225"/>
  <c r="C35" i="225"/>
  <c r="C34" i="225"/>
  <c r="C33" i="225"/>
  <c r="C32" i="225"/>
  <c r="C31" i="225"/>
  <c r="C30" i="225"/>
  <c r="C63" i="225"/>
  <c r="C62" i="225"/>
  <c r="C61" i="225"/>
  <c r="C60" i="225"/>
  <c r="C59" i="225"/>
  <c r="C58" i="225"/>
  <c r="C57" i="225"/>
  <c r="C56" i="225"/>
  <c r="C55" i="225"/>
  <c r="C54" i="225"/>
  <c r="C53" i="225"/>
  <c r="C52" i="225"/>
  <c r="C51" i="225"/>
  <c r="C50" i="225"/>
  <c r="C49" i="225"/>
  <c r="C48" i="225"/>
  <c r="E63" i="225"/>
  <c r="D63" i="225"/>
  <c r="E62" i="225"/>
  <c r="D62" i="225"/>
  <c r="E61" i="225"/>
  <c r="D61" i="225"/>
  <c r="E60" i="225"/>
  <c r="D60" i="225"/>
  <c r="E59" i="225"/>
  <c r="D59" i="225"/>
  <c r="E58" i="225"/>
  <c r="D58" i="225"/>
  <c r="E57" i="225"/>
  <c r="D57" i="225"/>
  <c r="E56" i="225"/>
  <c r="D56" i="225"/>
  <c r="E55" i="225"/>
  <c r="D55" i="225"/>
  <c r="E54" i="225"/>
  <c r="D54" i="225"/>
  <c r="E53" i="225"/>
  <c r="D53" i="225"/>
  <c r="E52" i="225"/>
  <c r="D52" i="225"/>
  <c r="E51" i="225"/>
  <c r="D51" i="225"/>
  <c r="E50" i="225"/>
  <c r="D50" i="225"/>
  <c r="E49" i="225"/>
  <c r="D49" i="225"/>
  <c r="E48" i="225"/>
  <c r="D48" i="225"/>
  <c r="E45" i="225"/>
  <c r="D45" i="225"/>
  <c r="E44" i="225"/>
  <c r="D44" i="225"/>
  <c r="E43" i="225"/>
  <c r="D43" i="225"/>
  <c r="E42" i="225"/>
  <c r="D42" i="225"/>
  <c r="E41" i="225"/>
  <c r="D41" i="225"/>
  <c r="E40" i="225"/>
  <c r="D40" i="225"/>
  <c r="E39" i="225"/>
  <c r="D39" i="225"/>
  <c r="E38" i="225"/>
  <c r="D38" i="225"/>
  <c r="E37" i="225"/>
  <c r="D37" i="225"/>
  <c r="E36" i="225"/>
  <c r="D36" i="225"/>
  <c r="E35" i="225"/>
  <c r="D35" i="225"/>
  <c r="E34" i="225"/>
  <c r="D34" i="225"/>
  <c r="E33" i="225"/>
  <c r="D33" i="225"/>
  <c r="E32" i="225"/>
  <c r="D32" i="225"/>
  <c r="E31" i="225"/>
  <c r="D31" i="225"/>
  <c r="E30" i="225"/>
  <c r="D30" i="225"/>
  <c r="E63" i="224"/>
  <c r="D63" i="224"/>
  <c r="E62" i="224"/>
  <c r="D62" i="224"/>
  <c r="E61" i="224"/>
  <c r="D61" i="224"/>
  <c r="E60" i="224"/>
  <c r="D60" i="224"/>
  <c r="E59" i="224"/>
  <c r="D59" i="224"/>
  <c r="E58" i="224"/>
  <c r="D58" i="224"/>
  <c r="E57" i="224"/>
  <c r="D57" i="224"/>
  <c r="E56" i="224"/>
  <c r="D56" i="224"/>
  <c r="E55" i="224"/>
  <c r="D55" i="224"/>
  <c r="E54" i="224"/>
  <c r="D54" i="224"/>
  <c r="E53" i="224"/>
  <c r="D53" i="224"/>
  <c r="E52" i="224"/>
  <c r="D52" i="224"/>
  <c r="E51" i="224"/>
  <c r="D51" i="224"/>
  <c r="E50" i="224"/>
  <c r="D50" i="224"/>
  <c r="E49" i="224"/>
  <c r="D49" i="224"/>
  <c r="E48" i="224"/>
  <c r="D48" i="224"/>
  <c r="E45" i="224"/>
  <c r="D45" i="224"/>
  <c r="E44" i="224"/>
  <c r="D44" i="224"/>
  <c r="E43" i="224"/>
  <c r="D43" i="224"/>
  <c r="E42" i="224"/>
  <c r="D42" i="224"/>
  <c r="E41" i="224"/>
  <c r="D41" i="224"/>
  <c r="E40" i="224"/>
  <c r="D40" i="224"/>
  <c r="E39" i="224"/>
  <c r="D39" i="224"/>
  <c r="E38" i="224"/>
  <c r="D38" i="224"/>
  <c r="E37" i="224"/>
  <c r="D37" i="224"/>
  <c r="E36" i="224"/>
  <c r="D36" i="224"/>
  <c r="E35" i="224"/>
  <c r="D35" i="224"/>
  <c r="E34" i="224"/>
  <c r="D34" i="224"/>
  <c r="E33" i="224"/>
  <c r="D33" i="224"/>
  <c r="E32" i="224"/>
  <c r="D32" i="224"/>
  <c r="E31" i="224"/>
  <c r="D31" i="224"/>
  <c r="E30" i="224"/>
  <c r="D30" i="224"/>
  <c r="C45" i="224"/>
  <c r="C44" i="224"/>
  <c r="C43" i="224"/>
  <c r="C42" i="224"/>
  <c r="C41" i="224"/>
  <c r="C40" i="224"/>
  <c r="C39" i="224"/>
  <c r="C38" i="224"/>
  <c r="C37" i="224"/>
  <c r="C36" i="224"/>
  <c r="C35" i="224"/>
  <c r="C34" i="224"/>
  <c r="C33" i="224"/>
  <c r="C32" i="224"/>
  <c r="C31" i="224"/>
  <c r="C30" i="224"/>
  <c r="C63" i="224"/>
  <c r="C62" i="224"/>
  <c r="C61" i="224"/>
  <c r="C60" i="224"/>
  <c r="C59" i="224"/>
  <c r="C58" i="224"/>
  <c r="C57" i="224"/>
  <c r="C56" i="224"/>
  <c r="C55" i="224"/>
  <c r="C54" i="224"/>
  <c r="C53" i="224"/>
  <c r="C52" i="224"/>
  <c r="C51" i="224"/>
  <c r="C50" i="224"/>
  <c r="C49" i="224"/>
  <c r="C48" i="224"/>
  <c r="E63" i="223"/>
  <c r="D63" i="223"/>
  <c r="C63" i="223"/>
  <c r="D62" i="223"/>
  <c r="C61" i="223"/>
  <c r="D59" i="223"/>
  <c r="C59" i="223"/>
  <c r="D58" i="223"/>
  <c r="C57" i="223"/>
  <c r="C55" i="223"/>
  <c r="C53" i="223"/>
  <c r="C51" i="223"/>
  <c r="C49" i="223"/>
  <c r="C31" i="223"/>
  <c r="C33" i="223"/>
  <c r="C35" i="223"/>
  <c r="C37" i="223"/>
  <c r="C39" i="223"/>
  <c r="C41" i="223"/>
  <c r="C43" i="223"/>
  <c r="C45" i="223"/>
  <c r="E81" i="220" l="1"/>
  <c r="E81" i="217" s="1"/>
  <c r="D81" i="220"/>
  <c r="E80" i="220"/>
  <c r="E80" i="217" s="1"/>
  <c r="D80" i="220"/>
  <c r="E79" i="220"/>
  <c r="E79" i="217" s="1"/>
  <c r="D79" i="220"/>
  <c r="E78" i="220"/>
  <c r="D78" i="220"/>
  <c r="E77" i="220"/>
  <c r="E77" i="217" s="1"/>
  <c r="D77" i="220"/>
  <c r="E76" i="220"/>
  <c r="E76" i="217" s="1"/>
  <c r="D76" i="220"/>
  <c r="E75" i="220"/>
  <c r="E75" i="217" s="1"/>
  <c r="D75" i="220"/>
  <c r="E74" i="220"/>
  <c r="D74" i="220"/>
  <c r="D74" i="217" s="1"/>
  <c r="E73" i="217"/>
  <c r="E72" i="220"/>
  <c r="E72" i="217" s="1"/>
  <c r="D72" i="220"/>
  <c r="E71" i="220"/>
  <c r="E71" i="217" s="1"/>
  <c r="D71" i="220"/>
  <c r="E70" i="220"/>
  <c r="E70" i="217" s="1"/>
  <c r="D70" i="220"/>
  <c r="E69" i="220"/>
  <c r="E69" i="217" s="1"/>
  <c r="D69" i="220"/>
  <c r="E68" i="220"/>
  <c r="E68" i="217" s="1"/>
  <c r="D68" i="220"/>
  <c r="E67" i="220"/>
  <c r="E67" i="217" s="1"/>
  <c r="D67" i="220"/>
  <c r="E66" i="220"/>
  <c r="E66" i="217" s="1"/>
  <c r="D66" i="220"/>
  <c r="E63" i="220"/>
  <c r="E63" i="217" s="1"/>
  <c r="D63" i="220"/>
  <c r="E62" i="220"/>
  <c r="E62" i="217" s="1"/>
  <c r="D62" i="220"/>
  <c r="E61" i="220"/>
  <c r="E61" i="217" s="1"/>
  <c r="D61" i="220"/>
  <c r="E60" i="220"/>
  <c r="D60" i="220"/>
  <c r="E59" i="220"/>
  <c r="E59" i="217" s="1"/>
  <c r="D59" i="220"/>
  <c r="E58" i="220"/>
  <c r="E58" i="217" s="1"/>
  <c r="D58" i="220"/>
  <c r="E57" i="220"/>
  <c r="E57" i="217" s="1"/>
  <c r="D57" i="220"/>
  <c r="E56" i="220"/>
  <c r="E56" i="217" s="1"/>
  <c r="D56" i="220"/>
  <c r="D56" i="217" s="1"/>
  <c r="E55" i="217"/>
  <c r="E54" i="220"/>
  <c r="E54" i="217" s="1"/>
  <c r="D54" i="220"/>
  <c r="E53" i="220"/>
  <c r="D53" i="220"/>
  <c r="E52" i="220"/>
  <c r="E52" i="217" s="1"/>
  <c r="D52" i="220"/>
  <c r="E51" i="220"/>
  <c r="E51" i="217" s="1"/>
  <c r="D51" i="220"/>
  <c r="E50" i="220"/>
  <c r="E50" i="217" s="1"/>
  <c r="D50" i="220"/>
  <c r="E49" i="220"/>
  <c r="E49" i="217" s="1"/>
  <c r="D49" i="220"/>
  <c r="E48" i="220"/>
  <c r="E48" i="217" s="1"/>
  <c r="D48" i="220"/>
  <c r="E45" i="220"/>
  <c r="E45" i="217" s="1"/>
  <c r="D45" i="220"/>
  <c r="E44" i="220"/>
  <c r="E44" i="217" s="1"/>
  <c r="D44" i="220"/>
  <c r="E43" i="220"/>
  <c r="E43" i="217" s="1"/>
  <c r="D43" i="220"/>
  <c r="E42" i="220"/>
  <c r="D42" i="220"/>
  <c r="E41" i="220"/>
  <c r="E41" i="217" s="1"/>
  <c r="D41" i="220"/>
  <c r="E40" i="220"/>
  <c r="D40" i="220"/>
  <c r="E39" i="220"/>
  <c r="E39" i="217" s="1"/>
  <c r="D39" i="220"/>
  <c r="E38" i="220"/>
  <c r="E38" i="217" s="1"/>
  <c r="D38" i="220"/>
  <c r="D38" i="217" s="1"/>
  <c r="E37" i="217"/>
  <c r="E36" i="220"/>
  <c r="E36" i="217" s="1"/>
  <c r="D36" i="220"/>
  <c r="E35" i="220"/>
  <c r="E35" i="217" s="1"/>
  <c r="D35" i="220"/>
  <c r="E34" i="220"/>
  <c r="E34" i="217" s="1"/>
  <c r="D34" i="220"/>
  <c r="E33" i="220"/>
  <c r="E33" i="217" s="1"/>
  <c r="D33" i="220"/>
  <c r="E32" i="220"/>
  <c r="E32" i="217" s="1"/>
  <c r="D32" i="220"/>
  <c r="E31" i="220"/>
  <c r="E31" i="217" s="1"/>
  <c r="D31" i="220"/>
  <c r="E30" i="220"/>
  <c r="E30" i="217" s="1"/>
  <c r="D30" i="220"/>
  <c r="E81" i="219"/>
  <c r="D81" i="219"/>
  <c r="E80" i="219"/>
  <c r="D80" i="219"/>
  <c r="E79" i="219"/>
  <c r="D79" i="219"/>
  <c r="E78" i="219"/>
  <c r="D78" i="219"/>
  <c r="E77" i="219"/>
  <c r="D77" i="219"/>
  <c r="E76" i="219"/>
  <c r="D76" i="219"/>
  <c r="E75" i="219"/>
  <c r="D75" i="219"/>
  <c r="E74" i="219"/>
  <c r="D74" i="219"/>
  <c r="E73" i="219"/>
  <c r="D73" i="219"/>
  <c r="E72" i="219"/>
  <c r="D72" i="219"/>
  <c r="E71" i="219"/>
  <c r="D71" i="219"/>
  <c r="E70" i="219"/>
  <c r="D70" i="219"/>
  <c r="E69" i="219"/>
  <c r="D69" i="219"/>
  <c r="E68" i="219"/>
  <c r="D68" i="219"/>
  <c r="E67" i="219"/>
  <c r="D67" i="219"/>
  <c r="E66" i="219"/>
  <c r="D66" i="219"/>
  <c r="E63" i="219"/>
  <c r="D63" i="219"/>
  <c r="E62" i="219"/>
  <c r="D62" i="219"/>
  <c r="E61" i="219"/>
  <c r="D61" i="219"/>
  <c r="E60" i="219"/>
  <c r="D60" i="219"/>
  <c r="E59" i="219"/>
  <c r="D59" i="219"/>
  <c r="E58" i="219"/>
  <c r="D58" i="219"/>
  <c r="E57" i="219"/>
  <c r="D57" i="219"/>
  <c r="E56" i="219"/>
  <c r="D56" i="219"/>
  <c r="E55" i="219"/>
  <c r="D55" i="219"/>
  <c r="E54" i="219"/>
  <c r="D54" i="219"/>
  <c r="E53" i="219"/>
  <c r="D53" i="219"/>
  <c r="E52" i="219"/>
  <c r="D52" i="219"/>
  <c r="E51" i="219"/>
  <c r="D51" i="219"/>
  <c r="E50" i="219"/>
  <c r="D50" i="219"/>
  <c r="E49" i="219"/>
  <c r="D49" i="219"/>
  <c r="E48" i="219"/>
  <c r="D48" i="219"/>
  <c r="E45" i="219"/>
  <c r="D45" i="219"/>
  <c r="E44" i="219"/>
  <c r="D44" i="219"/>
  <c r="E43" i="219"/>
  <c r="D43" i="219"/>
  <c r="E42" i="219"/>
  <c r="D42" i="219"/>
  <c r="E41" i="219"/>
  <c r="D41" i="219"/>
  <c r="E40" i="219"/>
  <c r="D40" i="219"/>
  <c r="E39" i="219"/>
  <c r="D39" i="219"/>
  <c r="E38" i="219"/>
  <c r="D38" i="219"/>
  <c r="E37" i="219"/>
  <c r="D37" i="219"/>
  <c r="E36" i="219"/>
  <c r="D36" i="219"/>
  <c r="E35" i="219"/>
  <c r="D35" i="219"/>
  <c r="E34" i="219"/>
  <c r="D34" i="219"/>
  <c r="E33" i="219"/>
  <c r="D33" i="219"/>
  <c r="E32" i="219"/>
  <c r="D32" i="219"/>
  <c r="E31" i="219"/>
  <c r="D31" i="219"/>
  <c r="E30" i="219"/>
  <c r="D30" i="219"/>
  <c r="E81" i="218"/>
  <c r="E81" i="216" s="1"/>
  <c r="D81" i="218"/>
  <c r="E80" i="218"/>
  <c r="E80" i="216" s="1"/>
  <c r="D80" i="218"/>
  <c r="E79" i="218"/>
  <c r="E79" i="216" s="1"/>
  <c r="D79" i="218"/>
  <c r="E78" i="218"/>
  <c r="D78" i="218"/>
  <c r="E77" i="218"/>
  <c r="E77" i="216" s="1"/>
  <c r="D77" i="218"/>
  <c r="E76" i="218"/>
  <c r="E76" i="216" s="1"/>
  <c r="D76" i="218"/>
  <c r="E75" i="218"/>
  <c r="E75" i="216" s="1"/>
  <c r="D75" i="218"/>
  <c r="E74" i="218"/>
  <c r="E74" i="216" s="1"/>
  <c r="D74" i="218"/>
  <c r="D74" i="216" s="1"/>
  <c r="E73" i="218"/>
  <c r="E73" i="216" s="1"/>
  <c r="D73" i="218"/>
  <c r="E72" i="218"/>
  <c r="E72" i="216" s="1"/>
  <c r="D72" i="218"/>
  <c r="E71" i="218"/>
  <c r="E71" i="216" s="1"/>
  <c r="D71" i="218"/>
  <c r="E70" i="218"/>
  <c r="E70" i="216" s="1"/>
  <c r="D70" i="218"/>
  <c r="E69" i="218"/>
  <c r="E69" i="216" s="1"/>
  <c r="D69" i="218"/>
  <c r="E68" i="218"/>
  <c r="E68" i="216" s="1"/>
  <c r="D68" i="218"/>
  <c r="E67" i="218"/>
  <c r="E67" i="216" s="1"/>
  <c r="D67" i="218"/>
  <c r="E66" i="218"/>
  <c r="E66" i="216" s="1"/>
  <c r="D66" i="218"/>
  <c r="E63" i="218"/>
  <c r="E63" i="216" s="1"/>
  <c r="D63" i="218"/>
  <c r="E62" i="218"/>
  <c r="E62" i="216" s="1"/>
  <c r="D62" i="218"/>
  <c r="E61" i="218"/>
  <c r="E61" i="216" s="1"/>
  <c r="D61" i="218"/>
  <c r="E60" i="218"/>
  <c r="D60" i="218"/>
  <c r="E59" i="218"/>
  <c r="E59" i="216" s="1"/>
  <c r="D59" i="218"/>
  <c r="E58" i="218"/>
  <c r="E58" i="216" s="1"/>
  <c r="D58" i="218"/>
  <c r="E57" i="218"/>
  <c r="E57" i="216" s="1"/>
  <c r="D57" i="218"/>
  <c r="E56" i="218"/>
  <c r="E56" i="216" s="1"/>
  <c r="D56" i="218"/>
  <c r="D56" i="216" s="1"/>
  <c r="E55" i="218"/>
  <c r="E55" i="216" s="1"/>
  <c r="D55" i="218"/>
  <c r="E54" i="218"/>
  <c r="E54" i="216" s="1"/>
  <c r="D54" i="218"/>
  <c r="E53" i="218"/>
  <c r="E53" i="216" s="1"/>
  <c r="D53" i="218"/>
  <c r="E52" i="218"/>
  <c r="E52" i="216" s="1"/>
  <c r="D52" i="218"/>
  <c r="E51" i="218"/>
  <c r="E51" i="216" s="1"/>
  <c r="D51" i="218"/>
  <c r="E50" i="218"/>
  <c r="E50" i="216" s="1"/>
  <c r="D50" i="218"/>
  <c r="E49" i="218"/>
  <c r="E49" i="216" s="1"/>
  <c r="D49" i="218"/>
  <c r="E48" i="218"/>
  <c r="E48" i="216" s="1"/>
  <c r="D48" i="218"/>
  <c r="E45" i="218"/>
  <c r="E45" i="216" s="1"/>
  <c r="D45" i="218"/>
  <c r="E44" i="218"/>
  <c r="E44" i="216" s="1"/>
  <c r="D44" i="218"/>
  <c r="E43" i="218"/>
  <c r="E43" i="216" s="1"/>
  <c r="D43" i="218"/>
  <c r="E42" i="218"/>
  <c r="D42" i="218"/>
  <c r="E41" i="218"/>
  <c r="E41" i="216" s="1"/>
  <c r="D41" i="218"/>
  <c r="E40" i="218"/>
  <c r="E40" i="216" s="1"/>
  <c r="D40" i="218"/>
  <c r="E39" i="218"/>
  <c r="E39" i="216" s="1"/>
  <c r="D39" i="218"/>
  <c r="E38" i="218"/>
  <c r="E38" i="216" s="1"/>
  <c r="D38" i="218"/>
  <c r="D38" i="216" s="1"/>
  <c r="E37" i="218"/>
  <c r="E37" i="216" s="1"/>
  <c r="D37" i="218"/>
  <c r="E36" i="218"/>
  <c r="E36" i="216" s="1"/>
  <c r="D36" i="218"/>
  <c r="E35" i="218"/>
  <c r="E35" i="216" s="1"/>
  <c r="D35" i="218"/>
  <c r="E34" i="218"/>
  <c r="E34" i="216" s="1"/>
  <c r="D34" i="218"/>
  <c r="E33" i="218"/>
  <c r="E33" i="216" s="1"/>
  <c r="D33" i="218"/>
  <c r="E32" i="218"/>
  <c r="E32" i="216" s="1"/>
  <c r="D32" i="218"/>
  <c r="E31" i="218"/>
  <c r="E31" i="216" s="1"/>
  <c r="D31" i="218"/>
  <c r="E30" i="218"/>
  <c r="E30" i="216" s="1"/>
  <c r="D30" i="218"/>
  <c r="G183" i="213"/>
  <c r="F183" i="213"/>
  <c r="G182" i="213"/>
  <c r="F182" i="213"/>
  <c r="G181" i="213"/>
  <c r="F181" i="213"/>
  <c r="G180" i="213"/>
  <c r="F180" i="213"/>
  <c r="G179" i="213"/>
  <c r="E179" i="213" s="1"/>
  <c r="F179" i="213"/>
  <c r="G178" i="213"/>
  <c r="F178" i="213"/>
  <c r="G177" i="213"/>
  <c r="F177" i="213"/>
  <c r="G176" i="213"/>
  <c r="F176" i="213"/>
  <c r="G175" i="213"/>
  <c r="F175" i="213"/>
  <c r="G174" i="213"/>
  <c r="F174" i="213"/>
  <c r="G173" i="213"/>
  <c r="F173" i="213"/>
  <c r="G172" i="213"/>
  <c r="F172" i="213"/>
  <c r="G171" i="213"/>
  <c r="F171" i="213"/>
  <c r="G170" i="213"/>
  <c r="F170" i="213"/>
  <c r="G169" i="213"/>
  <c r="F169" i="213"/>
  <c r="G168" i="213"/>
  <c r="F168" i="213"/>
  <c r="F184" i="213" s="1"/>
  <c r="J183" i="213"/>
  <c r="I183" i="213"/>
  <c r="J182" i="213"/>
  <c r="I182" i="213"/>
  <c r="J181" i="213"/>
  <c r="I181" i="213"/>
  <c r="J180" i="213"/>
  <c r="I180" i="213"/>
  <c r="J179" i="213"/>
  <c r="I179" i="213"/>
  <c r="J178" i="213"/>
  <c r="I178" i="213"/>
  <c r="J177" i="213"/>
  <c r="I177" i="213"/>
  <c r="J176" i="213"/>
  <c r="I176" i="213"/>
  <c r="J175" i="213"/>
  <c r="I175" i="213"/>
  <c r="J174" i="213"/>
  <c r="I174" i="213"/>
  <c r="J173" i="213"/>
  <c r="I173" i="213"/>
  <c r="J172" i="213"/>
  <c r="I172" i="213"/>
  <c r="J171" i="213"/>
  <c r="I171" i="213"/>
  <c r="J170" i="213"/>
  <c r="I170" i="213"/>
  <c r="J169" i="213"/>
  <c r="I169" i="213"/>
  <c r="J168" i="213"/>
  <c r="I168" i="213"/>
  <c r="D183" i="213"/>
  <c r="D182" i="213"/>
  <c r="D181" i="213"/>
  <c r="D180" i="213"/>
  <c r="D179" i="213"/>
  <c r="D178" i="213"/>
  <c r="D177" i="213"/>
  <c r="D176" i="213"/>
  <c r="D175" i="213"/>
  <c r="D174" i="213"/>
  <c r="D173" i="213"/>
  <c r="D172" i="213"/>
  <c r="D171" i="213"/>
  <c r="D170" i="213"/>
  <c r="D169" i="213"/>
  <c r="D168" i="213"/>
  <c r="C183" i="213"/>
  <c r="C182" i="213"/>
  <c r="C181" i="213"/>
  <c r="C180" i="213"/>
  <c r="C179" i="213"/>
  <c r="C178" i="213"/>
  <c r="C177" i="213"/>
  <c r="C176" i="213"/>
  <c r="C175" i="213"/>
  <c r="C174" i="213"/>
  <c r="C173" i="213"/>
  <c r="C172" i="213"/>
  <c r="C171" i="213"/>
  <c r="C170" i="213"/>
  <c r="C169" i="213"/>
  <c r="C168" i="213"/>
  <c r="J147" i="213"/>
  <c r="I147" i="213"/>
  <c r="J146" i="213"/>
  <c r="I146" i="213"/>
  <c r="J145" i="213"/>
  <c r="I145" i="213"/>
  <c r="J144" i="213"/>
  <c r="I144" i="213"/>
  <c r="J143" i="213"/>
  <c r="I143" i="213"/>
  <c r="J142" i="213"/>
  <c r="I142" i="213"/>
  <c r="J141" i="213"/>
  <c r="I141" i="213"/>
  <c r="J140" i="213"/>
  <c r="I140" i="213"/>
  <c r="J139" i="213"/>
  <c r="I139" i="213"/>
  <c r="J138" i="213"/>
  <c r="I138" i="213"/>
  <c r="J137" i="213"/>
  <c r="I137" i="213"/>
  <c r="J136" i="213"/>
  <c r="I136" i="213"/>
  <c r="J135" i="213"/>
  <c r="I135" i="213"/>
  <c r="J134" i="213"/>
  <c r="I134" i="213"/>
  <c r="J133" i="213"/>
  <c r="I133" i="213"/>
  <c r="J132" i="213"/>
  <c r="I132" i="213"/>
  <c r="G147" i="213"/>
  <c r="F147" i="213"/>
  <c r="G146" i="213"/>
  <c r="F146" i="213"/>
  <c r="G145" i="213"/>
  <c r="F145" i="213"/>
  <c r="G144" i="213"/>
  <c r="F144" i="213"/>
  <c r="G143" i="213"/>
  <c r="F143" i="213"/>
  <c r="G142" i="213"/>
  <c r="F142" i="213"/>
  <c r="G141" i="213"/>
  <c r="F141" i="213"/>
  <c r="G140" i="213"/>
  <c r="F140" i="213"/>
  <c r="G139" i="213"/>
  <c r="F139" i="213"/>
  <c r="G138" i="213"/>
  <c r="F138" i="213"/>
  <c r="G137" i="213"/>
  <c r="F137" i="213"/>
  <c r="G136" i="213"/>
  <c r="F136" i="213"/>
  <c r="G135" i="213"/>
  <c r="F135" i="213"/>
  <c r="G134" i="213"/>
  <c r="F134" i="213"/>
  <c r="G133" i="213"/>
  <c r="F133" i="213"/>
  <c r="G132" i="213"/>
  <c r="F132" i="213"/>
  <c r="D147" i="213"/>
  <c r="D146" i="213"/>
  <c r="D145" i="213"/>
  <c r="D144" i="213"/>
  <c r="D143" i="213"/>
  <c r="D142" i="213"/>
  <c r="D141" i="213"/>
  <c r="D140" i="213"/>
  <c r="D139" i="213"/>
  <c r="D138" i="213"/>
  <c r="D137" i="213"/>
  <c r="D136" i="213"/>
  <c r="D135" i="213"/>
  <c r="D134" i="213"/>
  <c r="D133" i="213"/>
  <c r="D132" i="213"/>
  <c r="C147" i="213"/>
  <c r="B147" i="213" s="1"/>
  <c r="C146" i="213"/>
  <c r="C145" i="213"/>
  <c r="C144" i="213"/>
  <c r="C143" i="213"/>
  <c r="C142" i="213"/>
  <c r="C141" i="213"/>
  <c r="C140" i="213"/>
  <c r="C139" i="213"/>
  <c r="C138" i="213"/>
  <c r="C137" i="213"/>
  <c r="C136" i="213"/>
  <c r="C135" i="213"/>
  <c r="C134" i="213"/>
  <c r="C133" i="213"/>
  <c r="C132" i="213"/>
  <c r="B183" i="213"/>
  <c r="I183" i="211"/>
  <c r="F183" i="211"/>
  <c r="I182" i="211"/>
  <c r="F182" i="211"/>
  <c r="I181" i="211"/>
  <c r="F181" i="211"/>
  <c r="I180" i="211"/>
  <c r="F180" i="211"/>
  <c r="I179" i="211"/>
  <c r="F179" i="211"/>
  <c r="I178" i="211"/>
  <c r="F178" i="211"/>
  <c r="I177" i="211"/>
  <c r="F177" i="211"/>
  <c r="I176" i="211"/>
  <c r="F176" i="211"/>
  <c r="I175" i="211"/>
  <c r="F175" i="211"/>
  <c r="I174" i="211"/>
  <c r="F174" i="211"/>
  <c r="I173" i="211"/>
  <c r="F173" i="211"/>
  <c r="I172" i="211"/>
  <c r="F172" i="211"/>
  <c r="I171" i="211"/>
  <c r="F171" i="211"/>
  <c r="I170" i="211"/>
  <c r="F170" i="211"/>
  <c r="I169" i="211"/>
  <c r="F169" i="211"/>
  <c r="I168" i="211"/>
  <c r="F168" i="211"/>
  <c r="H183" i="211"/>
  <c r="E183" i="211"/>
  <c r="H182" i="211"/>
  <c r="E182" i="211"/>
  <c r="H181" i="211"/>
  <c r="E181" i="211"/>
  <c r="H180" i="211"/>
  <c r="E180" i="211"/>
  <c r="H179" i="211"/>
  <c r="E179" i="211"/>
  <c r="H178" i="211"/>
  <c r="E178" i="211"/>
  <c r="H177" i="211"/>
  <c r="E177" i="211"/>
  <c r="G177" i="211" s="1"/>
  <c r="H176" i="211"/>
  <c r="J176" i="211" s="1"/>
  <c r="E176" i="211"/>
  <c r="G176" i="211" s="1"/>
  <c r="H175" i="211"/>
  <c r="J175" i="211" s="1"/>
  <c r="E175" i="211"/>
  <c r="G175" i="211" s="1"/>
  <c r="H174" i="211"/>
  <c r="J174" i="211" s="1"/>
  <c r="E174" i="211"/>
  <c r="G174" i="211" s="1"/>
  <c r="H173" i="211"/>
  <c r="J173" i="211" s="1"/>
  <c r="E173" i="211"/>
  <c r="G173" i="211" s="1"/>
  <c r="H172" i="211"/>
  <c r="J172" i="211" s="1"/>
  <c r="E172" i="211"/>
  <c r="G172" i="211" s="1"/>
  <c r="H171" i="211"/>
  <c r="J171" i="211" s="1"/>
  <c r="E171" i="211"/>
  <c r="G171" i="211" s="1"/>
  <c r="H170" i="211"/>
  <c r="J170" i="211" s="1"/>
  <c r="E170" i="211"/>
  <c r="G170" i="211" s="1"/>
  <c r="H169" i="211"/>
  <c r="J169" i="211" s="1"/>
  <c r="E169" i="211"/>
  <c r="G169" i="211" s="1"/>
  <c r="H168" i="211"/>
  <c r="E168" i="211"/>
  <c r="I147" i="211"/>
  <c r="F147" i="211"/>
  <c r="I146" i="211"/>
  <c r="F146" i="211"/>
  <c r="I145" i="211"/>
  <c r="F145" i="211"/>
  <c r="I144" i="211"/>
  <c r="F144" i="211"/>
  <c r="I143" i="211"/>
  <c r="F143" i="211"/>
  <c r="I142" i="211"/>
  <c r="F142" i="211"/>
  <c r="I141" i="211"/>
  <c r="F141" i="211"/>
  <c r="I140" i="211"/>
  <c r="F140" i="211"/>
  <c r="I139" i="211"/>
  <c r="F139" i="211"/>
  <c r="I138" i="211"/>
  <c r="F138" i="211"/>
  <c r="I137" i="211"/>
  <c r="F137" i="211"/>
  <c r="I136" i="211"/>
  <c r="F136" i="211"/>
  <c r="I135" i="211"/>
  <c r="F135" i="211"/>
  <c r="I134" i="211"/>
  <c r="F134" i="211"/>
  <c r="I133" i="211"/>
  <c r="F133" i="211"/>
  <c r="I132" i="211"/>
  <c r="F132" i="211"/>
  <c r="H147" i="211"/>
  <c r="E147" i="211"/>
  <c r="H146" i="211"/>
  <c r="E146" i="211"/>
  <c r="H145" i="211"/>
  <c r="E145" i="211"/>
  <c r="H144" i="211"/>
  <c r="E144" i="211"/>
  <c r="H143" i="211"/>
  <c r="E143" i="211"/>
  <c r="H142" i="211"/>
  <c r="E142" i="211"/>
  <c r="H141" i="211"/>
  <c r="E141" i="211"/>
  <c r="H140" i="211"/>
  <c r="E140" i="211"/>
  <c r="H139" i="211"/>
  <c r="E139" i="211"/>
  <c r="H138" i="211"/>
  <c r="E138" i="211"/>
  <c r="H137" i="211"/>
  <c r="E137" i="211"/>
  <c r="H136" i="211"/>
  <c r="E136" i="211"/>
  <c r="H135" i="211"/>
  <c r="E135" i="211"/>
  <c r="H134" i="211"/>
  <c r="E134" i="211"/>
  <c r="H133" i="211"/>
  <c r="E133" i="211"/>
  <c r="H132" i="211"/>
  <c r="E132" i="211"/>
  <c r="J183" i="211"/>
  <c r="G183" i="211"/>
  <c r="J182" i="211"/>
  <c r="G182" i="211"/>
  <c r="J181" i="211"/>
  <c r="G181" i="211"/>
  <c r="J180" i="211"/>
  <c r="G180" i="211"/>
  <c r="J179" i="211"/>
  <c r="G179" i="211"/>
  <c r="J178" i="211"/>
  <c r="G178" i="211"/>
  <c r="J177" i="211"/>
  <c r="I129" i="211"/>
  <c r="H129" i="211"/>
  <c r="F129" i="211"/>
  <c r="E129" i="211"/>
  <c r="C129" i="211"/>
  <c r="B129" i="211"/>
  <c r="I128" i="211"/>
  <c r="H128" i="211"/>
  <c r="F128" i="211"/>
  <c r="E128" i="211"/>
  <c r="C128" i="211"/>
  <c r="B128" i="211"/>
  <c r="I127" i="211"/>
  <c r="H127" i="211"/>
  <c r="F127" i="211"/>
  <c r="E127" i="211"/>
  <c r="C127" i="211"/>
  <c r="B127" i="211"/>
  <c r="I126" i="211"/>
  <c r="H126" i="211"/>
  <c r="F126" i="211"/>
  <c r="E126" i="211"/>
  <c r="C126" i="211"/>
  <c r="B126" i="211"/>
  <c r="H60" i="161" s="1"/>
  <c r="I125" i="211"/>
  <c r="H125" i="211"/>
  <c r="F125" i="211"/>
  <c r="E125" i="211"/>
  <c r="C125" i="211"/>
  <c r="B125" i="211"/>
  <c r="I124" i="211"/>
  <c r="H124" i="211"/>
  <c r="F124" i="211"/>
  <c r="E124" i="211"/>
  <c r="C124" i="211"/>
  <c r="B124" i="211"/>
  <c r="I123" i="211"/>
  <c r="H123" i="211"/>
  <c r="F123" i="211"/>
  <c r="E123" i="211"/>
  <c r="C123" i="211"/>
  <c r="B123" i="211"/>
  <c r="I122" i="211"/>
  <c r="H122" i="211"/>
  <c r="F122" i="211"/>
  <c r="E122" i="211"/>
  <c r="C122" i="211"/>
  <c r="B122" i="211"/>
  <c r="I121" i="211"/>
  <c r="H121" i="211"/>
  <c r="F121" i="211"/>
  <c r="E121" i="211"/>
  <c r="C121" i="211"/>
  <c r="B121" i="211"/>
  <c r="I120" i="211"/>
  <c r="H120" i="211"/>
  <c r="F120" i="211"/>
  <c r="E120" i="211"/>
  <c r="C120" i="211"/>
  <c r="B120" i="211"/>
  <c r="I119" i="211"/>
  <c r="H119" i="211"/>
  <c r="F119" i="211"/>
  <c r="E119" i="211"/>
  <c r="C119" i="211"/>
  <c r="B119" i="211"/>
  <c r="I118" i="211"/>
  <c r="H118" i="211"/>
  <c r="F118" i="211"/>
  <c r="E118" i="211"/>
  <c r="C118" i="211"/>
  <c r="B118" i="211"/>
  <c r="I117" i="211"/>
  <c r="H117" i="211"/>
  <c r="F117" i="211"/>
  <c r="E117" i="211"/>
  <c r="C117" i="211"/>
  <c r="B117" i="211"/>
  <c r="I116" i="211"/>
  <c r="H116" i="211"/>
  <c r="F116" i="211"/>
  <c r="E116" i="211"/>
  <c r="C116" i="211"/>
  <c r="B116" i="211"/>
  <c r="I115" i="211"/>
  <c r="H115" i="211"/>
  <c r="F115" i="211"/>
  <c r="E115" i="211"/>
  <c r="C115" i="211"/>
  <c r="H13" i="169" s="1"/>
  <c r="B115" i="211"/>
  <c r="I114" i="211"/>
  <c r="H114" i="211"/>
  <c r="F114" i="211"/>
  <c r="E114" i="211"/>
  <c r="C114" i="211"/>
  <c r="B114" i="211"/>
  <c r="E74" i="217"/>
  <c r="E53" i="217"/>
  <c r="E40" i="217"/>
  <c r="L18" i="169" l="1"/>
  <c r="L72" i="169"/>
  <c r="L36" i="169"/>
  <c r="B139" i="213"/>
  <c r="I184" i="211"/>
  <c r="H184" i="211"/>
  <c r="J13" i="169"/>
  <c r="K36" i="169"/>
  <c r="K18" i="169"/>
  <c r="K72" i="169"/>
  <c r="E142" i="213"/>
  <c r="C184" i="213"/>
  <c r="E170" i="213"/>
  <c r="E172" i="213"/>
  <c r="E177" i="213"/>
  <c r="E168" i="213"/>
  <c r="E144" i="213"/>
  <c r="E174" i="213"/>
  <c r="B135" i="213"/>
  <c r="B133" i="213"/>
  <c r="B137" i="213"/>
  <c r="B141" i="213"/>
  <c r="B143" i="213"/>
  <c r="B145" i="213"/>
  <c r="B169" i="213"/>
  <c r="B171" i="213"/>
  <c r="B173" i="213"/>
  <c r="B175" i="213"/>
  <c r="B177" i="213"/>
  <c r="B179" i="213"/>
  <c r="B181" i="213"/>
  <c r="E132" i="213"/>
  <c r="E133" i="213"/>
  <c r="E134" i="213"/>
  <c r="E135" i="213"/>
  <c r="E136" i="213"/>
  <c r="E137" i="213"/>
  <c r="E138" i="213"/>
  <c r="E139" i="213"/>
  <c r="E140" i="213"/>
  <c r="E141" i="213"/>
  <c r="E143" i="213"/>
  <c r="E145" i="213"/>
  <c r="E146" i="213"/>
  <c r="E147" i="213"/>
  <c r="H132" i="213"/>
  <c r="H133" i="213"/>
  <c r="H134" i="213"/>
  <c r="H135" i="213"/>
  <c r="H136" i="213"/>
  <c r="H137" i="213"/>
  <c r="H138" i="213"/>
  <c r="H139" i="213"/>
  <c r="H141" i="213"/>
  <c r="H142" i="213"/>
  <c r="H143" i="213"/>
  <c r="H144" i="213"/>
  <c r="H146" i="213"/>
  <c r="H147" i="213"/>
  <c r="B180" i="213"/>
  <c r="H168" i="213"/>
  <c r="H169" i="213"/>
  <c r="H170" i="213"/>
  <c r="H171" i="213"/>
  <c r="H172" i="213"/>
  <c r="H173" i="213"/>
  <c r="H174" i="213"/>
  <c r="H175" i="213"/>
  <c r="H176" i="213"/>
  <c r="H177" i="213"/>
  <c r="H178" i="213"/>
  <c r="H179" i="213"/>
  <c r="H180" i="213"/>
  <c r="H182" i="213"/>
  <c r="H183" i="213"/>
  <c r="E169" i="213"/>
  <c r="E171" i="213"/>
  <c r="E173" i="213"/>
  <c r="E175" i="213"/>
  <c r="E176" i="213"/>
  <c r="E178" i="213"/>
  <c r="E180" i="213"/>
  <c r="E181" i="213"/>
  <c r="E182" i="213"/>
  <c r="E183" i="213"/>
  <c r="B178" i="213"/>
  <c r="B182" i="213"/>
  <c r="H145" i="213"/>
  <c r="H181" i="213"/>
  <c r="B132" i="213"/>
  <c r="B134" i="213"/>
  <c r="B136" i="213"/>
  <c r="B138" i="213"/>
  <c r="B142" i="213"/>
  <c r="B144" i="213"/>
  <c r="B168" i="213"/>
  <c r="B170" i="213"/>
  <c r="B172" i="213"/>
  <c r="B174" i="213"/>
  <c r="B176" i="213"/>
  <c r="B130" i="211"/>
  <c r="I48" i="219"/>
  <c r="I66" i="219"/>
  <c r="I30" i="219"/>
  <c r="J30" i="219"/>
  <c r="J66" i="219"/>
  <c r="J48" i="219"/>
  <c r="I67" i="218"/>
  <c r="I49" i="218"/>
  <c r="I31" i="218"/>
  <c r="I13" i="218"/>
  <c r="J67" i="218"/>
  <c r="J49" i="218"/>
  <c r="J31" i="218"/>
  <c r="J13" i="218"/>
  <c r="I68" i="219"/>
  <c r="I50" i="219"/>
  <c r="I32" i="219"/>
  <c r="J68" i="219"/>
  <c r="J50" i="219"/>
  <c r="J32" i="219"/>
  <c r="I69" i="218"/>
  <c r="I51" i="218"/>
  <c r="I33" i="218"/>
  <c r="J69" i="218"/>
  <c r="J51" i="218"/>
  <c r="J33" i="218"/>
  <c r="I70" i="219"/>
  <c r="I52" i="219"/>
  <c r="I34" i="219"/>
  <c r="I16" i="219"/>
  <c r="J70" i="219"/>
  <c r="J52" i="219"/>
  <c r="J34" i="219"/>
  <c r="J16" i="219"/>
  <c r="I71" i="218"/>
  <c r="I53" i="218"/>
  <c r="I35" i="218"/>
  <c r="J71" i="218"/>
  <c r="J53" i="218"/>
  <c r="J35" i="218"/>
  <c r="I73" i="218"/>
  <c r="I55" i="218"/>
  <c r="I37" i="218"/>
  <c r="I19" i="218"/>
  <c r="J73" i="218"/>
  <c r="J55" i="218"/>
  <c r="J37" i="218"/>
  <c r="J19" i="218"/>
  <c r="I75" i="218"/>
  <c r="I57" i="218"/>
  <c r="I39" i="218"/>
  <c r="J75" i="218"/>
  <c r="J57" i="218"/>
  <c r="J39" i="218"/>
  <c r="I22" i="219"/>
  <c r="I76" i="219"/>
  <c r="I58" i="219"/>
  <c r="I40" i="219"/>
  <c r="J76" i="219"/>
  <c r="J58" i="219"/>
  <c r="J40" i="219"/>
  <c r="J22" i="219"/>
  <c r="I77" i="218"/>
  <c r="I59" i="218"/>
  <c r="I41" i="218"/>
  <c r="I23" i="218"/>
  <c r="J77" i="218"/>
  <c r="J59" i="218"/>
  <c r="J41" i="218"/>
  <c r="J23" i="218"/>
  <c r="H78" i="169"/>
  <c r="H42" i="169"/>
  <c r="H60" i="169"/>
  <c r="I24" i="219"/>
  <c r="I78" i="219"/>
  <c r="I60" i="219"/>
  <c r="I42" i="219"/>
  <c r="I60" i="169"/>
  <c r="I78" i="169"/>
  <c r="J78" i="219"/>
  <c r="J60" i="219"/>
  <c r="J42" i="219"/>
  <c r="J24" i="219"/>
  <c r="J78" i="169"/>
  <c r="J60" i="169"/>
  <c r="I79" i="218"/>
  <c r="I61" i="218"/>
  <c r="I43" i="218"/>
  <c r="I25" i="218"/>
  <c r="J79" i="218"/>
  <c r="J61" i="218"/>
  <c r="J43" i="218"/>
  <c r="J25" i="218"/>
  <c r="I26" i="219"/>
  <c r="I80" i="219"/>
  <c r="I62" i="219"/>
  <c r="I44" i="219"/>
  <c r="J80" i="219"/>
  <c r="J62" i="219"/>
  <c r="J44" i="219"/>
  <c r="J26" i="219"/>
  <c r="I81" i="218"/>
  <c r="I63" i="218"/>
  <c r="I45" i="218"/>
  <c r="J129" i="211"/>
  <c r="J81" i="218"/>
  <c r="J63" i="218"/>
  <c r="J45" i="218"/>
  <c r="I184" i="213"/>
  <c r="I24" i="169"/>
  <c r="I42" i="169"/>
  <c r="E130" i="211"/>
  <c r="I66" i="218"/>
  <c r="I30" i="218"/>
  <c r="I48" i="218"/>
  <c r="H130" i="211"/>
  <c r="J48" i="218"/>
  <c r="J66" i="218"/>
  <c r="J30" i="218"/>
  <c r="H49" i="169"/>
  <c r="H67" i="169"/>
  <c r="H31" i="169"/>
  <c r="I67" i="219"/>
  <c r="I49" i="219"/>
  <c r="I31" i="219"/>
  <c r="I13" i="219"/>
  <c r="I67" i="169"/>
  <c r="I31" i="169"/>
  <c r="I49" i="169"/>
  <c r="J67" i="219"/>
  <c r="J49" i="219"/>
  <c r="J31" i="219"/>
  <c r="J13" i="219"/>
  <c r="J49" i="169"/>
  <c r="J67" i="169"/>
  <c r="J31" i="169"/>
  <c r="I68" i="218"/>
  <c r="I50" i="218"/>
  <c r="I32" i="218"/>
  <c r="J116" i="211"/>
  <c r="J68" i="218"/>
  <c r="J50" i="218"/>
  <c r="J32" i="218"/>
  <c r="I69" i="219"/>
  <c r="I51" i="219"/>
  <c r="I33" i="219"/>
  <c r="I15" i="219"/>
  <c r="J69" i="219"/>
  <c r="J51" i="219"/>
  <c r="J33" i="219"/>
  <c r="J15" i="219"/>
  <c r="I70" i="218"/>
  <c r="I52" i="218"/>
  <c r="I34" i="218"/>
  <c r="I16" i="218"/>
  <c r="J118" i="211"/>
  <c r="J70" i="218"/>
  <c r="J52" i="218"/>
  <c r="J34" i="218"/>
  <c r="J16" i="218"/>
  <c r="I71" i="219"/>
  <c r="I53" i="219"/>
  <c r="I35" i="219"/>
  <c r="J71" i="219"/>
  <c r="J53" i="219"/>
  <c r="J35" i="219"/>
  <c r="I72" i="218"/>
  <c r="I54" i="218"/>
  <c r="I36" i="218"/>
  <c r="J120" i="211"/>
  <c r="J72" i="218"/>
  <c r="J54" i="218"/>
  <c r="J36" i="218"/>
  <c r="I73" i="219"/>
  <c r="I55" i="219"/>
  <c r="I37" i="219"/>
  <c r="I19" i="219"/>
  <c r="J73" i="219"/>
  <c r="J55" i="219"/>
  <c r="J37" i="219"/>
  <c r="J19" i="219"/>
  <c r="G122" i="211"/>
  <c r="I74" i="218"/>
  <c r="I56" i="218"/>
  <c r="I38" i="218"/>
  <c r="J122" i="211"/>
  <c r="J74" i="218"/>
  <c r="J56" i="218"/>
  <c r="J38" i="218"/>
  <c r="I75" i="219"/>
  <c r="I57" i="219"/>
  <c r="I39" i="219"/>
  <c r="J75" i="219"/>
  <c r="J57" i="219"/>
  <c r="J39" i="219"/>
  <c r="J21" i="219"/>
  <c r="I76" i="218"/>
  <c r="I58" i="218"/>
  <c r="I40" i="218"/>
  <c r="I22" i="218"/>
  <c r="J124" i="211"/>
  <c r="J76" i="218"/>
  <c r="J58" i="218"/>
  <c r="J40" i="218"/>
  <c r="J22" i="218"/>
  <c r="I23" i="219"/>
  <c r="I77" i="219"/>
  <c r="I59" i="219"/>
  <c r="I41" i="219"/>
  <c r="J77" i="219"/>
  <c r="J59" i="219"/>
  <c r="J41" i="219"/>
  <c r="J23" i="219"/>
  <c r="I78" i="161"/>
  <c r="I78" i="218"/>
  <c r="I60" i="218"/>
  <c r="I42" i="218"/>
  <c r="I24" i="218"/>
  <c r="J78" i="161"/>
  <c r="J78" i="218"/>
  <c r="J60" i="218"/>
  <c r="J42" i="218"/>
  <c r="J24" i="218"/>
  <c r="I80" i="218"/>
  <c r="I62" i="218"/>
  <c r="I44" i="218"/>
  <c r="I26" i="218"/>
  <c r="J80" i="218"/>
  <c r="J62" i="218"/>
  <c r="J44" i="218"/>
  <c r="J26" i="218"/>
  <c r="I81" i="219"/>
  <c r="I63" i="219"/>
  <c r="I45" i="219"/>
  <c r="J81" i="219"/>
  <c r="J63" i="219"/>
  <c r="J45" i="219"/>
  <c r="F148" i="213"/>
  <c r="I148" i="213"/>
  <c r="I60" i="161"/>
  <c r="J24" i="169"/>
  <c r="H24" i="169"/>
  <c r="I13" i="169"/>
  <c r="J42" i="169"/>
  <c r="D116" i="211"/>
  <c r="G116" i="211"/>
  <c r="D118" i="211"/>
  <c r="G118" i="211"/>
  <c r="D120" i="211"/>
  <c r="G120" i="211"/>
  <c r="D122" i="211"/>
  <c r="D124" i="211"/>
  <c r="G124" i="211"/>
  <c r="E184" i="211"/>
  <c r="F184" i="211"/>
  <c r="H78" i="161"/>
  <c r="D115" i="211"/>
  <c r="D125" i="211"/>
  <c r="G127" i="211"/>
  <c r="D129" i="211"/>
  <c r="G129" i="211"/>
  <c r="H24" i="161"/>
  <c r="H42" i="161"/>
  <c r="J42" i="161"/>
  <c r="J60" i="161"/>
  <c r="J24" i="161"/>
  <c r="I24" i="161"/>
  <c r="I42" i="161"/>
  <c r="C148" i="213"/>
  <c r="B140" i="213"/>
  <c r="H140" i="213"/>
  <c r="B146" i="213"/>
  <c r="G115" i="211"/>
  <c r="J115" i="211"/>
  <c r="D117" i="211"/>
  <c r="G117" i="211"/>
  <c r="J117" i="211"/>
  <c r="D119" i="211"/>
  <c r="D121" i="211"/>
  <c r="G121" i="211"/>
  <c r="J121" i="211"/>
  <c r="G123" i="211"/>
  <c r="J123" i="211"/>
  <c r="G125" i="211"/>
  <c r="J125" i="211"/>
  <c r="G168" i="211"/>
  <c r="D126" i="211"/>
  <c r="G126" i="211"/>
  <c r="J126" i="211"/>
  <c r="D128" i="211"/>
  <c r="G128" i="211"/>
  <c r="J168" i="211"/>
  <c r="J128" i="211"/>
  <c r="G119" i="211"/>
  <c r="J119" i="211"/>
  <c r="C130" i="211"/>
  <c r="F130" i="211"/>
  <c r="I130" i="211"/>
  <c r="D123" i="211"/>
  <c r="D127" i="211"/>
  <c r="J127" i="211"/>
  <c r="G114" i="211"/>
  <c r="D114" i="211"/>
  <c r="J114" i="211"/>
  <c r="D64" i="226"/>
  <c r="E27" i="226"/>
  <c r="C27" i="226"/>
  <c r="D26" i="226"/>
  <c r="E25" i="226"/>
  <c r="C25" i="226"/>
  <c r="D24" i="226"/>
  <c r="E23" i="226"/>
  <c r="C23" i="226"/>
  <c r="D22" i="226"/>
  <c r="E21" i="226"/>
  <c r="C21" i="226"/>
  <c r="D20" i="226"/>
  <c r="E19" i="226"/>
  <c r="C19" i="226"/>
  <c r="D18" i="226"/>
  <c r="E17" i="226"/>
  <c r="C17" i="226"/>
  <c r="D16" i="226"/>
  <c r="E15" i="226"/>
  <c r="C15" i="226"/>
  <c r="D14" i="226"/>
  <c r="E13" i="226"/>
  <c r="C13" i="226"/>
  <c r="D27" i="226"/>
  <c r="E26" i="226"/>
  <c r="C26" i="226"/>
  <c r="D25" i="226"/>
  <c r="E24" i="226"/>
  <c r="C24" i="226"/>
  <c r="D23" i="226"/>
  <c r="E22" i="226"/>
  <c r="C22" i="226"/>
  <c r="D21" i="226"/>
  <c r="E20" i="226"/>
  <c r="C20" i="226"/>
  <c r="D19" i="226"/>
  <c r="E18" i="226"/>
  <c r="C18" i="226"/>
  <c r="D17" i="226"/>
  <c r="E16" i="226"/>
  <c r="C16" i="226"/>
  <c r="D15" i="226"/>
  <c r="E14" i="226"/>
  <c r="C14" i="226"/>
  <c r="D13" i="226"/>
  <c r="E12" i="226"/>
  <c r="C12" i="226"/>
  <c r="E27" i="225"/>
  <c r="D27" i="225"/>
  <c r="C27" i="225"/>
  <c r="E26" i="225"/>
  <c r="D26" i="225"/>
  <c r="C26" i="225"/>
  <c r="E25" i="225"/>
  <c r="D25" i="225"/>
  <c r="C25" i="225"/>
  <c r="E24" i="225"/>
  <c r="D24" i="225"/>
  <c r="C24" i="225"/>
  <c r="E23" i="225"/>
  <c r="D23" i="225"/>
  <c r="C23" i="225"/>
  <c r="E22" i="225"/>
  <c r="D22" i="225"/>
  <c r="C22" i="225"/>
  <c r="E21" i="225"/>
  <c r="D21" i="225"/>
  <c r="C21" i="225"/>
  <c r="E20" i="225"/>
  <c r="D20" i="225"/>
  <c r="C20" i="225"/>
  <c r="E19" i="225"/>
  <c r="D19" i="225"/>
  <c r="C19" i="225"/>
  <c r="E18" i="225"/>
  <c r="D18" i="225"/>
  <c r="C18" i="225"/>
  <c r="E17" i="225"/>
  <c r="D17" i="225"/>
  <c r="C17" i="225"/>
  <c r="E16" i="225"/>
  <c r="D16" i="225"/>
  <c r="C16" i="225"/>
  <c r="E15" i="225"/>
  <c r="D15" i="225"/>
  <c r="C15" i="225"/>
  <c r="E14" i="225"/>
  <c r="D14" i="225"/>
  <c r="C14" i="225"/>
  <c r="E13" i="225"/>
  <c r="D13" i="225"/>
  <c r="C13" i="225"/>
  <c r="E12" i="225"/>
  <c r="D12" i="225"/>
  <c r="C12" i="225"/>
  <c r="E63" i="222"/>
  <c r="D63" i="222"/>
  <c r="C63" i="222"/>
  <c r="E62" i="222"/>
  <c r="D62" i="222"/>
  <c r="C62" i="222"/>
  <c r="E61" i="222"/>
  <c r="D61" i="222"/>
  <c r="C61" i="222"/>
  <c r="E60" i="222"/>
  <c r="D60" i="222"/>
  <c r="C60" i="222"/>
  <c r="E59" i="222"/>
  <c r="D59" i="222"/>
  <c r="C59" i="222"/>
  <c r="E58" i="222"/>
  <c r="D58" i="222"/>
  <c r="C58" i="222"/>
  <c r="E57" i="222"/>
  <c r="D57" i="222"/>
  <c r="C57" i="222"/>
  <c r="E56" i="222"/>
  <c r="D56" i="222"/>
  <c r="C56" i="222"/>
  <c r="E55" i="222"/>
  <c r="D55" i="222"/>
  <c r="C55" i="222"/>
  <c r="E54" i="222"/>
  <c r="D54" i="222"/>
  <c r="C54" i="222"/>
  <c r="E53" i="222"/>
  <c r="D53" i="222"/>
  <c r="C53" i="222"/>
  <c r="E52" i="222"/>
  <c r="D52" i="222"/>
  <c r="C52" i="222"/>
  <c r="E51" i="222"/>
  <c r="D51" i="222"/>
  <c r="C51" i="222"/>
  <c r="E50" i="222"/>
  <c r="D50" i="222"/>
  <c r="C50" i="222"/>
  <c r="E49" i="222"/>
  <c r="D49" i="222"/>
  <c r="C49" i="222"/>
  <c r="E48" i="222"/>
  <c r="D48" i="222"/>
  <c r="C48" i="222"/>
  <c r="D45" i="222"/>
  <c r="E44" i="222"/>
  <c r="C44" i="222"/>
  <c r="D43" i="222"/>
  <c r="E42" i="222"/>
  <c r="C42" i="222"/>
  <c r="D41" i="222"/>
  <c r="E40" i="222"/>
  <c r="C40" i="222"/>
  <c r="D39" i="222"/>
  <c r="E38" i="222"/>
  <c r="C38" i="222"/>
  <c r="D37" i="222"/>
  <c r="E36" i="222"/>
  <c r="C36" i="222"/>
  <c r="D35" i="222"/>
  <c r="E34" i="222"/>
  <c r="C34" i="222"/>
  <c r="D33" i="222"/>
  <c r="E32" i="222"/>
  <c r="C32" i="222"/>
  <c r="D31" i="222"/>
  <c r="E30" i="222"/>
  <c r="C30" i="222"/>
  <c r="D27" i="224"/>
  <c r="E26" i="224"/>
  <c r="C26" i="224"/>
  <c r="D25" i="224"/>
  <c r="E24" i="224"/>
  <c r="C24" i="224"/>
  <c r="D23" i="224"/>
  <c r="E22" i="224"/>
  <c r="C22" i="224"/>
  <c r="D21" i="224"/>
  <c r="E20" i="224"/>
  <c r="C20" i="224"/>
  <c r="D19" i="224"/>
  <c r="E18" i="224"/>
  <c r="C18" i="224"/>
  <c r="D17" i="224"/>
  <c r="E16" i="224"/>
  <c r="C16" i="224"/>
  <c r="D15" i="224"/>
  <c r="E14" i="224"/>
  <c r="C14" i="224"/>
  <c r="D13" i="224"/>
  <c r="E12" i="224"/>
  <c r="C12" i="224"/>
  <c r="D81" i="217"/>
  <c r="D80" i="217"/>
  <c r="D79" i="217"/>
  <c r="E78" i="217"/>
  <c r="D78" i="217"/>
  <c r="D77" i="217"/>
  <c r="D76" i="217"/>
  <c r="D75" i="217"/>
  <c r="D73" i="217"/>
  <c r="D72" i="217"/>
  <c r="D71" i="217"/>
  <c r="D70" i="217"/>
  <c r="D69" i="217"/>
  <c r="D68" i="217"/>
  <c r="D67" i="217"/>
  <c r="D63" i="217"/>
  <c r="D62" i="217"/>
  <c r="D61" i="217"/>
  <c r="E60" i="217"/>
  <c r="D60" i="217"/>
  <c r="D59" i="217"/>
  <c r="D58" i="217"/>
  <c r="D57" i="217"/>
  <c r="D55" i="217"/>
  <c r="D54" i="217"/>
  <c r="D53" i="217"/>
  <c r="D52" i="217"/>
  <c r="D51" i="217"/>
  <c r="D50" i="217"/>
  <c r="D49" i="217"/>
  <c r="D45" i="217"/>
  <c r="D44" i="217"/>
  <c r="D43" i="217"/>
  <c r="E42" i="217"/>
  <c r="D42" i="217"/>
  <c r="D41" i="217"/>
  <c r="D40" i="217"/>
  <c r="D39" i="217"/>
  <c r="D37" i="217"/>
  <c r="D36" i="217"/>
  <c r="D35" i="217"/>
  <c r="D34" i="217"/>
  <c r="D33" i="217"/>
  <c r="D32" i="217"/>
  <c r="D31" i="217"/>
  <c r="D30" i="217"/>
  <c r="E27" i="220"/>
  <c r="D27" i="220"/>
  <c r="E26" i="220"/>
  <c r="D26" i="220"/>
  <c r="E25" i="220"/>
  <c r="D25" i="220"/>
  <c r="E24" i="220"/>
  <c r="D24" i="220"/>
  <c r="E23" i="220"/>
  <c r="D23" i="220"/>
  <c r="E22" i="220"/>
  <c r="D22" i="220"/>
  <c r="E21" i="220"/>
  <c r="D21" i="220"/>
  <c r="E20" i="220"/>
  <c r="D20" i="220"/>
  <c r="E18" i="220"/>
  <c r="D18" i="220"/>
  <c r="E17" i="220"/>
  <c r="D17" i="220"/>
  <c r="E16" i="220"/>
  <c r="D16" i="220"/>
  <c r="E15" i="220"/>
  <c r="D15" i="220"/>
  <c r="E14" i="220"/>
  <c r="D14" i="220"/>
  <c r="E13" i="220"/>
  <c r="D13" i="220"/>
  <c r="E12" i="220"/>
  <c r="D12" i="220"/>
  <c r="D81" i="216"/>
  <c r="C81" i="216"/>
  <c r="D80" i="216"/>
  <c r="C80" i="216"/>
  <c r="D79" i="216"/>
  <c r="C79" i="216"/>
  <c r="E78" i="216"/>
  <c r="D78" i="216"/>
  <c r="C78" i="216"/>
  <c r="D77" i="216"/>
  <c r="C77" i="216"/>
  <c r="D76" i="216"/>
  <c r="C76" i="216"/>
  <c r="D75" i="216"/>
  <c r="C75" i="216"/>
  <c r="C74" i="216"/>
  <c r="D73" i="216"/>
  <c r="C73" i="216"/>
  <c r="D72" i="216"/>
  <c r="C72" i="216"/>
  <c r="D71" i="216"/>
  <c r="C71" i="216"/>
  <c r="D70" i="216"/>
  <c r="C70" i="216"/>
  <c r="D69" i="216"/>
  <c r="C69" i="216"/>
  <c r="D68" i="216"/>
  <c r="C68" i="216"/>
  <c r="D67" i="216"/>
  <c r="C67" i="216"/>
  <c r="D82" i="219"/>
  <c r="D63" i="216"/>
  <c r="C63" i="216"/>
  <c r="D62" i="216"/>
  <c r="C62" i="216"/>
  <c r="D61" i="216"/>
  <c r="C61" i="216"/>
  <c r="E60" i="216"/>
  <c r="D60" i="216"/>
  <c r="C60" i="216"/>
  <c r="D59" i="216"/>
  <c r="C59" i="216"/>
  <c r="D58" i="216"/>
  <c r="C58" i="216"/>
  <c r="D57" i="216"/>
  <c r="C57" i="216"/>
  <c r="C56" i="216"/>
  <c r="D55" i="216"/>
  <c r="C55" i="216"/>
  <c r="D54" i="216"/>
  <c r="C54" i="216"/>
  <c r="D53" i="216"/>
  <c r="C53" i="216"/>
  <c r="D52" i="216"/>
  <c r="C52" i="216"/>
  <c r="D51" i="216"/>
  <c r="C51" i="216"/>
  <c r="D50" i="216"/>
  <c r="C50" i="216"/>
  <c r="D49" i="216"/>
  <c r="C49" i="216"/>
  <c r="C45" i="216"/>
  <c r="E26" i="219"/>
  <c r="D44" i="216"/>
  <c r="C43" i="216"/>
  <c r="E42" i="216"/>
  <c r="C42" i="216"/>
  <c r="E23" i="219"/>
  <c r="D41" i="216"/>
  <c r="C40" i="216"/>
  <c r="E21" i="219"/>
  <c r="D39" i="216"/>
  <c r="D20" i="219"/>
  <c r="C38" i="216"/>
  <c r="E19" i="219"/>
  <c r="D37" i="216"/>
  <c r="C36" i="216"/>
  <c r="E17" i="219"/>
  <c r="J17" i="219" s="1"/>
  <c r="D35" i="216"/>
  <c r="C34" i="216"/>
  <c r="E15" i="219"/>
  <c r="D33" i="216"/>
  <c r="C32" i="216"/>
  <c r="C31" i="216"/>
  <c r="E27" i="219"/>
  <c r="J27" i="219" s="1"/>
  <c r="C25" i="219"/>
  <c r="C24" i="219"/>
  <c r="D23" i="219"/>
  <c r="E22" i="219"/>
  <c r="C20" i="219"/>
  <c r="D19" i="219"/>
  <c r="E18" i="219"/>
  <c r="C16" i="219"/>
  <c r="D15" i="219"/>
  <c r="E14" i="219"/>
  <c r="J14" i="219" s="1"/>
  <c r="E13" i="219"/>
  <c r="E12" i="219"/>
  <c r="J12" i="219" s="1"/>
  <c r="D66" i="216"/>
  <c r="C66" i="216"/>
  <c r="C48" i="216"/>
  <c r="E27" i="218"/>
  <c r="J27" i="218" s="1"/>
  <c r="D26" i="218"/>
  <c r="E25" i="218"/>
  <c r="E24" i="218"/>
  <c r="D23" i="218"/>
  <c r="E22" i="218"/>
  <c r="D21" i="218"/>
  <c r="I21" i="218" s="1"/>
  <c r="E20" i="218"/>
  <c r="J20" i="218" s="1"/>
  <c r="D19" i="218"/>
  <c r="E18" i="218"/>
  <c r="J18" i="218" s="1"/>
  <c r="D17" i="218"/>
  <c r="I17" i="218" s="1"/>
  <c r="E16" i="218"/>
  <c r="D15" i="218"/>
  <c r="I15" i="218" s="1"/>
  <c r="E14" i="218"/>
  <c r="J14" i="218" s="1"/>
  <c r="D13" i="218"/>
  <c r="E46" i="218"/>
  <c r="D30" i="216"/>
  <c r="D25" i="218"/>
  <c r="D22" i="218"/>
  <c r="E21" i="218"/>
  <c r="J21" i="218" s="1"/>
  <c r="D18" i="218"/>
  <c r="I18" i="218" s="1"/>
  <c r="E17" i="218"/>
  <c r="J17" i="218" s="1"/>
  <c r="D16" i="218"/>
  <c r="E15" i="218"/>
  <c r="J15" i="218" s="1"/>
  <c r="D14" i="218"/>
  <c r="I14" i="218" s="1"/>
  <c r="E13" i="218"/>
  <c r="D12" i="218"/>
  <c r="I12" i="218" s="1"/>
  <c r="G130" i="211" l="1"/>
  <c r="J184" i="211"/>
  <c r="E184" i="213"/>
  <c r="G184" i="213" s="1"/>
  <c r="B184" i="213"/>
  <c r="D184" i="213" s="1"/>
  <c r="H184" i="213"/>
  <c r="J184" i="213" s="1"/>
  <c r="E148" i="213"/>
  <c r="G148" i="213" s="1"/>
  <c r="D130" i="211"/>
  <c r="H148" i="213"/>
  <c r="J148" i="213" s="1"/>
  <c r="J130" i="211"/>
  <c r="I78" i="216"/>
  <c r="I60" i="216"/>
  <c r="I42" i="216"/>
  <c r="I24" i="216"/>
  <c r="D12" i="224"/>
  <c r="D30" i="222"/>
  <c r="C13" i="224"/>
  <c r="C31" i="222"/>
  <c r="E13" i="224"/>
  <c r="E31" i="222"/>
  <c r="D14" i="224"/>
  <c r="D32" i="222"/>
  <c r="C15" i="224"/>
  <c r="C33" i="222"/>
  <c r="E15" i="224"/>
  <c r="E33" i="222"/>
  <c r="D16" i="224"/>
  <c r="D34" i="222"/>
  <c r="C17" i="224"/>
  <c r="C35" i="222"/>
  <c r="E17" i="224"/>
  <c r="E35" i="222"/>
  <c r="D18" i="224"/>
  <c r="D36" i="222"/>
  <c r="C19" i="224"/>
  <c r="C37" i="222"/>
  <c r="E19" i="224"/>
  <c r="E37" i="222"/>
  <c r="D20" i="224"/>
  <c r="D38" i="222"/>
  <c r="C21" i="224"/>
  <c r="C39" i="222"/>
  <c r="E21" i="224"/>
  <c r="E39" i="222"/>
  <c r="D22" i="224"/>
  <c r="D40" i="222"/>
  <c r="C23" i="224"/>
  <c r="C41" i="222"/>
  <c r="E23" i="224"/>
  <c r="E41" i="222"/>
  <c r="D24" i="224"/>
  <c r="D42" i="222"/>
  <c r="C25" i="224"/>
  <c r="C43" i="222"/>
  <c r="E25" i="224"/>
  <c r="E43" i="222"/>
  <c r="D26" i="224"/>
  <c r="D44" i="222"/>
  <c r="C27" i="224"/>
  <c r="C45" i="222"/>
  <c r="E27" i="224"/>
  <c r="E45" i="222"/>
  <c r="J78" i="216"/>
  <c r="J60" i="216"/>
  <c r="J42" i="216"/>
  <c r="J24" i="216"/>
  <c r="G184" i="211"/>
  <c r="H78" i="152"/>
  <c r="H42" i="152"/>
  <c r="H60" i="152"/>
  <c r="H24" i="152"/>
  <c r="D13" i="219"/>
  <c r="D31" i="216"/>
  <c r="D14" i="219"/>
  <c r="I14" i="219" s="1"/>
  <c r="D32" i="216"/>
  <c r="C15" i="219"/>
  <c r="C33" i="216"/>
  <c r="D16" i="219"/>
  <c r="D34" i="216"/>
  <c r="C17" i="219"/>
  <c r="C35" i="216"/>
  <c r="D18" i="219"/>
  <c r="D36" i="216"/>
  <c r="C19" i="219"/>
  <c r="C37" i="216"/>
  <c r="C21" i="219"/>
  <c r="C39" i="216"/>
  <c r="D22" i="219"/>
  <c r="D40" i="216"/>
  <c r="C23" i="219"/>
  <c r="C41" i="216"/>
  <c r="D25" i="219"/>
  <c r="D43" i="216"/>
  <c r="C26" i="219"/>
  <c r="C44" i="216"/>
  <c r="D27" i="219"/>
  <c r="I27" i="219" s="1"/>
  <c r="D45" i="216"/>
  <c r="J24" i="152"/>
  <c r="J78" i="152"/>
  <c r="J60" i="152"/>
  <c r="J42" i="152"/>
  <c r="D24" i="219"/>
  <c r="I78" i="152"/>
  <c r="I42" i="152"/>
  <c r="I60" i="152"/>
  <c r="I24" i="152"/>
  <c r="D42" i="216"/>
  <c r="B148" i="213"/>
  <c r="D148" i="213" s="1"/>
  <c r="D64" i="218"/>
  <c r="D48" i="216"/>
  <c r="D64" i="220"/>
  <c r="D48" i="217"/>
  <c r="D82" i="220"/>
  <c r="D66" i="217"/>
  <c r="C30" i="216"/>
  <c r="D64" i="224"/>
  <c r="E19" i="218"/>
  <c r="C46" i="225"/>
  <c r="E46" i="225"/>
  <c r="C64" i="225"/>
  <c r="E64" i="225"/>
  <c r="D20" i="218"/>
  <c r="I20" i="218" s="1"/>
  <c r="E23" i="218"/>
  <c r="D24" i="218"/>
  <c r="E26" i="218"/>
  <c r="D27" i="218"/>
  <c r="I27" i="218" s="1"/>
  <c r="C13" i="219"/>
  <c r="C14" i="219"/>
  <c r="E16" i="219"/>
  <c r="D17" i="219"/>
  <c r="I17" i="219" s="1"/>
  <c r="C18" i="219"/>
  <c r="E20" i="219"/>
  <c r="D21" i="219"/>
  <c r="I21" i="219" s="1"/>
  <c r="C22" i="219"/>
  <c r="E24" i="219"/>
  <c r="E25" i="219"/>
  <c r="D26" i="219"/>
  <c r="C27" i="219"/>
  <c r="D46" i="219"/>
  <c r="D12" i="219"/>
  <c r="I12" i="219" s="1"/>
  <c r="E12" i="218"/>
  <c r="J12" i="218" s="1"/>
  <c r="C12" i="219"/>
  <c r="C64" i="216"/>
  <c r="E64" i="218"/>
  <c r="D82" i="218"/>
  <c r="D82" i="216" s="1"/>
  <c r="E46" i="219"/>
  <c r="D64" i="219"/>
  <c r="E46" i="220"/>
  <c r="E64" i="220"/>
  <c r="D46" i="226"/>
  <c r="D12" i="226"/>
  <c r="C46" i="224"/>
  <c r="E46" i="224"/>
  <c r="D64" i="225"/>
  <c r="E64" i="219"/>
  <c r="D46" i="224"/>
  <c r="C46" i="226"/>
  <c r="E46" i="226"/>
  <c r="D46" i="225"/>
  <c r="C64" i="226"/>
  <c r="E64" i="226"/>
  <c r="C64" i="224"/>
  <c r="E64" i="224"/>
  <c r="D46" i="220"/>
  <c r="E82" i="220"/>
  <c r="E82" i="219"/>
  <c r="D46" i="218"/>
  <c r="C82" i="216"/>
  <c r="E82" i="218"/>
  <c r="D28" i="226" l="1"/>
  <c r="C28" i="225"/>
  <c r="E28" i="225"/>
  <c r="E46" i="222"/>
  <c r="E64" i="222"/>
  <c r="C64" i="222"/>
  <c r="C46" i="222"/>
  <c r="D46" i="222"/>
  <c r="D64" i="222"/>
  <c r="E46" i="216"/>
  <c r="D46" i="217"/>
  <c r="E46" i="217"/>
  <c r="E82" i="217"/>
  <c r="E64" i="217"/>
  <c r="D82" i="217"/>
  <c r="D64" i="217"/>
  <c r="D28" i="219"/>
  <c r="E82" i="216"/>
  <c r="E64" i="216"/>
  <c r="D46" i="216"/>
  <c r="D64" i="216"/>
  <c r="C46" i="216"/>
  <c r="D28" i="224"/>
  <c r="E28" i="226"/>
  <c r="C28" i="226"/>
  <c r="D28" i="225"/>
  <c r="E28" i="224"/>
  <c r="C28" i="224"/>
  <c r="D28" i="220"/>
  <c r="E28" i="220"/>
  <c r="E28" i="219"/>
  <c r="C28" i="219"/>
  <c r="D28" i="218"/>
  <c r="E28" i="218"/>
  <c r="E63" i="185"/>
  <c r="E62" i="185"/>
  <c r="E61" i="185"/>
  <c r="E60" i="185"/>
  <c r="E59" i="185"/>
  <c r="E58" i="185"/>
  <c r="E57" i="185"/>
  <c r="E56" i="185"/>
  <c r="E55" i="185"/>
  <c r="E54" i="185"/>
  <c r="E53" i="185"/>
  <c r="E52" i="185"/>
  <c r="E51" i="185"/>
  <c r="E50" i="185"/>
  <c r="E49" i="185"/>
  <c r="E48" i="185"/>
  <c r="E45" i="185"/>
  <c r="E44" i="185"/>
  <c r="E43" i="185"/>
  <c r="E42" i="185"/>
  <c r="E24" i="185" s="1"/>
  <c r="E41" i="185"/>
  <c r="E40" i="185"/>
  <c r="E39" i="185"/>
  <c r="E38" i="185"/>
  <c r="E20" i="185" s="1"/>
  <c r="E37" i="185"/>
  <c r="E36" i="185"/>
  <c r="E35" i="185"/>
  <c r="E34" i="185"/>
  <c r="E16" i="185" s="1"/>
  <c r="E33" i="185"/>
  <c r="E32" i="185"/>
  <c r="E31" i="185"/>
  <c r="E30" i="185"/>
  <c r="E12" i="185" s="1"/>
  <c r="E63" i="186"/>
  <c r="E62" i="186"/>
  <c r="E61" i="186"/>
  <c r="E60" i="186"/>
  <c r="E59" i="186"/>
  <c r="E58" i="186"/>
  <c r="E57" i="186"/>
  <c r="E56" i="186"/>
  <c r="E55" i="186"/>
  <c r="E54" i="186"/>
  <c r="E53" i="186"/>
  <c r="E52" i="186"/>
  <c r="E51" i="186"/>
  <c r="E50" i="186"/>
  <c r="E49" i="186"/>
  <c r="E48" i="186"/>
  <c r="E45" i="186"/>
  <c r="E44" i="186"/>
  <c r="E43" i="186"/>
  <c r="E25" i="186" s="1"/>
  <c r="E42" i="186"/>
  <c r="E41" i="186"/>
  <c r="E40" i="186"/>
  <c r="E39" i="186"/>
  <c r="E38" i="186"/>
  <c r="E37" i="186"/>
  <c r="E36" i="186"/>
  <c r="E35" i="186"/>
  <c r="E17" i="186" s="1"/>
  <c r="E34" i="186"/>
  <c r="E33" i="186"/>
  <c r="E32" i="186"/>
  <c r="E31" i="186"/>
  <c r="E30" i="186"/>
  <c r="E63" i="187"/>
  <c r="E62" i="187"/>
  <c r="E61" i="187"/>
  <c r="E60" i="187"/>
  <c r="E59" i="187"/>
  <c r="E58" i="187"/>
  <c r="E57" i="187"/>
  <c r="E56" i="187"/>
  <c r="E55" i="187"/>
  <c r="E54" i="187"/>
  <c r="E53" i="187"/>
  <c r="E52" i="187"/>
  <c r="E51" i="187"/>
  <c r="E50" i="187"/>
  <c r="E49" i="187"/>
  <c r="E48" i="187"/>
  <c r="E45" i="187"/>
  <c r="E44" i="187"/>
  <c r="E43" i="187"/>
  <c r="E42" i="187"/>
  <c r="E24" i="187" s="1"/>
  <c r="E41" i="187"/>
  <c r="E40" i="187"/>
  <c r="E22" i="187" s="1"/>
  <c r="E39" i="187"/>
  <c r="E38" i="187"/>
  <c r="E37" i="187"/>
  <c r="E36" i="187"/>
  <c r="E35" i="187"/>
  <c r="E34" i="187"/>
  <c r="E16" i="187" s="1"/>
  <c r="E33" i="187"/>
  <c r="E32" i="187"/>
  <c r="E14" i="187" s="1"/>
  <c r="E31" i="187"/>
  <c r="E30" i="187"/>
  <c r="E63" i="188"/>
  <c r="E62" i="188"/>
  <c r="E61" i="188"/>
  <c r="E60" i="188"/>
  <c r="E59" i="188"/>
  <c r="E58" i="188"/>
  <c r="E57" i="188"/>
  <c r="E56" i="188"/>
  <c r="E55" i="188"/>
  <c r="E54" i="188"/>
  <c r="E53" i="188"/>
  <c r="E52" i="188"/>
  <c r="E51" i="188"/>
  <c r="E50" i="188"/>
  <c r="E49" i="188"/>
  <c r="E48" i="188"/>
  <c r="E45" i="188"/>
  <c r="E44" i="188"/>
  <c r="E43" i="188"/>
  <c r="E25" i="188" s="1"/>
  <c r="E42" i="188"/>
  <c r="E41" i="188"/>
  <c r="E40" i="188"/>
  <c r="E39" i="188"/>
  <c r="E38" i="188"/>
  <c r="E37" i="188"/>
  <c r="E36" i="188"/>
  <c r="E35" i="188"/>
  <c r="E17" i="188" s="1"/>
  <c r="E34" i="188"/>
  <c r="E33" i="188"/>
  <c r="E32" i="188"/>
  <c r="E31" i="188"/>
  <c r="E30" i="188"/>
  <c r="E63" i="189"/>
  <c r="E62" i="189"/>
  <c r="E61" i="189"/>
  <c r="E60" i="189"/>
  <c r="E59" i="189"/>
  <c r="E58" i="189"/>
  <c r="E57" i="189"/>
  <c r="E56" i="189"/>
  <c r="E55" i="189"/>
  <c r="E54" i="189"/>
  <c r="E53" i="189"/>
  <c r="E52" i="189"/>
  <c r="E51" i="189"/>
  <c r="E50" i="189"/>
  <c r="E49" i="189"/>
  <c r="E48" i="189"/>
  <c r="E45" i="189"/>
  <c r="E44" i="189"/>
  <c r="E43" i="189"/>
  <c r="E42" i="189"/>
  <c r="E24" i="189" s="1"/>
  <c r="E41" i="189"/>
  <c r="E40" i="189"/>
  <c r="E22" i="189" s="1"/>
  <c r="E39" i="189"/>
  <c r="E38" i="189"/>
  <c r="E20" i="189" s="1"/>
  <c r="E37" i="189"/>
  <c r="E36" i="189"/>
  <c r="E35" i="189"/>
  <c r="E34" i="189"/>
  <c r="E16" i="189" s="1"/>
  <c r="E33" i="189"/>
  <c r="E32" i="189"/>
  <c r="E31" i="189"/>
  <c r="E30" i="189"/>
  <c r="E12" i="189" s="1"/>
  <c r="E63" i="190"/>
  <c r="E62" i="190"/>
  <c r="E61" i="190"/>
  <c r="E60" i="190"/>
  <c r="E59" i="190"/>
  <c r="E58" i="190"/>
  <c r="E57" i="190"/>
  <c r="E56" i="190"/>
  <c r="E55" i="190"/>
  <c r="E54" i="190"/>
  <c r="E53" i="190"/>
  <c r="E52" i="190"/>
  <c r="E51" i="190"/>
  <c r="E50" i="190"/>
  <c r="E49" i="190"/>
  <c r="E48" i="190"/>
  <c r="E45" i="190"/>
  <c r="E44" i="190"/>
  <c r="E43" i="190"/>
  <c r="E25" i="190" s="1"/>
  <c r="E42" i="190"/>
  <c r="E41" i="190"/>
  <c r="E40" i="190"/>
  <c r="E39" i="190"/>
  <c r="E21" i="190" s="1"/>
  <c r="E38" i="190"/>
  <c r="E37" i="190"/>
  <c r="E36" i="190"/>
  <c r="E35" i="190"/>
  <c r="E17" i="190" s="1"/>
  <c r="E34" i="190"/>
  <c r="E33" i="190"/>
  <c r="E32" i="190"/>
  <c r="E31" i="190"/>
  <c r="E13" i="190" s="1"/>
  <c r="E30" i="190"/>
  <c r="E63" i="191"/>
  <c r="E62" i="191"/>
  <c r="E61" i="191"/>
  <c r="E60" i="191"/>
  <c r="E59" i="191"/>
  <c r="E58" i="191"/>
  <c r="E57" i="191"/>
  <c r="E56" i="191"/>
  <c r="E55" i="191"/>
  <c r="E54" i="191"/>
  <c r="E53" i="191"/>
  <c r="E52" i="191"/>
  <c r="E51" i="191"/>
  <c r="E50" i="191"/>
  <c r="E49" i="191"/>
  <c r="E48" i="191"/>
  <c r="E45" i="191"/>
  <c r="E44" i="191"/>
  <c r="E43" i="191"/>
  <c r="E42" i="191"/>
  <c r="E24" i="191" s="1"/>
  <c r="E41" i="191"/>
  <c r="E40" i="191"/>
  <c r="E39" i="191"/>
  <c r="E38" i="191"/>
  <c r="E37" i="191"/>
  <c r="E36" i="191"/>
  <c r="E35" i="191"/>
  <c r="E34" i="191"/>
  <c r="E33" i="191"/>
  <c r="E32" i="191"/>
  <c r="E31" i="191"/>
  <c r="E30" i="191"/>
  <c r="E63" i="192"/>
  <c r="E62" i="192"/>
  <c r="E61" i="192"/>
  <c r="E60" i="192"/>
  <c r="E59" i="192"/>
  <c r="E58" i="192"/>
  <c r="E57" i="192"/>
  <c r="E56" i="192"/>
  <c r="E55" i="192"/>
  <c r="E54" i="192"/>
  <c r="E53" i="192"/>
  <c r="E52" i="192"/>
  <c r="E51" i="192"/>
  <c r="E50" i="192"/>
  <c r="E49" i="192"/>
  <c r="E48" i="192"/>
  <c r="J48" i="192" s="1"/>
  <c r="E45" i="192"/>
  <c r="E44" i="192"/>
  <c r="E43" i="192"/>
  <c r="E25" i="192" s="1"/>
  <c r="E42" i="192"/>
  <c r="E41" i="192"/>
  <c r="E40" i="192"/>
  <c r="E39" i="192"/>
  <c r="E38" i="192"/>
  <c r="E37" i="192"/>
  <c r="E36" i="192"/>
  <c r="E35" i="192"/>
  <c r="E17" i="192" s="1"/>
  <c r="E34" i="192"/>
  <c r="E33" i="192"/>
  <c r="E32" i="192"/>
  <c r="E31" i="192"/>
  <c r="E30" i="192"/>
  <c r="J30" i="192" s="1"/>
  <c r="E63" i="194"/>
  <c r="E62" i="194"/>
  <c r="E61" i="194"/>
  <c r="E60" i="194"/>
  <c r="E59" i="194"/>
  <c r="E58" i="194"/>
  <c r="E57" i="194"/>
  <c r="E56" i="194"/>
  <c r="E55" i="194"/>
  <c r="E54" i="194"/>
  <c r="E53" i="194"/>
  <c r="E52" i="194"/>
  <c r="E51" i="194"/>
  <c r="E50" i="194"/>
  <c r="E49" i="194"/>
  <c r="E48" i="194"/>
  <c r="E45" i="194"/>
  <c r="E44" i="194"/>
  <c r="E26" i="194" s="1"/>
  <c r="E43" i="194"/>
  <c r="E42" i="194"/>
  <c r="E24" i="194" s="1"/>
  <c r="E41" i="194"/>
  <c r="E40" i="194"/>
  <c r="E22" i="194" s="1"/>
  <c r="E39" i="194"/>
  <c r="E38" i="194"/>
  <c r="E20" i="194" s="1"/>
  <c r="E37" i="194"/>
  <c r="E36" i="194"/>
  <c r="E18" i="194" s="1"/>
  <c r="E35" i="194"/>
  <c r="E34" i="194"/>
  <c r="E16" i="194" s="1"/>
  <c r="E33" i="194"/>
  <c r="E32" i="194"/>
  <c r="E14" i="194" s="1"/>
  <c r="E31" i="194"/>
  <c r="E30" i="194"/>
  <c r="E12" i="194" s="1"/>
  <c r="E63" i="195"/>
  <c r="E62" i="195"/>
  <c r="E61" i="195"/>
  <c r="E60" i="195"/>
  <c r="E59" i="195"/>
  <c r="E58" i="195"/>
  <c r="E57" i="195"/>
  <c r="E56" i="195"/>
  <c r="E55" i="195"/>
  <c r="E54" i="195"/>
  <c r="E53" i="195"/>
  <c r="E52" i="195"/>
  <c r="E51" i="195"/>
  <c r="E50" i="195"/>
  <c r="E49" i="195"/>
  <c r="E48" i="195"/>
  <c r="E45" i="195"/>
  <c r="E27" i="195" s="1"/>
  <c r="E44" i="195"/>
  <c r="E43" i="195"/>
  <c r="E25" i="195" s="1"/>
  <c r="E42" i="195"/>
  <c r="E41" i="195"/>
  <c r="E23" i="195" s="1"/>
  <c r="E40" i="195"/>
  <c r="E39" i="195"/>
  <c r="E21" i="195" s="1"/>
  <c r="E38" i="195"/>
  <c r="E37" i="195"/>
  <c r="E19" i="195" s="1"/>
  <c r="E36" i="195"/>
  <c r="E35" i="195"/>
  <c r="E17" i="195" s="1"/>
  <c r="E34" i="195"/>
  <c r="E33" i="195"/>
  <c r="E15" i="195" s="1"/>
  <c r="E32" i="195"/>
  <c r="E31" i="195"/>
  <c r="E13" i="195" s="1"/>
  <c r="E30" i="195"/>
  <c r="E63" i="196"/>
  <c r="E62" i="196"/>
  <c r="E61" i="196"/>
  <c r="E60" i="196"/>
  <c r="E59" i="196"/>
  <c r="E58" i="196"/>
  <c r="E57" i="196"/>
  <c r="E56" i="196"/>
  <c r="E55" i="196"/>
  <c r="E54" i="196"/>
  <c r="E53" i="196"/>
  <c r="E52" i="196"/>
  <c r="E51" i="196"/>
  <c r="E50" i="196"/>
  <c r="E49" i="196"/>
  <c r="E48" i="196"/>
  <c r="E45" i="196"/>
  <c r="E27" i="196" s="1"/>
  <c r="E44" i="196"/>
  <c r="E26" i="196" s="1"/>
  <c r="E43" i="196"/>
  <c r="E25" i="196" s="1"/>
  <c r="E42" i="196"/>
  <c r="E24" i="196" s="1"/>
  <c r="E41" i="196"/>
  <c r="E23" i="196" s="1"/>
  <c r="E40" i="196"/>
  <c r="E39" i="196"/>
  <c r="E21" i="196" s="1"/>
  <c r="E38" i="196"/>
  <c r="E37" i="196"/>
  <c r="E19" i="196" s="1"/>
  <c r="E36" i="196"/>
  <c r="E35" i="196"/>
  <c r="E17" i="196" s="1"/>
  <c r="E34" i="196"/>
  <c r="E16" i="196" s="1"/>
  <c r="E33" i="196"/>
  <c r="E15" i="196" s="1"/>
  <c r="E32" i="196"/>
  <c r="E31" i="196"/>
  <c r="E13" i="196" s="1"/>
  <c r="E30" i="196"/>
  <c r="E63" i="197"/>
  <c r="E62" i="197"/>
  <c r="E61" i="197"/>
  <c r="E60" i="197"/>
  <c r="E59" i="197"/>
  <c r="E58" i="197"/>
  <c r="E57" i="197"/>
  <c r="E56" i="197"/>
  <c r="E55" i="197"/>
  <c r="E54" i="197"/>
  <c r="E53" i="197"/>
  <c r="E52" i="197"/>
  <c r="E51" i="197"/>
  <c r="E50" i="197"/>
  <c r="E49" i="197"/>
  <c r="E48" i="197"/>
  <c r="E45" i="197"/>
  <c r="E44" i="197"/>
  <c r="E26" i="197" s="1"/>
  <c r="E43" i="197"/>
  <c r="E42" i="197"/>
  <c r="E41" i="197"/>
  <c r="E40" i="197"/>
  <c r="E22" i="197" s="1"/>
  <c r="E39" i="197"/>
  <c r="E38" i="197"/>
  <c r="E37" i="197"/>
  <c r="E36" i="197"/>
  <c r="E18" i="197" s="1"/>
  <c r="E35" i="197"/>
  <c r="E34" i="197"/>
  <c r="E33" i="197"/>
  <c r="E32" i="197"/>
  <c r="E14" i="197" s="1"/>
  <c r="E31" i="197"/>
  <c r="E30" i="197"/>
  <c r="E12" i="197" s="1"/>
  <c r="E63" i="198"/>
  <c r="E62" i="198"/>
  <c r="E61" i="198"/>
  <c r="E60" i="198"/>
  <c r="E59" i="198"/>
  <c r="E58" i="198"/>
  <c r="E57" i="198"/>
  <c r="E56" i="198"/>
  <c r="E55" i="198"/>
  <c r="E54" i="198"/>
  <c r="E53" i="198"/>
  <c r="E52" i="198"/>
  <c r="E51" i="198"/>
  <c r="E50" i="198"/>
  <c r="E49" i="198"/>
  <c r="E48" i="198"/>
  <c r="E45" i="198"/>
  <c r="E27" i="198" s="1"/>
  <c r="E44" i="198"/>
  <c r="E26" i="198" s="1"/>
  <c r="E43" i="198"/>
  <c r="E25" i="198" s="1"/>
  <c r="E42" i="198"/>
  <c r="E24" i="198" s="1"/>
  <c r="E41" i="198"/>
  <c r="E23" i="198" s="1"/>
  <c r="E40" i="198"/>
  <c r="E22" i="198" s="1"/>
  <c r="E39" i="198"/>
  <c r="E21" i="198" s="1"/>
  <c r="E38" i="198"/>
  <c r="E20" i="198" s="1"/>
  <c r="E37" i="198"/>
  <c r="E19" i="198" s="1"/>
  <c r="E36" i="198"/>
  <c r="E18" i="198" s="1"/>
  <c r="E35" i="198"/>
  <c r="E17" i="198" s="1"/>
  <c r="E34" i="198"/>
  <c r="E16" i="198" s="1"/>
  <c r="E33" i="198"/>
  <c r="E15" i="198" s="1"/>
  <c r="E32" i="198"/>
  <c r="E14" i="198" s="1"/>
  <c r="E31" i="198"/>
  <c r="E13" i="198" s="1"/>
  <c r="E30" i="198"/>
  <c r="E12" i="198" s="1"/>
  <c r="E63" i="199"/>
  <c r="E62" i="199"/>
  <c r="E61" i="199"/>
  <c r="E60" i="199"/>
  <c r="E59" i="199"/>
  <c r="E58" i="199"/>
  <c r="E57" i="199"/>
  <c r="E56" i="199"/>
  <c r="E55" i="199"/>
  <c r="E54" i="199"/>
  <c r="E53" i="199"/>
  <c r="E52" i="199"/>
  <c r="E51" i="199"/>
  <c r="E50" i="199"/>
  <c r="E49" i="199"/>
  <c r="E48" i="199"/>
  <c r="E45" i="199"/>
  <c r="E27" i="199" s="1"/>
  <c r="E44" i="199"/>
  <c r="E43" i="199"/>
  <c r="E25" i="199" s="1"/>
  <c r="E42" i="199"/>
  <c r="E41" i="199"/>
  <c r="E23" i="199" s="1"/>
  <c r="E40" i="199"/>
  <c r="E39" i="199"/>
  <c r="E21" i="199" s="1"/>
  <c r="E38" i="199"/>
  <c r="E37" i="199"/>
  <c r="E19" i="199" s="1"/>
  <c r="E36" i="199"/>
  <c r="E35" i="199"/>
  <c r="E17" i="199" s="1"/>
  <c r="E34" i="199"/>
  <c r="E33" i="199"/>
  <c r="E15" i="199" s="1"/>
  <c r="E32" i="199"/>
  <c r="E31" i="199"/>
  <c r="E13" i="199" s="1"/>
  <c r="E30" i="199"/>
  <c r="E63" i="200"/>
  <c r="E62" i="200"/>
  <c r="E61" i="200"/>
  <c r="E60" i="200"/>
  <c r="E59" i="200"/>
  <c r="E58" i="200"/>
  <c r="E57" i="200"/>
  <c r="E56" i="200"/>
  <c r="E55" i="200"/>
  <c r="E54" i="200"/>
  <c r="E53" i="200"/>
  <c r="E52" i="200"/>
  <c r="E51" i="200"/>
  <c r="E50" i="200"/>
  <c r="E49" i="200"/>
  <c r="E48" i="200"/>
  <c r="E45" i="200"/>
  <c r="E27" i="200" s="1"/>
  <c r="E44" i="200"/>
  <c r="E43" i="200"/>
  <c r="E25" i="200" s="1"/>
  <c r="E42" i="200"/>
  <c r="E41" i="200"/>
  <c r="E23" i="200" s="1"/>
  <c r="E40" i="200"/>
  <c r="E39" i="200"/>
  <c r="E21" i="200" s="1"/>
  <c r="E38" i="200"/>
  <c r="E37" i="200"/>
  <c r="E19" i="200" s="1"/>
  <c r="E36" i="200"/>
  <c r="E35" i="200"/>
  <c r="E17" i="200" s="1"/>
  <c r="E34" i="200"/>
  <c r="E33" i="200"/>
  <c r="E15" i="200" s="1"/>
  <c r="E32" i="200"/>
  <c r="E31" i="200"/>
  <c r="E13" i="200" s="1"/>
  <c r="E30" i="200"/>
  <c r="E63" i="202"/>
  <c r="E62" i="202"/>
  <c r="E61" i="202"/>
  <c r="E60" i="202"/>
  <c r="E59" i="202"/>
  <c r="E58" i="202"/>
  <c r="E57" i="202"/>
  <c r="E56" i="202"/>
  <c r="E55" i="202"/>
  <c r="E54" i="202"/>
  <c r="E53" i="202"/>
  <c r="E52" i="202"/>
  <c r="E51" i="202"/>
  <c r="E50" i="202"/>
  <c r="E49" i="202"/>
  <c r="E48" i="202"/>
  <c r="E45" i="202"/>
  <c r="E27" i="223" s="1"/>
  <c r="E44" i="202"/>
  <c r="E26" i="223" s="1"/>
  <c r="E43" i="202"/>
  <c r="E25" i="223" s="1"/>
  <c r="E42" i="202"/>
  <c r="E24" i="223" s="1"/>
  <c r="E41" i="202"/>
  <c r="E23" i="223" s="1"/>
  <c r="E40" i="202"/>
  <c r="E22" i="223" s="1"/>
  <c r="E39" i="202"/>
  <c r="E21" i="223" s="1"/>
  <c r="E38" i="202"/>
  <c r="E20" i="223" s="1"/>
  <c r="E37" i="202"/>
  <c r="E19" i="223" s="1"/>
  <c r="E36" i="202"/>
  <c r="E35" i="202"/>
  <c r="E17" i="223" s="1"/>
  <c r="E34" i="202"/>
  <c r="E16" i="223" s="1"/>
  <c r="E33" i="202"/>
  <c r="E15" i="223" s="1"/>
  <c r="E32" i="202"/>
  <c r="E14" i="223" s="1"/>
  <c r="E31" i="202"/>
  <c r="E13" i="223" s="1"/>
  <c r="E30" i="202"/>
  <c r="E12" i="223" s="1"/>
  <c r="E63" i="203"/>
  <c r="E62" i="203"/>
  <c r="E61" i="203"/>
  <c r="E60" i="203"/>
  <c r="E59" i="203"/>
  <c r="E58" i="203"/>
  <c r="E57" i="203"/>
  <c r="E56" i="203"/>
  <c r="E55" i="203"/>
  <c r="E54" i="203"/>
  <c r="E53" i="203"/>
  <c r="E52" i="203"/>
  <c r="E51" i="203"/>
  <c r="E50" i="203"/>
  <c r="E49" i="203"/>
  <c r="E48" i="203"/>
  <c r="J48" i="203" s="1"/>
  <c r="E45" i="203"/>
  <c r="E27" i="203" s="1"/>
  <c r="E44" i="203"/>
  <c r="E26" i="203" s="1"/>
  <c r="E43" i="203"/>
  <c r="E25" i="203" s="1"/>
  <c r="E42" i="203"/>
  <c r="E24" i="203" s="1"/>
  <c r="E41" i="203"/>
  <c r="E23" i="203" s="1"/>
  <c r="E40" i="203"/>
  <c r="E22" i="203" s="1"/>
  <c r="E39" i="203"/>
  <c r="E21" i="203" s="1"/>
  <c r="E38" i="203"/>
  <c r="E20" i="203" s="1"/>
  <c r="E37" i="203"/>
  <c r="E19" i="203" s="1"/>
  <c r="E36" i="203"/>
  <c r="E18" i="203" s="1"/>
  <c r="E35" i="203"/>
  <c r="E17" i="203" s="1"/>
  <c r="E34" i="203"/>
  <c r="E16" i="203" s="1"/>
  <c r="E33" i="203"/>
  <c r="E15" i="203" s="1"/>
  <c r="E32" i="203"/>
  <c r="E14" i="203" s="1"/>
  <c r="E31" i="203"/>
  <c r="E13" i="203" s="1"/>
  <c r="E30" i="203"/>
  <c r="J30" i="203" s="1"/>
  <c r="E16" i="191"/>
  <c r="E16" i="202" l="1"/>
  <c r="E26" i="202"/>
  <c r="E22" i="202"/>
  <c r="E12" i="202"/>
  <c r="E12" i="203"/>
  <c r="E24" i="202"/>
  <c r="E20" i="202"/>
  <c r="E14" i="202"/>
  <c r="E18" i="202"/>
  <c r="E18" i="223"/>
  <c r="E64" i="192"/>
  <c r="E46" i="189"/>
  <c r="E46" i="187"/>
  <c r="E46" i="202"/>
  <c r="E46" i="223" s="1"/>
  <c r="E64" i="196"/>
  <c r="E46" i="194"/>
  <c r="E64" i="188"/>
  <c r="E46" i="185"/>
  <c r="E45" i="180"/>
  <c r="E43" i="180"/>
  <c r="E41" i="180"/>
  <c r="E39" i="180"/>
  <c r="E37" i="180"/>
  <c r="E35" i="180"/>
  <c r="E33" i="180"/>
  <c r="E31" i="180"/>
  <c r="E46" i="197"/>
  <c r="E24" i="197"/>
  <c r="E20" i="197"/>
  <c r="E16" i="197"/>
  <c r="E22" i="196"/>
  <c r="E20" i="196"/>
  <c r="E18" i="196"/>
  <c r="E14" i="196"/>
  <c r="E12" i="196"/>
  <c r="E27" i="192"/>
  <c r="E23" i="192"/>
  <c r="E21" i="192"/>
  <c r="E19" i="192"/>
  <c r="E15" i="192"/>
  <c r="E46" i="191"/>
  <c r="E26" i="191"/>
  <c r="E22" i="191"/>
  <c r="E20" i="191"/>
  <c r="E18" i="191"/>
  <c r="E14" i="191"/>
  <c r="E12" i="191"/>
  <c r="E27" i="188"/>
  <c r="E23" i="188"/>
  <c r="E21" i="188"/>
  <c r="E19" i="188"/>
  <c r="E15" i="188"/>
  <c r="E26" i="187"/>
  <c r="E20" i="187"/>
  <c r="E18" i="187"/>
  <c r="E12" i="187"/>
  <c r="E63" i="180"/>
  <c r="E61" i="180"/>
  <c r="E59" i="180"/>
  <c r="E57" i="180"/>
  <c r="E55" i="180"/>
  <c r="E53" i="180"/>
  <c r="E51" i="180"/>
  <c r="E64" i="200"/>
  <c r="E26" i="200"/>
  <c r="E24" i="200"/>
  <c r="E22" i="200"/>
  <c r="E20" i="200"/>
  <c r="E18" i="200"/>
  <c r="E16" i="200"/>
  <c r="E14" i="200"/>
  <c r="E12" i="200"/>
  <c r="E26" i="199"/>
  <c r="E24" i="199"/>
  <c r="E22" i="199"/>
  <c r="E20" i="199"/>
  <c r="E18" i="199"/>
  <c r="E16" i="199"/>
  <c r="E14" i="199"/>
  <c r="E12" i="199"/>
  <c r="E27" i="194"/>
  <c r="E25" i="194"/>
  <c r="E23" i="194"/>
  <c r="E21" i="194"/>
  <c r="E19" i="194"/>
  <c r="E17" i="194"/>
  <c r="E15" i="194"/>
  <c r="E21" i="186"/>
  <c r="E44" i="180"/>
  <c r="E42" i="180"/>
  <c r="E40" i="180"/>
  <c r="E38" i="180"/>
  <c r="E36" i="180"/>
  <c r="E34" i="180"/>
  <c r="E32" i="180"/>
  <c r="E30" i="180"/>
  <c r="E27" i="190"/>
  <c r="E23" i="190"/>
  <c r="E19" i="190"/>
  <c r="E15" i="190"/>
  <c r="E26" i="189"/>
  <c r="E18" i="189"/>
  <c r="E14" i="189"/>
  <c r="E26" i="185"/>
  <c r="E22" i="185"/>
  <c r="E18" i="185"/>
  <c r="E14" i="185"/>
  <c r="E62" i="180"/>
  <c r="E60" i="180"/>
  <c r="E58" i="180"/>
  <c r="E56" i="180"/>
  <c r="E54" i="180"/>
  <c r="E52" i="180"/>
  <c r="E50" i="180"/>
  <c r="E48" i="180"/>
  <c r="E27" i="197"/>
  <c r="E25" i="197"/>
  <c r="E23" i="197"/>
  <c r="E21" i="197"/>
  <c r="E19" i="197"/>
  <c r="E17" i="197"/>
  <c r="E15" i="197"/>
  <c r="E26" i="195"/>
  <c r="E24" i="195"/>
  <c r="E22" i="195"/>
  <c r="E20" i="195"/>
  <c r="E18" i="195"/>
  <c r="E16" i="195"/>
  <c r="E14" i="195"/>
  <c r="E12" i="195"/>
  <c r="E46" i="199"/>
  <c r="E46" i="198"/>
  <c r="E46" i="192"/>
  <c r="E46" i="188"/>
  <c r="E64" i="203"/>
  <c r="E64" i="194"/>
  <c r="E13" i="194"/>
  <c r="E64" i="186"/>
  <c r="E13" i="192"/>
  <c r="E13" i="188"/>
  <c r="E13" i="186"/>
  <c r="E46" i="203"/>
  <c r="E46" i="195"/>
  <c r="E44" i="206"/>
  <c r="E42" i="206"/>
  <c r="E40" i="206"/>
  <c r="E38" i="206"/>
  <c r="E36" i="206"/>
  <c r="E34" i="206"/>
  <c r="E32" i="206"/>
  <c r="E30" i="206"/>
  <c r="E46" i="190"/>
  <c r="E27" i="186"/>
  <c r="E23" i="186"/>
  <c r="E19" i="186"/>
  <c r="E15" i="186"/>
  <c r="E46" i="186"/>
  <c r="E64" i="198"/>
  <c r="E64" i="190"/>
  <c r="E46" i="200"/>
  <c r="E46" i="196"/>
  <c r="E45" i="206"/>
  <c r="E43" i="206"/>
  <c r="E41" i="206"/>
  <c r="E39" i="206"/>
  <c r="E37" i="206"/>
  <c r="E35" i="206"/>
  <c r="E33" i="206"/>
  <c r="E31" i="206"/>
  <c r="E61" i="206"/>
  <c r="E57" i="206"/>
  <c r="E53" i="206"/>
  <c r="E49" i="180"/>
  <c r="E64" i="202"/>
  <c r="E64" i="223" s="1"/>
  <c r="E64" i="197"/>
  <c r="E13" i="197"/>
  <c r="E63" i="206"/>
  <c r="E59" i="206"/>
  <c r="E55" i="206"/>
  <c r="E51" i="206"/>
  <c r="E62" i="181"/>
  <c r="E26" i="192"/>
  <c r="E60" i="181"/>
  <c r="E24" i="192"/>
  <c r="E58" i="181"/>
  <c r="E22" i="192"/>
  <c r="E56" i="181"/>
  <c r="E20" i="192"/>
  <c r="E54" i="181"/>
  <c r="E18" i="192"/>
  <c r="E52" i="181"/>
  <c r="E16" i="192"/>
  <c r="E50" i="181"/>
  <c r="E14" i="192"/>
  <c r="E48" i="181"/>
  <c r="J48" i="181" s="1"/>
  <c r="E12" i="192"/>
  <c r="E63" i="177"/>
  <c r="E27" i="189"/>
  <c r="E61" i="177"/>
  <c r="E25" i="189"/>
  <c r="E59" i="177"/>
  <c r="E23" i="189"/>
  <c r="E57" i="177"/>
  <c r="E21" i="189"/>
  <c r="E55" i="177"/>
  <c r="E19" i="189"/>
  <c r="E53" i="177"/>
  <c r="E17" i="189"/>
  <c r="E51" i="177"/>
  <c r="E15" i="189"/>
  <c r="E49" i="177"/>
  <c r="E64" i="189"/>
  <c r="E13" i="189"/>
  <c r="E62" i="176"/>
  <c r="E26" i="188"/>
  <c r="E60" i="176"/>
  <c r="E24" i="188"/>
  <c r="E58" i="176"/>
  <c r="E22" i="188"/>
  <c r="E56" i="176"/>
  <c r="E20" i="188"/>
  <c r="E54" i="176"/>
  <c r="E18" i="188"/>
  <c r="E52" i="176"/>
  <c r="E16" i="188"/>
  <c r="E50" i="176"/>
  <c r="E14" i="188"/>
  <c r="E48" i="176"/>
  <c r="E12" i="188"/>
  <c r="E63" i="205"/>
  <c r="E63" i="173"/>
  <c r="E27" i="185"/>
  <c r="E61" i="205"/>
  <c r="E61" i="173"/>
  <c r="E25" i="185"/>
  <c r="E59" i="205"/>
  <c r="E59" i="173"/>
  <c r="E23" i="185"/>
  <c r="E57" i="205"/>
  <c r="E57" i="173"/>
  <c r="E21" i="185"/>
  <c r="E55" i="205"/>
  <c r="E55" i="173"/>
  <c r="E19" i="185"/>
  <c r="E53" i="205"/>
  <c r="E53" i="173"/>
  <c r="E17" i="185"/>
  <c r="E51" i="205"/>
  <c r="E51" i="173"/>
  <c r="E15" i="185"/>
  <c r="E49" i="205"/>
  <c r="E49" i="173"/>
  <c r="E64" i="185"/>
  <c r="E13" i="185"/>
  <c r="E27" i="202"/>
  <c r="E25" i="202"/>
  <c r="E23" i="202"/>
  <c r="E21" i="202"/>
  <c r="E19" i="202"/>
  <c r="E17" i="202"/>
  <c r="E15" i="202"/>
  <c r="E13" i="202"/>
  <c r="E64" i="199"/>
  <c r="E64" i="195"/>
  <c r="E62" i="206"/>
  <c r="E60" i="206"/>
  <c r="E58" i="206"/>
  <c r="E56" i="206"/>
  <c r="E54" i="206"/>
  <c r="E52" i="206"/>
  <c r="E50" i="206"/>
  <c r="E48" i="206"/>
  <c r="E49" i="206"/>
  <c r="E63" i="183"/>
  <c r="E27" i="191"/>
  <c r="E61" i="183"/>
  <c r="E25" i="191"/>
  <c r="E59" i="183"/>
  <c r="E23" i="191"/>
  <c r="E57" i="183"/>
  <c r="E21" i="191"/>
  <c r="E55" i="183"/>
  <c r="E19" i="191"/>
  <c r="E53" i="183"/>
  <c r="E17" i="191"/>
  <c r="E51" i="183"/>
  <c r="E15" i="191"/>
  <c r="E49" i="183"/>
  <c r="E64" i="191"/>
  <c r="E13" i="191"/>
  <c r="E62" i="178"/>
  <c r="E26" i="190"/>
  <c r="E60" i="178"/>
  <c r="E24" i="190"/>
  <c r="E58" i="178"/>
  <c r="E22" i="190"/>
  <c r="E56" i="178"/>
  <c r="E20" i="190"/>
  <c r="E54" i="178"/>
  <c r="E18" i="190"/>
  <c r="E52" i="178"/>
  <c r="E16" i="190"/>
  <c r="E50" i="178"/>
  <c r="E14" i="190"/>
  <c r="E48" i="178"/>
  <c r="E12" i="190"/>
  <c r="E63" i="175"/>
  <c r="E27" i="187"/>
  <c r="E61" i="175"/>
  <c r="E25" i="187"/>
  <c r="E59" i="175"/>
  <c r="E23" i="187"/>
  <c r="E57" i="175"/>
  <c r="E21" i="187"/>
  <c r="E55" i="175"/>
  <c r="E19" i="187"/>
  <c r="E53" i="175"/>
  <c r="E17" i="187"/>
  <c r="E51" i="175"/>
  <c r="E15" i="187"/>
  <c r="E49" i="175"/>
  <c r="E64" i="187"/>
  <c r="E13" i="187"/>
  <c r="E62" i="174"/>
  <c r="E26" i="186"/>
  <c r="E60" i="174"/>
  <c r="E24" i="186"/>
  <c r="E58" i="174"/>
  <c r="E22" i="186"/>
  <c r="E56" i="174"/>
  <c r="E20" i="186"/>
  <c r="E54" i="174"/>
  <c r="E18" i="186"/>
  <c r="E52" i="174"/>
  <c r="E16" i="186"/>
  <c r="E50" i="174"/>
  <c r="E14" i="186"/>
  <c r="E48" i="174"/>
  <c r="E12" i="186"/>
  <c r="E63" i="181"/>
  <c r="E61" i="181"/>
  <c r="E59" i="181"/>
  <c r="E57" i="181"/>
  <c r="E55" i="181"/>
  <c r="E53" i="181"/>
  <c r="E51" i="181"/>
  <c r="E49" i="181"/>
  <c r="E62" i="183"/>
  <c r="E60" i="183"/>
  <c r="E58" i="183"/>
  <c r="E56" i="183"/>
  <c r="E54" i="183"/>
  <c r="E52" i="183"/>
  <c r="E50" i="183"/>
  <c r="E48" i="183"/>
  <c r="E63" i="178"/>
  <c r="E61" i="178"/>
  <c r="E59" i="178"/>
  <c r="E57" i="178"/>
  <c r="E55" i="178"/>
  <c r="E53" i="178"/>
  <c r="E51" i="178"/>
  <c r="E49" i="178"/>
  <c r="E62" i="177"/>
  <c r="E60" i="177"/>
  <c r="E58" i="177"/>
  <c r="E56" i="177"/>
  <c r="E54" i="177"/>
  <c r="E52" i="177"/>
  <c r="E50" i="177"/>
  <c r="E48" i="177"/>
  <c r="E63" i="176"/>
  <c r="E61" i="176"/>
  <c r="E59" i="176"/>
  <c r="E57" i="176"/>
  <c r="E55" i="176"/>
  <c r="E53" i="176"/>
  <c r="E51" i="176"/>
  <c r="E49" i="176"/>
  <c r="E62" i="175"/>
  <c r="E60" i="175"/>
  <c r="E58" i="175"/>
  <c r="E56" i="175"/>
  <c r="E54" i="175"/>
  <c r="E52" i="175"/>
  <c r="E50" i="175"/>
  <c r="E48" i="175"/>
  <c r="E63" i="174"/>
  <c r="E61" i="174"/>
  <c r="E59" i="174"/>
  <c r="E57" i="174"/>
  <c r="E55" i="174"/>
  <c r="E53" i="174"/>
  <c r="E51" i="174"/>
  <c r="E49" i="174"/>
  <c r="E62" i="173"/>
  <c r="E62" i="205"/>
  <c r="E60" i="173"/>
  <c r="E60" i="205"/>
  <c r="E58" i="173"/>
  <c r="E58" i="205"/>
  <c r="E56" i="173"/>
  <c r="E56" i="205"/>
  <c r="E54" i="173"/>
  <c r="E54" i="205"/>
  <c r="E52" i="173"/>
  <c r="E52" i="205"/>
  <c r="E50" i="173"/>
  <c r="E50" i="205"/>
  <c r="E48" i="173"/>
  <c r="E48" i="205"/>
  <c r="E44" i="181"/>
  <c r="E42" i="181"/>
  <c r="E40" i="181"/>
  <c r="E38" i="181"/>
  <c r="E36" i="181"/>
  <c r="E34" i="181"/>
  <c r="E32" i="181"/>
  <c r="E30" i="181"/>
  <c r="J30" i="181" s="1"/>
  <c r="E45" i="183"/>
  <c r="E43" i="183"/>
  <c r="E41" i="183"/>
  <c r="E39" i="183"/>
  <c r="E37" i="183"/>
  <c r="E35" i="183"/>
  <c r="E33" i="183"/>
  <c r="E31" i="183"/>
  <c r="E44" i="178"/>
  <c r="E42" i="178"/>
  <c r="E40" i="178"/>
  <c r="E38" i="178"/>
  <c r="E36" i="178"/>
  <c r="E34" i="178"/>
  <c r="E32" i="178"/>
  <c r="E30" i="178"/>
  <c r="E45" i="177"/>
  <c r="E43" i="177"/>
  <c r="E41" i="177"/>
  <c r="E39" i="177"/>
  <c r="E37" i="177"/>
  <c r="E35" i="177"/>
  <c r="E33" i="177"/>
  <c r="E31" i="177"/>
  <c r="E44" i="176"/>
  <c r="E42" i="176"/>
  <c r="E40" i="176"/>
  <c r="E38" i="176"/>
  <c r="E36" i="176"/>
  <c r="E34" i="176"/>
  <c r="E32" i="176"/>
  <c r="E30" i="176"/>
  <c r="E45" i="175"/>
  <c r="E43" i="175"/>
  <c r="E41" i="175"/>
  <c r="E39" i="175"/>
  <c r="E37" i="175"/>
  <c r="E35" i="175"/>
  <c r="E33" i="175"/>
  <c r="E31" i="175"/>
  <c r="E44" i="174"/>
  <c r="E42" i="174"/>
  <c r="E40" i="174"/>
  <c r="E38" i="174"/>
  <c r="E36" i="174"/>
  <c r="E34" i="174"/>
  <c r="E32" i="174"/>
  <c r="E30" i="174"/>
  <c r="E45" i="205"/>
  <c r="E45" i="173"/>
  <c r="E43" i="205"/>
  <c r="E43" i="173"/>
  <c r="E41" i="205"/>
  <c r="E41" i="173"/>
  <c r="E39" i="205"/>
  <c r="E39" i="173"/>
  <c r="E37" i="205"/>
  <c r="E37" i="173"/>
  <c r="E35" i="205"/>
  <c r="E35" i="173"/>
  <c r="E33" i="205"/>
  <c r="E33" i="173"/>
  <c r="E31" i="205"/>
  <c r="E31" i="173"/>
  <c r="E45" i="181"/>
  <c r="E43" i="181"/>
  <c r="E41" i="181"/>
  <c r="E39" i="181"/>
  <c r="E37" i="181"/>
  <c r="E35" i="181"/>
  <c r="E33" i="181"/>
  <c r="E31" i="181"/>
  <c r="E44" i="183"/>
  <c r="E42" i="183"/>
  <c r="E24" i="183" s="1"/>
  <c r="E40" i="183"/>
  <c r="E38" i="183"/>
  <c r="E20" i="183" s="1"/>
  <c r="E36" i="183"/>
  <c r="E18" i="183" s="1"/>
  <c r="E34" i="183"/>
  <c r="E32" i="183"/>
  <c r="E30" i="183"/>
  <c r="E45" i="178"/>
  <c r="E43" i="178"/>
  <c r="E25" i="178" s="1"/>
  <c r="E41" i="178"/>
  <c r="E39" i="178"/>
  <c r="E37" i="178"/>
  <c r="E35" i="178"/>
  <c r="E33" i="178"/>
  <c r="E31" i="178"/>
  <c r="E44" i="177"/>
  <c r="E42" i="177"/>
  <c r="E40" i="177"/>
  <c r="E38" i="177"/>
  <c r="E36" i="177"/>
  <c r="E18" i="177" s="1"/>
  <c r="E34" i="177"/>
  <c r="E32" i="177"/>
  <c r="E30" i="177"/>
  <c r="E45" i="176"/>
  <c r="E43" i="176"/>
  <c r="E41" i="176"/>
  <c r="E39" i="176"/>
  <c r="E37" i="176"/>
  <c r="E35" i="176"/>
  <c r="E33" i="176"/>
  <c r="E31" i="176"/>
  <c r="E44" i="175"/>
  <c r="E42" i="175"/>
  <c r="E40" i="175"/>
  <c r="E38" i="175"/>
  <c r="E36" i="175"/>
  <c r="E18" i="175" s="1"/>
  <c r="E34" i="175"/>
  <c r="E32" i="175"/>
  <c r="E30" i="175"/>
  <c r="E45" i="174"/>
  <c r="E27" i="174" s="1"/>
  <c r="E43" i="174"/>
  <c r="E41" i="174"/>
  <c r="E23" i="174" s="1"/>
  <c r="E39" i="174"/>
  <c r="E37" i="174"/>
  <c r="E19" i="174" s="1"/>
  <c r="E35" i="174"/>
  <c r="E33" i="174"/>
  <c r="E31" i="174"/>
  <c r="E44" i="173"/>
  <c r="E44" i="205"/>
  <c r="E42" i="173"/>
  <c r="E42" i="205"/>
  <c r="E40" i="173"/>
  <c r="E40" i="205"/>
  <c r="E38" i="173"/>
  <c r="E20" i="173" s="1"/>
  <c r="E38" i="205"/>
  <c r="E36" i="173"/>
  <c r="E18" i="173" s="1"/>
  <c r="E36" i="205"/>
  <c r="E34" i="173"/>
  <c r="E34" i="205"/>
  <c r="E32" i="173"/>
  <c r="E32" i="205"/>
  <c r="E30" i="173"/>
  <c r="E30" i="205"/>
  <c r="E81" i="165"/>
  <c r="E80" i="165"/>
  <c r="E79" i="165"/>
  <c r="E78" i="165"/>
  <c r="E77" i="165"/>
  <c r="E76" i="165"/>
  <c r="E75" i="165"/>
  <c r="E74" i="165"/>
  <c r="E73" i="165"/>
  <c r="E72" i="165"/>
  <c r="E71" i="165"/>
  <c r="E70" i="165"/>
  <c r="E69" i="165"/>
  <c r="E68" i="165"/>
  <c r="E67" i="165"/>
  <c r="E66" i="165"/>
  <c r="E63" i="165"/>
  <c r="E62" i="165"/>
  <c r="E61" i="165"/>
  <c r="E60" i="165"/>
  <c r="E59" i="165"/>
  <c r="E58" i="165"/>
  <c r="E57" i="165"/>
  <c r="E56" i="165"/>
  <c r="E55" i="165"/>
  <c r="E54" i="165"/>
  <c r="E53" i="165"/>
  <c r="E52" i="165"/>
  <c r="E51" i="165"/>
  <c r="E50" i="165"/>
  <c r="E49" i="165"/>
  <c r="E48" i="165"/>
  <c r="E45" i="165"/>
  <c r="E27" i="165" s="1"/>
  <c r="E44" i="165"/>
  <c r="E26" i="165" s="1"/>
  <c r="E43" i="165"/>
  <c r="E25" i="165" s="1"/>
  <c r="E42" i="165"/>
  <c r="E24" i="165" s="1"/>
  <c r="E41" i="165"/>
  <c r="E23" i="165" s="1"/>
  <c r="E40" i="165"/>
  <c r="E22" i="165" s="1"/>
  <c r="E39" i="165"/>
  <c r="E21" i="165" s="1"/>
  <c r="E38" i="165"/>
  <c r="E20" i="165" s="1"/>
  <c r="E37" i="165"/>
  <c r="E19" i="165" s="1"/>
  <c r="E36" i="165"/>
  <c r="E18" i="165" s="1"/>
  <c r="E35" i="165"/>
  <c r="E17" i="165" s="1"/>
  <c r="E34" i="165"/>
  <c r="E16" i="165" s="1"/>
  <c r="E33" i="165"/>
  <c r="E15" i="165" s="1"/>
  <c r="E32" i="165"/>
  <c r="E14" i="165" s="1"/>
  <c r="E31" i="165"/>
  <c r="E30" i="165"/>
  <c r="E12" i="165" s="1"/>
  <c r="E81" i="166"/>
  <c r="E80" i="166"/>
  <c r="E79" i="166"/>
  <c r="E78" i="166"/>
  <c r="E77" i="166"/>
  <c r="E76" i="166"/>
  <c r="E75" i="166"/>
  <c r="E74" i="166"/>
  <c r="E73" i="166"/>
  <c r="E72" i="166"/>
  <c r="E71" i="166"/>
  <c r="E70" i="166"/>
  <c r="E69" i="166"/>
  <c r="E68" i="166"/>
  <c r="E67" i="166"/>
  <c r="E66" i="166"/>
  <c r="E63" i="166"/>
  <c r="E62" i="166"/>
  <c r="E61" i="166"/>
  <c r="E60" i="166"/>
  <c r="E59" i="166"/>
  <c r="E58" i="166"/>
  <c r="E57" i="166"/>
  <c r="E56" i="166"/>
  <c r="E55" i="166"/>
  <c r="E54" i="166"/>
  <c r="E53" i="166"/>
  <c r="E52" i="166"/>
  <c r="E51" i="166"/>
  <c r="E50" i="166"/>
  <c r="E49" i="166"/>
  <c r="E48" i="166"/>
  <c r="E45" i="166"/>
  <c r="E27" i="166" s="1"/>
  <c r="E44" i="166"/>
  <c r="E26" i="166" s="1"/>
  <c r="E43" i="166"/>
  <c r="E25" i="166" s="1"/>
  <c r="E42" i="166"/>
  <c r="E24" i="166" s="1"/>
  <c r="E41" i="166"/>
  <c r="E23" i="166" s="1"/>
  <c r="E40" i="166"/>
  <c r="E22" i="166" s="1"/>
  <c r="E39" i="166"/>
  <c r="E21" i="166" s="1"/>
  <c r="E38" i="166"/>
  <c r="E20" i="166" s="1"/>
  <c r="E37" i="166"/>
  <c r="E19" i="166" s="1"/>
  <c r="E36" i="166"/>
  <c r="E18" i="166" s="1"/>
  <c r="E35" i="166"/>
  <c r="E17" i="166" s="1"/>
  <c r="E34" i="166"/>
  <c r="E16" i="166" s="1"/>
  <c r="E33" i="166"/>
  <c r="E15" i="166" s="1"/>
  <c r="E32" i="166"/>
  <c r="E31" i="166"/>
  <c r="E13" i="166" s="1"/>
  <c r="E30" i="166"/>
  <c r="E12" i="166" s="1"/>
  <c r="E81" i="167"/>
  <c r="E80" i="167"/>
  <c r="E79" i="167"/>
  <c r="E78" i="167"/>
  <c r="E77" i="167"/>
  <c r="E76" i="167"/>
  <c r="E75" i="167"/>
  <c r="E74" i="167"/>
  <c r="E73" i="167"/>
  <c r="E72" i="167"/>
  <c r="E71" i="167"/>
  <c r="E70" i="167"/>
  <c r="E69" i="167"/>
  <c r="E68" i="167"/>
  <c r="E67" i="167"/>
  <c r="E66" i="167"/>
  <c r="E63" i="167"/>
  <c r="E62" i="167"/>
  <c r="E61" i="167"/>
  <c r="E60" i="167"/>
  <c r="E59" i="167"/>
  <c r="E58" i="167"/>
  <c r="E57" i="167"/>
  <c r="E56" i="167"/>
  <c r="E55" i="167"/>
  <c r="E54" i="167"/>
  <c r="E53" i="167"/>
  <c r="E52" i="167"/>
  <c r="E51" i="167"/>
  <c r="E50" i="167"/>
  <c r="E49" i="167"/>
  <c r="E48" i="167"/>
  <c r="E45" i="167"/>
  <c r="E27" i="167" s="1"/>
  <c r="E44" i="167"/>
  <c r="E26" i="167" s="1"/>
  <c r="E43" i="167"/>
  <c r="E25" i="167" s="1"/>
  <c r="E42" i="167"/>
  <c r="E24" i="167" s="1"/>
  <c r="E41" i="167"/>
  <c r="E23" i="167" s="1"/>
  <c r="E40" i="167"/>
  <c r="E22" i="167" s="1"/>
  <c r="E39" i="167"/>
  <c r="E21" i="167" s="1"/>
  <c r="E38" i="167"/>
  <c r="E20" i="167" s="1"/>
  <c r="E37" i="167"/>
  <c r="E19" i="167" s="1"/>
  <c r="E36" i="167"/>
  <c r="E18" i="167" s="1"/>
  <c r="E35" i="167"/>
  <c r="E17" i="167" s="1"/>
  <c r="E34" i="167"/>
  <c r="E16" i="167" s="1"/>
  <c r="E33" i="167"/>
  <c r="E15" i="167" s="1"/>
  <c r="E32" i="167"/>
  <c r="E14" i="167" s="1"/>
  <c r="E31" i="167"/>
  <c r="E13" i="167" s="1"/>
  <c r="E30" i="167"/>
  <c r="E12" i="167" s="1"/>
  <c r="E81" i="168"/>
  <c r="E80" i="168"/>
  <c r="E79" i="168"/>
  <c r="E78" i="168"/>
  <c r="E77" i="168"/>
  <c r="E76" i="168"/>
  <c r="E75" i="168"/>
  <c r="E74" i="168"/>
  <c r="E73" i="168"/>
  <c r="E72" i="168"/>
  <c r="E71" i="168"/>
  <c r="E70" i="168"/>
  <c r="E69" i="168"/>
  <c r="E68" i="168"/>
  <c r="E67" i="168"/>
  <c r="E66" i="168"/>
  <c r="E63" i="168"/>
  <c r="E62" i="168"/>
  <c r="E61" i="168"/>
  <c r="E60" i="168"/>
  <c r="E59" i="168"/>
  <c r="E58" i="168"/>
  <c r="E57" i="168"/>
  <c r="E56" i="168"/>
  <c r="E55" i="168"/>
  <c r="E54" i="168"/>
  <c r="E53" i="168"/>
  <c r="E52" i="168"/>
  <c r="E51" i="168"/>
  <c r="E50" i="168"/>
  <c r="E49" i="168"/>
  <c r="E48" i="168"/>
  <c r="E45" i="168"/>
  <c r="E27" i="168" s="1"/>
  <c r="E44" i="168"/>
  <c r="E26" i="168" s="1"/>
  <c r="E43" i="168"/>
  <c r="E25" i="168" s="1"/>
  <c r="E42" i="168"/>
  <c r="E24" i="168" s="1"/>
  <c r="E41" i="168"/>
  <c r="E23" i="168" s="1"/>
  <c r="E40" i="168"/>
  <c r="E22" i="168" s="1"/>
  <c r="E39" i="168"/>
  <c r="E21" i="168" s="1"/>
  <c r="E38" i="168"/>
  <c r="E20" i="168" s="1"/>
  <c r="E37" i="168"/>
  <c r="E19" i="168" s="1"/>
  <c r="E36" i="168"/>
  <c r="E18" i="168" s="1"/>
  <c r="E35" i="168"/>
  <c r="E17" i="168" s="1"/>
  <c r="E34" i="168"/>
  <c r="E16" i="168" s="1"/>
  <c r="E33" i="168"/>
  <c r="E15" i="168" s="1"/>
  <c r="E32" i="168"/>
  <c r="E14" i="168" s="1"/>
  <c r="E31" i="168"/>
  <c r="E13" i="168" s="1"/>
  <c r="E30" i="168"/>
  <c r="E12" i="168" s="1"/>
  <c r="E81" i="169"/>
  <c r="J81" i="169" s="1"/>
  <c r="E80" i="169"/>
  <c r="J80" i="169" s="1"/>
  <c r="E79" i="169"/>
  <c r="E78" i="169"/>
  <c r="E77" i="169"/>
  <c r="J77" i="169" s="1"/>
  <c r="E76" i="169"/>
  <c r="J76" i="169" s="1"/>
  <c r="E75" i="169"/>
  <c r="J75" i="169" s="1"/>
  <c r="E74" i="169"/>
  <c r="J74" i="169" s="1"/>
  <c r="E73" i="169"/>
  <c r="J73" i="169" s="1"/>
  <c r="E72" i="169"/>
  <c r="J72" i="169" s="1"/>
  <c r="E71" i="169"/>
  <c r="J71" i="169" s="1"/>
  <c r="E70" i="169"/>
  <c r="J70" i="169" s="1"/>
  <c r="E69" i="169"/>
  <c r="J69" i="169" s="1"/>
  <c r="E68" i="169"/>
  <c r="J68" i="169" s="1"/>
  <c r="E67" i="169"/>
  <c r="E66" i="169"/>
  <c r="J66" i="169" s="1"/>
  <c r="E63" i="169"/>
  <c r="J63" i="169" s="1"/>
  <c r="E62" i="169"/>
  <c r="J62" i="169" s="1"/>
  <c r="E61" i="169"/>
  <c r="E60" i="169"/>
  <c r="E59" i="169"/>
  <c r="J59" i="169" s="1"/>
  <c r="E58" i="169"/>
  <c r="J58" i="169" s="1"/>
  <c r="E57" i="169"/>
  <c r="J57" i="169" s="1"/>
  <c r="E56" i="169"/>
  <c r="J56" i="169" s="1"/>
  <c r="E55" i="169"/>
  <c r="J55" i="169" s="1"/>
  <c r="E54" i="169"/>
  <c r="E53" i="169"/>
  <c r="J53" i="169" s="1"/>
  <c r="E52" i="169"/>
  <c r="J52" i="169" s="1"/>
  <c r="E51" i="169"/>
  <c r="J51" i="169" s="1"/>
  <c r="E50" i="169"/>
  <c r="J50" i="169" s="1"/>
  <c r="E49" i="169"/>
  <c r="E48" i="169"/>
  <c r="J48" i="169" s="1"/>
  <c r="E45" i="169"/>
  <c r="J45" i="169" s="1"/>
  <c r="E44" i="169"/>
  <c r="J44" i="169" s="1"/>
  <c r="E43" i="169"/>
  <c r="E25" i="169" s="1"/>
  <c r="E42" i="169"/>
  <c r="E24" i="169" s="1"/>
  <c r="E41" i="169"/>
  <c r="J41" i="169" s="1"/>
  <c r="E40" i="169"/>
  <c r="E39" i="169"/>
  <c r="J39" i="169" s="1"/>
  <c r="E38" i="169"/>
  <c r="E37" i="169"/>
  <c r="J37" i="169" s="1"/>
  <c r="E36" i="169"/>
  <c r="E35" i="169"/>
  <c r="J35" i="169" s="1"/>
  <c r="E34" i="169"/>
  <c r="E33" i="169"/>
  <c r="J33" i="169" s="1"/>
  <c r="E32" i="169"/>
  <c r="E31" i="169"/>
  <c r="E13" i="169" s="1"/>
  <c r="E30" i="169"/>
  <c r="E81" i="170"/>
  <c r="E80" i="170"/>
  <c r="E79" i="170"/>
  <c r="E78" i="170"/>
  <c r="E77" i="170"/>
  <c r="E76" i="170"/>
  <c r="E75" i="170"/>
  <c r="E74" i="170"/>
  <c r="E73" i="170"/>
  <c r="E72" i="170"/>
  <c r="E71" i="170"/>
  <c r="E70" i="170"/>
  <c r="E69" i="170"/>
  <c r="E68" i="170"/>
  <c r="E67" i="170"/>
  <c r="E66" i="170"/>
  <c r="E63" i="170"/>
  <c r="E62" i="170"/>
  <c r="E61" i="170"/>
  <c r="E60" i="170"/>
  <c r="E59" i="170"/>
  <c r="E58" i="170"/>
  <c r="E57" i="170"/>
  <c r="E56" i="170"/>
  <c r="E55" i="170"/>
  <c r="E54" i="170"/>
  <c r="E53" i="170"/>
  <c r="E52" i="170"/>
  <c r="E51" i="170"/>
  <c r="E50" i="170"/>
  <c r="E49" i="170"/>
  <c r="E48" i="170"/>
  <c r="E45" i="170"/>
  <c r="E27" i="170" s="1"/>
  <c r="E44" i="170"/>
  <c r="E26" i="170" s="1"/>
  <c r="E43" i="170"/>
  <c r="E25" i="170" s="1"/>
  <c r="E42" i="170"/>
  <c r="E24" i="170" s="1"/>
  <c r="E41" i="170"/>
  <c r="E40" i="170"/>
  <c r="E39" i="170"/>
  <c r="E21" i="170" s="1"/>
  <c r="E38" i="170"/>
  <c r="E37" i="170"/>
  <c r="E19" i="170" s="1"/>
  <c r="E36" i="170"/>
  <c r="E18" i="170" s="1"/>
  <c r="E35" i="170"/>
  <c r="E17" i="170" s="1"/>
  <c r="E34" i="170"/>
  <c r="E33" i="170"/>
  <c r="E15" i="170" s="1"/>
  <c r="E32" i="170"/>
  <c r="E31" i="170"/>
  <c r="E13" i="170" s="1"/>
  <c r="E30" i="170"/>
  <c r="E12" i="170" s="1"/>
  <c r="E81" i="171"/>
  <c r="E80" i="171"/>
  <c r="E79" i="171"/>
  <c r="E78" i="171"/>
  <c r="E77" i="171"/>
  <c r="E76" i="171"/>
  <c r="E75" i="171"/>
  <c r="E74" i="171"/>
  <c r="E73" i="171"/>
  <c r="E72" i="171"/>
  <c r="E71" i="171"/>
  <c r="E70" i="171"/>
  <c r="E69" i="171"/>
  <c r="E68" i="171"/>
  <c r="E67" i="171"/>
  <c r="E66" i="171"/>
  <c r="E63" i="171"/>
  <c r="E62" i="171"/>
  <c r="E61" i="171"/>
  <c r="E60" i="171"/>
  <c r="E59" i="171"/>
  <c r="E58" i="171"/>
  <c r="E57" i="171"/>
  <c r="E56" i="171"/>
  <c r="E55" i="171"/>
  <c r="E54" i="171"/>
  <c r="E53" i="171"/>
  <c r="E52" i="171"/>
  <c r="E51" i="171"/>
  <c r="E50" i="171"/>
  <c r="E49" i="171"/>
  <c r="E48" i="171"/>
  <c r="E45" i="171"/>
  <c r="E27" i="171" s="1"/>
  <c r="E44" i="171"/>
  <c r="E26" i="171" s="1"/>
  <c r="E43" i="171"/>
  <c r="E25" i="171" s="1"/>
  <c r="E42" i="171"/>
  <c r="E24" i="171" s="1"/>
  <c r="E41" i="171"/>
  <c r="E23" i="171" s="1"/>
  <c r="E40" i="171"/>
  <c r="E22" i="171" s="1"/>
  <c r="E39" i="171"/>
  <c r="E21" i="171" s="1"/>
  <c r="E38" i="171"/>
  <c r="E20" i="171" s="1"/>
  <c r="E37" i="171"/>
  <c r="E19" i="171" s="1"/>
  <c r="E36" i="171"/>
  <c r="E18" i="171" s="1"/>
  <c r="E35" i="171"/>
  <c r="E17" i="171" s="1"/>
  <c r="E34" i="171"/>
  <c r="E16" i="171" s="1"/>
  <c r="E33" i="171"/>
  <c r="E15" i="171" s="1"/>
  <c r="E32" i="171"/>
  <c r="E14" i="171" s="1"/>
  <c r="E31" i="171"/>
  <c r="E13" i="171" s="1"/>
  <c r="E30" i="171"/>
  <c r="E12" i="171" s="1"/>
  <c r="E81" i="163"/>
  <c r="E80" i="163"/>
  <c r="E79" i="163"/>
  <c r="E78" i="163"/>
  <c r="E77" i="163"/>
  <c r="E76" i="163"/>
  <c r="E75" i="163"/>
  <c r="E74" i="163"/>
  <c r="E73" i="163"/>
  <c r="E72" i="163"/>
  <c r="E71" i="163"/>
  <c r="E70" i="163"/>
  <c r="E69" i="163"/>
  <c r="E68" i="163"/>
  <c r="E67" i="163"/>
  <c r="E66" i="163"/>
  <c r="E63" i="163"/>
  <c r="E62" i="163"/>
  <c r="E61" i="163"/>
  <c r="E60" i="163"/>
  <c r="E59" i="163"/>
  <c r="E58" i="163"/>
  <c r="E57" i="163"/>
  <c r="E56" i="163"/>
  <c r="E55" i="163"/>
  <c r="E54" i="163"/>
  <c r="E53" i="163"/>
  <c r="E52" i="163"/>
  <c r="E51" i="163"/>
  <c r="E50" i="163"/>
  <c r="E49" i="163"/>
  <c r="E48" i="163"/>
  <c r="E45" i="163"/>
  <c r="E27" i="163" s="1"/>
  <c r="E44" i="163"/>
  <c r="E26" i="163" s="1"/>
  <c r="E43" i="163"/>
  <c r="E25" i="163" s="1"/>
  <c r="E42" i="163"/>
  <c r="E24" i="163" s="1"/>
  <c r="E41" i="163"/>
  <c r="E23" i="163" s="1"/>
  <c r="E40" i="163"/>
  <c r="E22" i="163" s="1"/>
  <c r="E39" i="163"/>
  <c r="E21" i="163" s="1"/>
  <c r="E38" i="163"/>
  <c r="E20" i="163" s="1"/>
  <c r="E37" i="163"/>
  <c r="E19" i="163" s="1"/>
  <c r="E36" i="163"/>
  <c r="E18" i="163" s="1"/>
  <c r="E35" i="163"/>
  <c r="E17" i="163" s="1"/>
  <c r="E34" i="163"/>
  <c r="E16" i="163" s="1"/>
  <c r="E33" i="163"/>
  <c r="E15" i="163" s="1"/>
  <c r="E32" i="163"/>
  <c r="E14" i="163" s="1"/>
  <c r="E31" i="163"/>
  <c r="E13" i="163" s="1"/>
  <c r="E30" i="163"/>
  <c r="E12" i="163" s="1"/>
  <c r="E81" i="164"/>
  <c r="E80" i="164"/>
  <c r="E79" i="164"/>
  <c r="E78" i="164"/>
  <c r="E77" i="164"/>
  <c r="E76" i="164"/>
  <c r="E75" i="164"/>
  <c r="E74" i="164"/>
  <c r="E73" i="164"/>
  <c r="E72" i="164"/>
  <c r="E71" i="164"/>
  <c r="E70" i="164"/>
  <c r="E69" i="164"/>
  <c r="E68" i="164"/>
  <c r="E67" i="164"/>
  <c r="E66" i="164"/>
  <c r="E63" i="164"/>
  <c r="E62" i="164"/>
  <c r="E61" i="164"/>
  <c r="E60" i="164"/>
  <c r="E59" i="164"/>
  <c r="E58" i="164"/>
  <c r="E57" i="164"/>
  <c r="E56" i="164"/>
  <c r="E55" i="164"/>
  <c r="E54" i="164"/>
  <c r="E53" i="164"/>
  <c r="E52" i="164"/>
  <c r="E51" i="164"/>
  <c r="E50" i="164"/>
  <c r="E49" i="164"/>
  <c r="E48" i="164"/>
  <c r="E45" i="164"/>
  <c r="E27" i="164" s="1"/>
  <c r="E44" i="164"/>
  <c r="E26" i="164" s="1"/>
  <c r="E43" i="164"/>
  <c r="E25" i="164" s="1"/>
  <c r="E42" i="164"/>
  <c r="E24" i="164" s="1"/>
  <c r="E41" i="164"/>
  <c r="E23" i="164" s="1"/>
  <c r="E40" i="164"/>
  <c r="E22" i="164" s="1"/>
  <c r="E39" i="164"/>
  <c r="E21" i="164" s="1"/>
  <c r="E38" i="164"/>
  <c r="E20" i="164" s="1"/>
  <c r="E37" i="164"/>
  <c r="E19" i="164" s="1"/>
  <c r="E36" i="164"/>
  <c r="E18" i="164" s="1"/>
  <c r="E35" i="164"/>
  <c r="E17" i="164" s="1"/>
  <c r="E34" i="164"/>
  <c r="E16" i="164" s="1"/>
  <c r="E33" i="164"/>
  <c r="E15" i="164" s="1"/>
  <c r="E32" i="164"/>
  <c r="E14" i="164" s="1"/>
  <c r="E31" i="164"/>
  <c r="E13" i="164" s="1"/>
  <c r="E30" i="164"/>
  <c r="E12" i="164" s="1"/>
  <c r="E13" i="165"/>
  <c r="E23" i="170"/>
  <c r="J72" i="170"/>
  <c r="J72" i="171"/>
  <c r="J54" i="171"/>
  <c r="J36" i="171"/>
  <c r="E23" i="169" l="1"/>
  <c r="E15" i="169"/>
  <c r="E27" i="169"/>
  <c r="J27" i="169" s="1"/>
  <c r="E25" i="180"/>
  <c r="E14" i="166"/>
  <c r="E12" i="176"/>
  <c r="E25" i="183"/>
  <c r="E13" i="206"/>
  <c r="E17" i="175"/>
  <c r="E25" i="175"/>
  <c r="E46" i="176"/>
  <c r="E46" i="180"/>
  <c r="E26" i="169"/>
  <c r="J26" i="169" s="1"/>
  <c r="E19" i="169"/>
  <c r="E18" i="174"/>
  <c r="E22" i="174"/>
  <c r="E26" i="174"/>
  <c r="E64" i="176"/>
  <c r="E46" i="175"/>
  <c r="E21" i="206"/>
  <c r="E21" i="169"/>
  <c r="J21" i="169" s="1"/>
  <c r="E17" i="169"/>
  <c r="E15" i="177"/>
  <c r="E27" i="177"/>
  <c r="E18" i="181"/>
  <c r="J12" i="203"/>
  <c r="E12" i="169"/>
  <c r="J12" i="169" s="1"/>
  <c r="J30" i="169"/>
  <c r="E14" i="169"/>
  <c r="J14" i="169" s="1"/>
  <c r="J32" i="169"/>
  <c r="E16" i="169"/>
  <c r="J16" i="169" s="1"/>
  <c r="J34" i="169"/>
  <c r="E18" i="169"/>
  <c r="J36" i="169"/>
  <c r="E20" i="169"/>
  <c r="J20" i="169" s="1"/>
  <c r="J38" i="169"/>
  <c r="E22" i="169"/>
  <c r="J22" i="169" s="1"/>
  <c r="J40" i="169"/>
  <c r="J23" i="169"/>
  <c r="J15" i="169"/>
  <c r="E31" i="153"/>
  <c r="E33" i="153"/>
  <c r="E35" i="153"/>
  <c r="E37" i="153"/>
  <c r="E41" i="153"/>
  <c r="E43" i="153"/>
  <c r="E45" i="153"/>
  <c r="E49" i="153"/>
  <c r="E51" i="153"/>
  <c r="E53" i="153"/>
  <c r="E55" i="153"/>
  <c r="E57" i="153"/>
  <c r="E59" i="153"/>
  <c r="E61" i="153"/>
  <c r="E63" i="153"/>
  <c r="E67" i="153"/>
  <c r="E69" i="153"/>
  <c r="E71" i="153"/>
  <c r="E73" i="153"/>
  <c r="E75" i="153"/>
  <c r="E77" i="153"/>
  <c r="E79" i="153"/>
  <c r="E81" i="153"/>
  <c r="E24" i="222"/>
  <c r="E20" i="222"/>
  <c r="E16" i="222"/>
  <c r="E12" i="222"/>
  <c r="E27" i="222"/>
  <c r="E23" i="222"/>
  <c r="E19" i="222"/>
  <c r="E15" i="222"/>
  <c r="E30" i="153"/>
  <c r="E32" i="153"/>
  <c r="E34" i="153"/>
  <c r="E36" i="153"/>
  <c r="E38" i="153"/>
  <c r="E40" i="153"/>
  <c r="E42" i="153"/>
  <c r="E44" i="153"/>
  <c r="E48" i="153"/>
  <c r="E50" i="153"/>
  <c r="E52" i="153"/>
  <c r="E54" i="153"/>
  <c r="E56" i="153"/>
  <c r="E58" i="153"/>
  <c r="E60" i="153"/>
  <c r="E62" i="153"/>
  <c r="E66" i="153"/>
  <c r="E68" i="153"/>
  <c r="E72" i="153"/>
  <c r="E74" i="153"/>
  <c r="E76" i="153"/>
  <c r="E78" i="153"/>
  <c r="E80" i="153"/>
  <c r="E28" i="223"/>
  <c r="E26" i="222"/>
  <c r="E22" i="222"/>
  <c r="E18" i="222"/>
  <c r="E14" i="222"/>
  <c r="E25" i="222"/>
  <c r="E21" i="222"/>
  <c r="E17" i="222"/>
  <c r="E13" i="222"/>
  <c r="E22" i="170"/>
  <c r="E18" i="178"/>
  <c r="E46" i="183"/>
  <c r="E64" i="181"/>
  <c r="E25" i="206"/>
  <c r="E19" i="177"/>
  <c r="E19" i="206"/>
  <c r="E28" i="192"/>
  <c r="E64" i="178"/>
  <c r="E28" i="196"/>
  <c r="E46" i="173"/>
  <c r="E20" i="170"/>
  <c r="E28" i="190"/>
  <c r="E28" i="186"/>
  <c r="E46" i="205"/>
  <c r="E21" i="174"/>
  <c r="E25" i="174"/>
  <c r="E16" i="175"/>
  <c r="E20" i="175"/>
  <c r="E24" i="175"/>
  <c r="E16" i="174"/>
  <c r="E20" i="174"/>
  <c r="E24" i="174"/>
  <c r="E46" i="174"/>
  <c r="E17" i="177"/>
  <c r="E25" i="177"/>
  <c r="E20" i="181"/>
  <c r="E46" i="181"/>
  <c r="E28" i="181" s="1"/>
  <c r="J12" i="192"/>
  <c r="E12" i="173"/>
  <c r="E14" i="173"/>
  <c r="E16" i="173"/>
  <c r="E22" i="173"/>
  <c r="E24" i="173"/>
  <c r="E26" i="173"/>
  <c r="E15" i="174"/>
  <c r="E14" i="175"/>
  <c r="E22" i="175"/>
  <c r="E26" i="175"/>
  <c r="E13" i="178"/>
  <c r="E17" i="178"/>
  <c r="E21" i="178"/>
  <c r="E12" i="183"/>
  <c r="E16" i="183"/>
  <c r="E15" i="181"/>
  <c r="E19" i="181"/>
  <c r="E23" i="181"/>
  <c r="E27" i="181"/>
  <c r="E14" i="174"/>
  <c r="E13" i="175"/>
  <c r="E21" i="175"/>
  <c r="E16" i="176"/>
  <c r="E20" i="176"/>
  <c r="E24" i="176"/>
  <c r="E23" i="177"/>
  <c r="E14" i="178"/>
  <c r="E22" i="178"/>
  <c r="E26" i="178"/>
  <c r="E14" i="181"/>
  <c r="E22" i="181"/>
  <c r="E26" i="181"/>
  <c r="E48" i="182"/>
  <c r="E50" i="182"/>
  <c r="E52" i="182"/>
  <c r="E54" i="182"/>
  <c r="E56" i="182"/>
  <c r="E58" i="182"/>
  <c r="E60" i="182"/>
  <c r="E62" i="182"/>
  <c r="E28" i="199"/>
  <c r="E57" i="182"/>
  <c r="E15" i="206"/>
  <c r="E23" i="206"/>
  <c r="E17" i="206"/>
  <c r="E27" i="206"/>
  <c r="E28" i="200"/>
  <c r="E46" i="178"/>
  <c r="E28" i="203"/>
  <c r="E28" i="194"/>
  <c r="E28" i="188"/>
  <c r="E12" i="180"/>
  <c r="E14" i="180"/>
  <c r="E16" i="180"/>
  <c r="E18" i="180"/>
  <c r="E20" i="180"/>
  <c r="E22" i="180"/>
  <c r="E24" i="180"/>
  <c r="E26" i="180"/>
  <c r="E13" i="174"/>
  <c r="E17" i="174"/>
  <c r="E12" i="175"/>
  <c r="E15" i="176"/>
  <c r="E19" i="176"/>
  <c r="E23" i="176"/>
  <c r="E27" i="176"/>
  <c r="E14" i="177"/>
  <c r="E22" i="177"/>
  <c r="E26" i="177"/>
  <c r="E15" i="178"/>
  <c r="E19" i="178"/>
  <c r="E23" i="178"/>
  <c r="E27" i="178"/>
  <c r="E14" i="183"/>
  <c r="E22" i="183"/>
  <c r="E26" i="183"/>
  <c r="E15" i="173"/>
  <c r="E19" i="173"/>
  <c r="E23" i="173"/>
  <c r="E27" i="173"/>
  <c r="E12" i="174"/>
  <c r="E13" i="177"/>
  <c r="E21" i="177"/>
  <c r="E13" i="183"/>
  <c r="E17" i="183"/>
  <c r="E21" i="183"/>
  <c r="E12" i="181"/>
  <c r="E16" i="181"/>
  <c r="E24" i="181"/>
  <c r="E12" i="206"/>
  <c r="E16" i="206"/>
  <c r="E20" i="206"/>
  <c r="E24" i="206"/>
  <c r="E28" i="195"/>
  <c r="E51" i="182"/>
  <c r="E55" i="182"/>
  <c r="E59" i="182"/>
  <c r="E63" i="182"/>
  <c r="E28" i="197"/>
  <c r="E13" i="180"/>
  <c r="E15" i="180"/>
  <c r="E17" i="180"/>
  <c r="E19" i="180"/>
  <c r="E21" i="180"/>
  <c r="E23" i="180"/>
  <c r="E27" i="180"/>
  <c r="E28" i="198"/>
  <c r="E46" i="177"/>
  <c r="E15" i="183"/>
  <c r="E19" i="183"/>
  <c r="E23" i="183"/>
  <c r="E27" i="183"/>
  <c r="E46" i="206"/>
  <c r="E14" i="206"/>
  <c r="E18" i="206"/>
  <c r="E22" i="206"/>
  <c r="E26" i="206"/>
  <c r="E53" i="182"/>
  <c r="E61" i="182"/>
  <c r="E64" i="183"/>
  <c r="E28" i="191"/>
  <c r="E64" i="177"/>
  <c r="E28" i="189"/>
  <c r="E64" i="180"/>
  <c r="E28" i="202"/>
  <c r="E13" i="176"/>
  <c r="E17" i="176"/>
  <c r="E21" i="176"/>
  <c r="E25" i="176"/>
  <c r="E12" i="177"/>
  <c r="E16" i="177"/>
  <c r="E20" i="177"/>
  <c r="E24" i="177"/>
  <c r="E28" i="177"/>
  <c r="E13" i="181"/>
  <c r="E17" i="181"/>
  <c r="E21" i="181"/>
  <c r="E25" i="181"/>
  <c r="E13" i="173"/>
  <c r="E17" i="173"/>
  <c r="E21" i="173"/>
  <c r="E25" i="173"/>
  <c r="E15" i="175"/>
  <c r="E19" i="175"/>
  <c r="E23" i="175"/>
  <c r="E27" i="175"/>
  <c r="E14" i="176"/>
  <c r="E18" i="176"/>
  <c r="E22" i="176"/>
  <c r="E26" i="176"/>
  <c r="E12" i="178"/>
  <c r="E16" i="178"/>
  <c r="E20" i="178"/>
  <c r="E24" i="178"/>
  <c r="E64" i="174"/>
  <c r="E64" i="175"/>
  <c r="E28" i="187"/>
  <c r="E64" i="206"/>
  <c r="E64" i="173"/>
  <c r="E64" i="205"/>
  <c r="E28" i="185"/>
  <c r="E49" i="182"/>
  <c r="E30" i="182"/>
  <c r="E12" i="205"/>
  <c r="E32" i="182"/>
  <c r="E14" i="205"/>
  <c r="E34" i="182"/>
  <c r="E16" i="205"/>
  <c r="E36" i="182"/>
  <c r="E18" i="205"/>
  <c r="E38" i="182"/>
  <c r="E20" i="205"/>
  <c r="E40" i="182"/>
  <c r="E22" i="205"/>
  <c r="E42" i="182"/>
  <c r="E24" i="205"/>
  <c r="E44" i="182"/>
  <c r="E26" i="205"/>
  <c r="E31" i="182"/>
  <c r="E13" i="205"/>
  <c r="E33" i="182"/>
  <c r="E15" i="205"/>
  <c r="E35" i="182"/>
  <c r="E17" i="205"/>
  <c r="E37" i="182"/>
  <c r="E19" i="205"/>
  <c r="E39" i="182"/>
  <c r="E21" i="205"/>
  <c r="E41" i="182"/>
  <c r="E23" i="205"/>
  <c r="E43" i="182"/>
  <c r="E25" i="205"/>
  <c r="E45" i="182"/>
  <c r="E27" i="205"/>
  <c r="E64" i="164"/>
  <c r="E46" i="163"/>
  <c r="E82" i="170"/>
  <c r="E64" i="169"/>
  <c r="J64" i="169" s="1"/>
  <c r="E14" i="170"/>
  <c r="E46" i="168"/>
  <c r="E82" i="166"/>
  <c r="E64" i="165"/>
  <c r="E70" i="153"/>
  <c r="E16" i="170"/>
  <c r="E82" i="163"/>
  <c r="E64" i="171"/>
  <c r="E46" i="170"/>
  <c r="E82" i="168"/>
  <c r="E64" i="167"/>
  <c r="E46" i="166"/>
  <c r="E39" i="153"/>
  <c r="E46" i="164"/>
  <c r="E82" i="164"/>
  <c r="E64" i="163"/>
  <c r="E46" i="171"/>
  <c r="E82" i="171"/>
  <c r="E64" i="170"/>
  <c r="E46" i="169"/>
  <c r="J46" i="169" s="1"/>
  <c r="E82" i="169"/>
  <c r="J82" i="169" s="1"/>
  <c r="E64" i="168"/>
  <c r="E28" i="168" s="1"/>
  <c r="E46" i="167"/>
  <c r="E82" i="167"/>
  <c r="E64" i="166"/>
  <c r="E46" i="165"/>
  <c r="E82" i="165"/>
  <c r="E27" i="153"/>
  <c r="E81" i="157"/>
  <c r="E81" i="148" s="1"/>
  <c r="E80" i="157"/>
  <c r="E80" i="148" s="1"/>
  <c r="E79" i="157"/>
  <c r="E79" i="148" s="1"/>
  <c r="E78" i="157"/>
  <c r="E78" i="148" s="1"/>
  <c r="E77" i="157"/>
  <c r="E77" i="148" s="1"/>
  <c r="E76" i="157"/>
  <c r="E76" i="148" s="1"/>
  <c r="E75" i="157"/>
  <c r="E75" i="148" s="1"/>
  <c r="E74" i="157"/>
  <c r="E74" i="148" s="1"/>
  <c r="E73" i="157"/>
  <c r="E73" i="148" s="1"/>
  <c r="E72" i="157"/>
  <c r="E72" i="148" s="1"/>
  <c r="E71" i="157"/>
  <c r="E71" i="148" s="1"/>
  <c r="E70" i="157"/>
  <c r="E70" i="148" s="1"/>
  <c r="E69" i="157"/>
  <c r="E69" i="148" s="1"/>
  <c r="E68" i="157"/>
  <c r="E68" i="148" s="1"/>
  <c r="E67" i="157"/>
  <c r="E67" i="148" s="1"/>
  <c r="E66" i="157"/>
  <c r="E66" i="148" s="1"/>
  <c r="E63" i="157"/>
  <c r="E63" i="148" s="1"/>
  <c r="E62" i="157"/>
  <c r="E62" i="148" s="1"/>
  <c r="E61" i="157"/>
  <c r="E61" i="148" s="1"/>
  <c r="E60" i="157"/>
  <c r="E60" i="148" s="1"/>
  <c r="E59" i="157"/>
  <c r="E59" i="148" s="1"/>
  <c r="E58" i="157"/>
  <c r="E58" i="148" s="1"/>
  <c r="E57" i="157"/>
  <c r="E57" i="148" s="1"/>
  <c r="E56" i="157"/>
  <c r="E56" i="148" s="1"/>
  <c r="E55" i="157"/>
  <c r="E55" i="148" s="1"/>
  <c r="E54" i="157"/>
  <c r="E54" i="148" s="1"/>
  <c r="E53" i="157"/>
  <c r="E53" i="148" s="1"/>
  <c r="E52" i="157"/>
  <c r="E52" i="148" s="1"/>
  <c r="E51" i="157"/>
  <c r="E51" i="148" s="1"/>
  <c r="E50" i="157"/>
  <c r="E50" i="148" s="1"/>
  <c r="E49" i="157"/>
  <c r="E49" i="148" s="1"/>
  <c r="E48" i="157"/>
  <c r="E48" i="148" s="1"/>
  <c r="E45" i="157"/>
  <c r="E44" i="157"/>
  <c r="E44" i="148" s="1"/>
  <c r="E26" i="148" s="1"/>
  <c r="E43" i="157"/>
  <c r="E43" i="148" s="1"/>
  <c r="E25" i="148" s="1"/>
  <c r="E42" i="157"/>
  <c r="E41" i="157"/>
  <c r="E40" i="157"/>
  <c r="E40" i="148" s="1"/>
  <c r="E22" i="148" s="1"/>
  <c r="E39" i="157"/>
  <c r="E39" i="148" s="1"/>
  <c r="E21" i="148" s="1"/>
  <c r="E38" i="157"/>
  <c r="E37" i="157"/>
  <c r="E37" i="148" s="1"/>
  <c r="E19" i="148" s="1"/>
  <c r="E36" i="157"/>
  <c r="E35" i="157"/>
  <c r="E34" i="157"/>
  <c r="E33" i="157"/>
  <c r="E33" i="148" s="1"/>
  <c r="E15" i="148" s="1"/>
  <c r="E32" i="157"/>
  <c r="E31" i="157"/>
  <c r="E30" i="157"/>
  <c r="E81" i="158"/>
  <c r="E81" i="149" s="1"/>
  <c r="E80" i="158"/>
  <c r="E80" i="149" s="1"/>
  <c r="E79" i="158"/>
  <c r="E79" i="149" s="1"/>
  <c r="E78" i="158"/>
  <c r="E78" i="149" s="1"/>
  <c r="E77" i="158"/>
  <c r="E77" i="149" s="1"/>
  <c r="E76" i="158"/>
  <c r="E76" i="149" s="1"/>
  <c r="E75" i="158"/>
  <c r="E75" i="149" s="1"/>
  <c r="E74" i="158"/>
  <c r="E74" i="149" s="1"/>
  <c r="E73" i="158"/>
  <c r="E73" i="149" s="1"/>
  <c r="E72" i="158"/>
  <c r="E72" i="149" s="1"/>
  <c r="E71" i="158"/>
  <c r="E71" i="149" s="1"/>
  <c r="E70" i="158"/>
  <c r="E70" i="149" s="1"/>
  <c r="E69" i="158"/>
  <c r="E69" i="149" s="1"/>
  <c r="E68" i="158"/>
  <c r="E68" i="149" s="1"/>
  <c r="E67" i="158"/>
  <c r="E67" i="149" s="1"/>
  <c r="E66" i="158"/>
  <c r="E66" i="149" s="1"/>
  <c r="E63" i="158"/>
  <c r="E63" i="149" s="1"/>
  <c r="E62" i="158"/>
  <c r="E62" i="149" s="1"/>
  <c r="E61" i="158"/>
  <c r="E61" i="149" s="1"/>
  <c r="E60" i="158"/>
  <c r="E60" i="149" s="1"/>
  <c r="E59" i="158"/>
  <c r="E59" i="149" s="1"/>
  <c r="E58" i="158"/>
  <c r="E58" i="149" s="1"/>
  <c r="E57" i="158"/>
  <c r="E57" i="149" s="1"/>
  <c r="E56" i="158"/>
  <c r="E56" i="149" s="1"/>
  <c r="E55" i="158"/>
  <c r="E55" i="149" s="1"/>
  <c r="E54" i="158"/>
  <c r="E54" i="149" s="1"/>
  <c r="E53" i="158"/>
  <c r="E53" i="149" s="1"/>
  <c r="E52" i="158"/>
  <c r="E52" i="149" s="1"/>
  <c r="E51" i="158"/>
  <c r="E51" i="149" s="1"/>
  <c r="E50" i="158"/>
  <c r="E50" i="149" s="1"/>
  <c r="E49" i="158"/>
  <c r="E49" i="149" s="1"/>
  <c r="E48" i="158"/>
  <c r="E48" i="149" s="1"/>
  <c r="E45" i="158"/>
  <c r="E44" i="158"/>
  <c r="E44" i="149" s="1"/>
  <c r="E26" i="149" s="1"/>
  <c r="E43" i="158"/>
  <c r="E43" i="149" s="1"/>
  <c r="E25" i="149" s="1"/>
  <c r="E42" i="158"/>
  <c r="E41" i="158"/>
  <c r="E40" i="158"/>
  <c r="E39" i="158"/>
  <c r="E39" i="149" s="1"/>
  <c r="E21" i="149" s="1"/>
  <c r="E38" i="158"/>
  <c r="E37" i="158"/>
  <c r="E36" i="158"/>
  <c r="E35" i="158"/>
  <c r="E35" i="149" s="1"/>
  <c r="E17" i="149" s="1"/>
  <c r="E34" i="158"/>
  <c r="E33" i="158"/>
  <c r="E32" i="158"/>
  <c r="E32" i="149" s="1"/>
  <c r="E14" i="149" s="1"/>
  <c r="E31" i="158"/>
  <c r="E31" i="149" s="1"/>
  <c r="E13" i="149" s="1"/>
  <c r="E30" i="158"/>
  <c r="E30" i="149" s="1"/>
  <c r="E12" i="149" s="1"/>
  <c r="E81" i="159"/>
  <c r="E81" i="150" s="1"/>
  <c r="E80" i="159"/>
  <c r="E80" i="150" s="1"/>
  <c r="E79" i="159"/>
  <c r="E79" i="150" s="1"/>
  <c r="E78" i="159"/>
  <c r="E78" i="150" s="1"/>
  <c r="E77" i="159"/>
  <c r="E77" i="150" s="1"/>
  <c r="E76" i="159"/>
  <c r="E76" i="150" s="1"/>
  <c r="E75" i="159"/>
  <c r="E75" i="150" s="1"/>
  <c r="E74" i="159"/>
  <c r="E74" i="150" s="1"/>
  <c r="E73" i="159"/>
  <c r="E73" i="150" s="1"/>
  <c r="E72" i="159"/>
  <c r="E72" i="150" s="1"/>
  <c r="E71" i="159"/>
  <c r="E71" i="150" s="1"/>
  <c r="E70" i="159"/>
  <c r="E70" i="150" s="1"/>
  <c r="E69" i="159"/>
  <c r="E69" i="150" s="1"/>
  <c r="E68" i="159"/>
  <c r="E68" i="150" s="1"/>
  <c r="E67" i="159"/>
  <c r="E67" i="150" s="1"/>
  <c r="E66" i="159"/>
  <c r="E66" i="150" s="1"/>
  <c r="E63" i="159"/>
  <c r="E63" i="150" s="1"/>
  <c r="E62" i="159"/>
  <c r="E62" i="150" s="1"/>
  <c r="E61" i="159"/>
  <c r="E61" i="150" s="1"/>
  <c r="E60" i="159"/>
  <c r="E60" i="150" s="1"/>
  <c r="E59" i="159"/>
  <c r="E59" i="150" s="1"/>
  <c r="E58" i="159"/>
  <c r="E58" i="150" s="1"/>
  <c r="E57" i="159"/>
  <c r="E57" i="150" s="1"/>
  <c r="E56" i="159"/>
  <c r="E56" i="150" s="1"/>
  <c r="E55" i="159"/>
  <c r="E55" i="150" s="1"/>
  <c r="E54" i="159"/>
  <c r="E54" i="150" s="1"/>
  <c r="E53" i="159"/>
  <c r="E53" i="150" s="1"/>
  <c r="E52" i="159"/>
  <c r="E52" i="150" s="1"/>
  <c r="E51" i="159"/>
  <c r="E51" i="150" s="1"/>
  <c r="E50" i="159"/>
  <c r="E50" i="150" s="1"/>
  <c r="E49" i="159"/>
  <c r="E49" i="150" s="1"/>
  <c r="E48" i="159"/>
  <c r="E48" i="150" s="1"/>
  <c r="E45" i="159"/>
  <c r="E44" i="159"/>
  <c r="E43" i="159"/>
  <c r="E43" i="150" s="1"/>
  <c r="E25" i="150" s="1"/>
  <c r="E42" i="159"/>
  <c r="E41" i="159"/>
  <c r="E40" i="159"/>
  <c r="E39" i="159"/>
  <c r="E39" i="150" s="1"/>
  <c r="E21" i="150" s="1"/>
  <c r="E38" i="159"/>
  <c r="E38" i="150" s="1"/>
  <c r="E20" i="150" s="1"/>
  <c r="E37" i="159"/>
  <c r="E37" i="150" s="1"/>
  <c r="E19" i="150" s="1"/>
  <c r="E36" i="159"/>
  <c r="E36" i="150" s="1"/>
  <c r="E18" i="150" s="1"/>
  <c r="E35" i="159"/>
  <c r="E35" i="150" s="1"/>
  <c r="E17" i="150" s="1"/>
  <c r="E34" i="159"/>
  <c r="E34" i="150" s="1"/>
  <c r="E16" i="150" s="1"/>
  <c r="E33" i="159"/>
  <c r="E33" i="150" s="1"/>
  <c r="E15" i="150" s="1"/>
  <c r="E32" i="159"/>
  <c r="E32" i="150" s="1"/>
  <c r="E14" i="150" s="1"/>
  <c r="E31" i="159"/>
  <c r="E30" i="159"/>
  <c r="E30" i="150" s="1"/>
  <c r="E12" i="150" s="1"/>
  <c r="E81" i="160"/>
  <c r="E81" i="151" s="1"/>
  <c r="E80" i="160"/>
  <c r="E80" i="151" s="1"/>
  <c r="E79" i="160"/>
  <c r="E79" i="151" s="1"/>
  <c r="E78" i="160"/>
  <c r="E78" i="151" s="1"/>
  <c r="E77" i="160"/>
  <c r="E77" i="151" s="1"/>
  <c r="E76" i="160"/>
  <c r="E76" i="151" s="1"/>
  <c r="E75" i="160"/>
  <c r="E75" i="151" s="1"/>
  <c r="E74" i="160"/>
  <c r="E74" i="151" s="1"/>
  <c r="E73" i="160"/>
  <c r="E73" i="151" s="1"/>
  <c r="E72" i="160"/>
  <c r="E72" i="151" s="1"/>
  <c r="E71" i="160"/>
  <c r="E71" i="151" s="1"/>
  <c r="E70" i="160"/>
  <c r="E70" i="151" s="1"/>
  <c r="E69" i="160"/>
  <c r="E69" i="151" s="1"/>
  <c r="E68" i="160"/>
  <c r="E68" i="151" s="1"/>
  <c r="E67" i="160"/>
  <c r="E67" i="151" s="1"/>
  <c r="E66" i="160"/>
  <c r="E66" i="151" s="1"/>
  <c r="E63" i="160"/>
  <c r="E63" i="151" s="1"/>
  <c r="E62" i="160"/>
  <c r="E62" i="151" s="1"/>
  <c r="E61" i="160"/>
  <c r="E61" i="151" s="1"/>
  <c r="E60" i="160"/>
  <c r="E60" i="151" s="1"/>
  <c r="E59" i="160"/>
  <c r="E59" i="151" s="1"/>
  <c r="E58" i="160"/>
  <c r="E58" i="151" s="1"/>
  <c r="E57" i="160"/>
  <c r="E57" i="151" s="1"/>
  <c r="E56" i="160"/>
  <c r="E56" i="151" s="1"/>
  <c r="E55" i="160"/>
  <c r="E55" i="151" s="1"/>
  <c r="E54" i="160"/>
  <c r="E54" i="151" s="1"/>
  <c r="E53" i="160"/>
  <c r="E53" i="151" s="1"/>
  <c r="E52" i="160"/>
  <c r="E52" i="151" s="1"/>
  <c r="E51" i="160"/>
  <c r="E51" i="151" s="1"/>
  <c r="E50" i="160"/>
  <c r="E50" i="151" s="1"/>
  <c r="E49" i="160"/>
  <c r="E49" i="151" s="1"/>
  <c r="E48" i="160"/>
  <c r="E48" i="151" s="1"/>
  <c r="E45" i="160"/>
  <c r="E44" i="160"/>
  <c r="E44" i="151" s="1"/>
  <c r="E26" i="151" s="1"/>
  <c r="E43" i="160"/>
  <c r="E42" i="160"/>
  <c r="E42" i="151" s="1"/>
  <c r="E24" i="151" s="1"/>
  <c r="E41" i="160"/>
  <c r="E40" i="160"/>
  <c r="E40" i="151" s="1"/>
  <c r="E22" i="151" s="1"/>
  <c r="E39" i="160"/>
  <c r="E39" i="151" s="1"/>
  <c r="E21" i="151" s="1"/>
  <c r="E38" i="160"/>
  <c r="E38" i="151" s="1"/>
  <c r="E20" i="151" s="1"/>
  <c r="E37" i="160"/>
  <c r="E37" i="151" s="1"/>
  <c r="E19" i="151" s="1"/>
  <c r="E36" i="160"/>
  <c r="E36" i="151" s="1"/>
  <c r="E18" i="151" s="1"/>
  <c r="E35" i="160"/>
  <c r="E35" i="151" s="1"/>
  <c r="E17" i="151" s="1"/>
  <c r="E34" i="160"/>
  <c r="E34" i="151" s="1"/>
  <c r="E16" i="151" s="1"/>
  <c r="E33" i="160"/>
  <c r="E32" i="160"/>
  <c r="E32" i="151" s="1"/>
  <c r="E14" i="151" s="1"/>
  <c r="E31" i="160"/>
  <c r="E31" i="151" s="1"/>
  <c r="E13" i="151" s="1"/>
  <c r="E30" i="160"/>
  <c r="E81" i="161"/>
  <c r="J81" i="161" s="1"/>
  <c r="E80" i="161"/>
  <c r="J80" i="161" s="1"/>
  <c r="E79" i="161"/>
  <c r="J79" i="161" s="1"/>
  <c r="E78" i="161"/>
  <c r="E77" i="161"/>
  <c r="J77" i="161" s="1"/>
  <c r="E76" i="161"/>
  <c r="J76" i="161" s="1"/>
  <c r="E75" i="161"/>
  <c r="J75" i="161" s="1"/>
  <c r="E74" i="161"/>
  <c r="J74" i="161" s="1"/>
  <c r="E73" i="161"/>
  <c r="J73" i="161" s="1"/>
  <c r="E72" i="161"/>
  <c r="J72" i="161" s="1"/>
  <c r="E71" i="161"/>
  <c r="J71" i="161" s="1"/>
  <c r="E70" i="161"/>
  <c r="J70" i="161" s="1"/>
  <c r="E69" i="161"/>
  <c r="J69" i="161" s="1"/>
  <c r="E68" i="161"/>
  <c r="J68" i="161" s="1"/>
  <c r="E67" i="161"/>
  <c r="J67" i="161" s="1"/>
  <c r="E66" i="161"/>
  <c r="J66" i="161" s="1"/>
  <c r="E63" i="161"/>
  <c r="J63" i="161" s="1"/>
  <c r="E62" i="161"/>
  <c r="J62" i="161" s="1"/>
  <c r="E61" i="161"/>
  <c r="J61" i="161" s="1"/>
  <c r="E60" i="161"/>
  <c r="E59" i="161"/>
  <c r="J59" i="161" s="1"/>
  <c r="E58" i="161"/>
  <c r="J58" i="161" s="1"/>
  <c r="E57" i="161"/>
  <c r="J57" i="161" s="1"/>
  <c r="E56" i="161"/>
  <c r="J56" i="161" s="1"/>
  <c r="E55" i="161"/>
  <c r="J55" i="161" s="1"/>
  <c r="E54" i="161"/>
  <c r="J54" i="161" s="1"/>
  <c r="E53" i="161"/>
  <c r="J53" i="161" s="1"/>
  <c r="E52" i="161"/>
  <c r="J52" i="161" s="1"/>
  <c r="E51" i="161"/>
  <c r="J51" i="161" s="1"/>
  <c r="E50" i="161"/>
  <c r="J50" i="161" s="1"/>
  <c r="E49" i="161"/>
  <c r="J49" i="161" s="1"/>
  <c r="E48" i="161"/>
  <c r="J48" i="161" s="1"/>
  <c r="E45" i="161"/>
  <c r="E44" i="161"/>
  <c r="J44" i="161" s="1"/>
  <c r="E43" i="161"/>
  <c r="J43" i="161" s="1"/>
  <c r="E42" i="161"/>
  <c r="E41" i="161"/>
  <c r="E40" i="161"/>
  <c r="J40" i="161" s="1"/>
  <c r="E39" i="161"/>
  <c r="J39" i="161" s="1"/>
  <c r="E38" i="161"/>
  <c r="J38" i="161" s="1"/>
  <c r="E37" i="161"/>
  <c r="J37" i="161" s="1"/>
  <c r="E36" i="161"/>
  <c r="J36" i="161" s="1"/>
  <c r="E35" i="161"/>
  <c r="E34" i="161"/>
  <c r="J34" i="161" s="1"/>
  <c r="E33" i="161"/>
  <c r="J33" i="161" s="1"/>
  <c r="E32" i="161"/>
  <c r="J32" i="161" s="1"/>
  <c r="E31" i="161"/>
  <c r="E30" i="161"/>
  <c r="J30" i="161" s="1"/>
  <c r="E81" i="162"/>
  <c r="E81" i="154" s="1"/>
  <c r="E80" i="162"/>
  <c r="E80" i="154" s="1"/>
  <c r="E79" i="162"/>
  <c r="E79" i="154" s="1"/>
  <c r="E78" i="162"/>
  <c r="E78" i="154" s="1"/>
  <c r="E77" i="162"/>
  <c r="E77" i="154" s="1"/>
  <c r="E76" i="162"/>
  <c r="E76" i="154" s="1"/>
  <c r="E75" i="162"/>
  <c r="E75" i="154" s="1"/>
  <c r="E74" i="162"/>
  <c r="E74" i="154" s="1"/>
  <c r="E73" i="162"/>
  <c r="E73" i="154" s="1"/>
  <c r="E72" i="162"/>
  <c r="E72" i="154" s="1"/>
  <c r="E71" i="162"/>
  <c r="E71" i="154" s="1"/>
  <c r="E70" i="162"/>
  <c r="E70" i="154" s="1"/>
  <c r="E69" i="162"/>
  <c r="E69" i="154" s="1"/>
  <c r="E68" i="162"/>
  <c r="E68" i="154" s="1"/>
  <c r="E67" i="162"/>
  <c r="E67" i="154" s="1"/>
  <c r="E66" i="162"/>
  <c r="E66" i="154" s="1"/>
  <c r="E63" i="162"/>
  <c r="E63" i="154" s="1"/>
  <c r="E62" i="162"/>
  <c r="E62" i="154" s="1"/>
  <c r="E61" i="162"/>
  <c r="E61" i="154" s="1"/>
  <c r="E60" i="162"/>
  <c r="E60" i="154" s="1"/>
  <c r="E59" i="162"/>
  <c r="E59" i="154" s="1"/>
  <c r="E58" i="162"/>
  <c r="E58" i="154" s="1"/>
  <c r="E57" i="162"/>
  <c r="E57" i="154" s="1"/>
  <c r="E56" i="162"/>
  <c r="E56" i="154" s="1"/>
  <c r="E55" i="162"/>
  <c r="E55" i="154" s="1"/>
  <c r="E54" i="162"/>
  <c r="E54" i="154" s="1"/>
  <c r="E53" i="162"/>
  <c r="E53" i="154" s="1"/>
  <c r="E52" i="162"/>
  <c r="E52" i="154" s="1"/>
  <c r="E51" i="162"/>
  <c r="E51" i="154" s="1"/>
  <c r="E50" i="162"/>
  <c r="E50" i="154" s="1"/>
  <c r="E49" i="162"/>
  <c r="E49" i="154" s="1"/>
  <c r="E48" i="162"/>
  <c r="E48" i="154" s="1"/>
  <c r="E45" i="162"/>
  <c r="E44" i="162"/>
  <c r="E44" i="154" s="1"/>
  <c r="E26" i="154" s="1"/>
  <c r="E43" i="162"/>
  <c r="E43" i="154" s="1"/>
  <c r="E25" i="154" s="1"/>
  <c r="E42" i="162"/>
  <c r="E42" i="154" s="1"/>
  <c r="E24" i="154" s="1"/>
  <c r="E41" i="162"/>
  <c r="E41" i="154" s="1"/>
  <c r="E23" i="154" s="1"/>
  <c r="E40" i="162"/>
  <c r="E40" i="154" s="1"/>
  <c r="E22" i="154" s="1"/>
  <c r="E39" i="162"/>
  <c r="E39" i="154" s="1"/>
  <c r="E21" i="154" s="1"/>
  <c r="E38" i="162"/>
  <c r="E37" i="162"/>
  <c r="E36" i="162"/>
  <c r="E35" i="162"/>
  <c r="E35" i="154" s="1"/>
  <c r="E17" i="154" s="1"/>
  <c r="E34" i="162"/>
  <c r="E33" i="162"/>
  <c r="E33" i="154" s="1"/>
  <c r="E15" i="154" s="1"/>
  <c r="E32" i="162"/>
  <c r="E32" i="154" s="1"/>
  <c r="E14" i="154" s="1"/>
  <c r="E31" i="162"/>
  <c r="E31" i="154" s="1"/>
  <c r="E13" i="154" s="1"/>
  <c r="E30" i="162"/>
  <c r="E81" i="155"/>
  <c r="E81" i="146" s="1"/>
  <c r="E80" i="155"/>
  <c r="E80" i="146" s="1"/>
  <c r="E79" i="155"/>
  <c r="E79" i="146" s="1"/>
  <c r="E78" i="155"/>
  <c r="E78" i="146" s="1"/>
  <c r="E77" i="155"/>
  <c r="E77" i="146" s="1"/>
  <c r="E76" i="155"/>
  <c r="E76" i="146" s="1"/>
  <c r="E75" i="155"/>
  <c r="E75" i="146" s="1"/>
  <c r="E74" i="155"/>
  <c r="E74" i="146" s="1"/>
  <c r="E73" i="155"/>
  <c r="E73" i="146" s="1"/>
  <c r="E72" i="155"/>
  <c r="E72" i="146" s="1"/>
  <c r="E71" i="155"/>
  <c r="E71" i="146" s="1"/>
  <c r="E70" i="155"/>
  <c r="E70" i="146" s="1"/>
  <c r="E69" i="155"/>
  <c r="E69" i="146" s="1"/>
  <c r="E68" i="155"/>
  <c r="E68" i="146" s="1"/>
  <c r="E67" i="155"/>
  <c r="E67" i="146" s="1"/>
  <c r="E66" i="155"/>
  <c r="E66" i="146" s="1"/>
  <c r="E63" i="155"/>
  <c r="E63" i="146" s="1"/>
  <c r="E62" i="155"/>
  <c r="E62" i="146" s="1"/>
  <c r="E61" i="155"/>
  <c r="E61" i="146" s="1"/>
  <c r="E60" i="155"/>
  <c r="E60" i="146" s="1"/>
  <c r="E59" i="155"/>
  <c r="E59" i="146" s="1"/>
  <c r="E58" i="155"/>
  <c r="E58" i="146" s="1"/>
  <c r="E57" i="155"/>
  <c r="E57" i="146" s="1"/>
  <c r="E56" i="155"/>
  <c r="E56" i="146" s="1"/>
  <c r="E55" i="155"/>
  <c r="E55" i="146" s="1"/>
  <c r="E54" i="155"/>
  <c r="E54" i="146" s="1"/>
  <c r="E53" i="155"/>
  <c r="E53" i="146" s="1"/>
  <c r="E52" i="155"/>
  <c r="E52" i="146" s="1"/>
  <c r="E51" i="155"/>
  <c r="E51" i="146" s="1"/>
  <c r="E50" i="155"/>
  <c r="E50" i="146" s="1"/>
  <c r="E49" i="155"/>
  <c r="E49" i="146" s="1"/>
  <c r="E48" i="155"/>
  <c r="E48" i="146" s="1"/>
  <c r="E45" i="155"/>
  <c r="E44" i="155"/>
  <c r="E44" i="146" s="1"/>
  <c r="E26" i="146" s="1"/>
  <c r="E43" i="155"/>
  <c r="E43" i="146" s="1"/>
  <c r="E25" i="146" s="1"/>
  <c r="E42" i="155"/>
  <c r="E42" i="146" s="1"/>
  <c r="E24" i="146" s="1"/>
  <c r="E41" i="155"/>
  <c r="E41" i="146" s="1"/>
  <c r="E23" i="146" s="1"/>
  <c r="E40" i="155"/>
  <c r="E39" i="155"/>
  <c r="E38" i="155"/>
  <c r="E38" i="146" s="1"/>
  <c r="E20" i="146" s="1"/>
  <c r="E37" i="155"/>
  <c r="E37" i="146" s="1"/>
  <c r="E19" i="146" s="1"/>
  <c r="E36" i="155"/>
  <c r="E36" i="146" s="1"/>
  <c r="E18" i="146" s="1"/>
  <c r="E35" i="155"/>
  <c r="E35" i="146" s="1"/>
  <c r="E17" i="146" s="1"/>
  <c r="E34" i="155"/>
  <c r="E34" i="146" s="1"/>
  <c r="E16" i="146" s="1"/>
  <c r="E33" i="155"/>
  <c r="E33" i="146" s="1"/>
  <c r="E15" i="146" s="1"/>
  <c r="E32" i="155"/>
  <c r="E32" i="146" s="1"/>
  <c r="E14" i="146" s="1"/>
  <c r="E31" i="155"/>
  <c r="E31" i="146" s="1"/>
  <c r="E13" i="146" s="1"/>
  <c r="E30" i="155"/>
  <c r="E30" i="146" s="1"/>
  <c r="E12" i="146" s="1"/>
  <c r="E81" i="156"/>
  <c r="E81" i="147" s="1"/>
  <c r="E80" i="156"/>
  <c r="E80" i="147" s="1"/>
  <c r="E79" i="156"/>
  <c r="E79" i="147" s="1"/>
  <c r="E78" i="156"/>
  <c r="E78" i="147" s="1"/>
  <c r="E77" i="156"/>
  <c r="E77" i="147" s="1"/>
  <c r="E76" i="156"/>
  <c r="E76" i="147" s="1"/>
  <c r="E75" i="156"/>
  <c r="E75" i="147" s="1"/>
  <c r="E74" i="156"/>
  <c r="E74" i="147" s="1"/>
  <c r="E73" i="156"/>
  <c r="E73" i="147" s="1"/>
  <c r="E72" i="156"/>
  <c r="E72" i="147" s="1"/>
  <c r="E71" i="156"/>
  <c r="E71" i="147" s="1"/>
  <c r="E70" i="156"/>
  <c r="E70" i="147" s="1"/>
  <c r="E69" i="156"/>
  <c r="E69" i="147" s="1"/>
  <c r="E68" i="156"/>
  <c r="E68" i="147" s="1"/>
  <c r="E67" i="156"/>
  <c r="E67" i="147" s="1"/>
  <c r="E66" i="156"/>
  <c r="E66" i="147" s="1"/>
  <c r="E63" i="156"/>
  <c r="E63" i="147" s="1"/>
  <c r="E62" i="156"/>
  <c r="E62" i="147" s="1"/>
  <c r="E61" i="156"/>
  <c r="E61" i="147" s="1"/>
  <c r="E60" i="156"/>
  <c r="E60" i="147" s="1"/>
  <c r="E59" i="156"/>
  <c r="E59" i="147" s="1"/>
  <c r="E58" i="156"/>
  <c r="E58" i="147" s="1"/>
  <c r="E57" i="156"/>
  <c r="E57" i="147" s="1"/>
  <c r="E56" i="156"/>
  <c r="E56" i="147" s="1"/>
  <c r="E55" i="156"/>
  <c r="E55" i="147" s="1"/>
  <c r="E54" i="156"/>
  <c r="E54" i="147" s="1"/>
  <c r="E53" i="156"/>
  <c r="E53" i="147" s="1"/>
  <c r="E52" i="156"/>
  <c r="E52" i="147" s="1"/>
  <c r="E51" i="156"/>
  <c r="E51" i="147" s="1"/>
  <c r="E50" i="156"/>
  <c r="E50" i="147" s="1"/>
  <c r="E49" i="156"/>
  <c r="E49" i="147" s="1"/>
  <c r="E48" i="156"/>
  <c r="E48" i="147" s="1"/>
  <c r="E45" i="156"/>
  <c r="E45" i="147" s="1"/>
  <c r="E27" i="147" s="1"/>
  <c r="E44" i="156"/>
  <c r="E44" i="147" s="1"/>
  <c r="E26" i="147" s="1"/>
  <c r="E43" i="156"/>
  <c r="E43" i="147" s="1"/>
  <c r="E25" i="147" s="1"/>
  <c r="E42" i="156"/>
  <c r="E41" i="156"/>
  <c r="E41" i="147" s="1"/>
  <c r="E23" i="147" s="1"/>
  <c r="E40" i="156"/>
  <c r="E39" i="156"/>
  <c r="E39" i="147" s="1"/>
  <c r="E21" i="147" s="1"/>
  <c r="E38" i="156"/>
  <c r="E38" i="147" s="1"/>
  <c r="E20" i="147" s="1"/>
  <c r="E37" i="156"/>
  <c r="E37" i="147" s="1"/>
  <c r="E19" i="147" s="1"/>
  <c r="E36" i="156"/>
  <c r="E35" i="156"/>
  <c r="E35" i="147" s="1"/>
  <c r="E17" i="147" s="1"/>
  <c r="E34" i="156"/>
  <c r="E34" i="147" s="1"/>
  <c r="E16" i="147" s="1"/>
  <c r="E33" i="156"/>
  <c r="E33" i="147" s="1"/>
  <c r="E15" i="147" s="1"/>
  <c r="E32" i="156"/>
  <c r="E32" i="147" s="1"/>
  <c r="E14" i="147" s="1"/>
  <c r="E31" i="156"/>
  <c r="E31" i="147" s="1"/>
  <c r="E13" i="147" s="1"/>
  <c r="E30" i="156"/>
  <c r="E30" i="147" s="1"/>
  <c r="E12" i="147" s="1"/>
  <c r="E15" i="156"/>
  <c r="E16" i="156"/>
  <c r="E21" i="156"/>
  <c r="E16" i="159"/>
  <c r="E19" i="160"/>
  <c r="J27" i="135"/>
  <c r="J26" i="135"/>
  <c r="J25" i="135"/>
  <c r="J24" i="135"/>
  <c r="J23" i="135"/>
  <c r="J22" i="135"/>
  <c r="J21" i="135"/>
  <c r="J20" i="135"/>
  <c r="J19" i="135"/>
  <c r="J18" i="135"/>
  <c r="J17" i="135"/>
  <c r="J16" i="135"/>
  <c r="J15" i="135"/>
  <c r="J14" i="135"/>
  <c r="J13" i="135"/>
  <c r="J12" i="135"/>
  <c r="E27" i="135"/>
  <c r="E26" i="135"/>
  <c r="E25" i="135"/>
  <c r="E24" i="135"/>
  <c r="E23" i="135"/>
  <c r="E22" i="135"/>
  <c r="E21" i="135"/>
  <c r="E20" i="135"/>
  <c r="E19" i="135"/>
  <c r="E18" i="135"/>
  <c r="E17" i="135"/>
  <c r="E16" i="135"/>
  <c r="E15" i="135"/>
  <c r="E14" i="135"/>
  <c r="E13" i="135"/>
  <c r="E12" i="135"/>
  <c r="J27" i="136"/>
  <c r="J26" i="136"/>
  <c r="J25" i="136"/>
  <c r="J24" i="136"/>
  <c r="J23" i="136"/>
  <c r="J22" i="136"/>
  <c r="J21" i="136"/>
  <c r="J20" i="136"/>
  <c r="J19" i="136"/>
  <c r="J18" i="136"/>
  <c r="J17" i="136"/>
  <c r="J16" i="136"/>
  <c r="J15" i="136"/>
  <c r="J14" i="136"/>
  <c r="J13" i="136"/>
  <c r="J12" i="136"/>
  <c r="E27" i="136"/>
  <c r="E26" i="136"/>
  <c r="E25" i="136"/>
  <c r="E24" i="136"/>
  <c r="E23" i="136"/>
  <c r="E22" i="136"/>
  <c r="E21" i="136"/>
  <c r="E20" i="136"/>
  <c r="E19" i="136"/>
  <c r="E18" i="136"/>
  <c r="E18" i="134" s="1"/>
  <c r="E17" i="136"/>
  <c r="E16" i="136"/>
  <c r="E15" i="136"/>
  <c r="E14" i="136"/>
  <c r="E13" i="136"/>
  <c r="E12" i="136"/>
  <c r="J27" i="134"/>
  <c r="J26" i="134"/>
  <c r="J24" i="134"/>
  <c r="J23" i="134"/>
  <c r="J22" i="134"/>
  <c r="J21" i="134"/>
  <c r="J19" i="134"/>
  <c r="J17" i="134"/>
  <c r="J16" i="134"/>
  <c r="J15" i="134"/>
  <c r="J14" i="134"/>
  <c r="J13" i="134"/>
  <c r="J12" i="134"/>
  <c r="E12" i="134"/>
  <c r="J201" i="213"/>
  <c r="I201" i="213"/>
  <c r="J200" i="213"/>
  <c r="I200" i="213"/>
  <c r="J199" i="213"/>
  <c r="I199" i="213"/>
  <c r="J198" i="213"/>
  <c r="I198" i="213"/>
  <c r="J197" i="213"/>
  <c r="I197" i="213"/>
  <c r="J196" i="213"/>
  <c r="I196" i="213"/>
  <c r="J195" i="213"/>
  <c r="I195" i="213"/>
  <c r="J194" i="213"/>
  <c r="I194" i="213"/>
  <c r="J193" i="213"/>
  <c r="I193" i="213"/>
  <c r="J192" i="213"/>
  <c r="I192" i="213"/>
  <c r="J191" i="213"/>
  <c r="I191" i="213"/>
  <c r="J190" i="213"/>
  <c r="I190" i="213"/>
  <c r="J189" i="213"/>
  <c r="I189" i="213"/>
  <c r="J188" i="213"/>
  <c r="I188" i="213"/>
  <c r="J187" i="213"/>
  <c r="I187" i="213"/>
  <c r="J165" i="213"/>
  <c r="I165" i="213"/>
  <c r="J164" i="213"/>
  <c r="I164" i="213"/>
  <c r="J163" i="213"/>
  <c r="I163" i="213"/>
  <c r="J162" i="213"/>
  <c r="I162" i="213"/>
  <c r="J161" i="213"/>
  <c r="I161" i="213"/>
  <c r="J160" i="213"/>
  <c r="I160" i="213"/>
  <c r="J159" i="213"/>
  <c r="I159" i="213"/>
  <c r="J158" i="213"/>
  <c r="I158" i="213"/>
  <c r="J157" i="213"/>
  <c r="I157" i="213"/>
  <c r="J156" i="213"/>
  <c r="I156" i="213"/>
  <c r="J155" i="213"/>
  <c r="I155" i="213"/>
  <c r="J154" i="213"/>
  <c r="I154" i="213"/>
  <c r="J153" i="213"/>
  <c r="I153" i="213"/>
  <c r="J152" i="213"/>
  <c r="I152" i="213"/>
  <c r="J151" i="213"/>
  <c r="I151" i="213"/>
  <c r="J150" i="213"/>
  <c r="I150" i="213"/>
  <c r="J129" i="213"/>
  <c r="I129" i="213"/>
  <c r="J128" i="213"/>
  <c r="I128" i="213"/>
  <c r="J127" i="213"/>
  <c r="I127" i="213"/>
  <c r="J126" i="213"/>
  <c r="I126" i="213"/>
  <c r="J125" i="213"/>
  <c r="I125" i="213"/>
  <c r="J124" i="213"/>
  <c r="I124" i="213"/>
  <c r="J123" i="213"/>
  <c r="I123" i="213"/>
  <c r="J122" i="213"/>
  <c r="I122" i="213"/>
  <c r="J121" i="213"/>
  <c r="I121" i="213"/>
  <c r="J120" i="213"/>
  <c r="I120" i="213"/>
  <c r="J119" i="213"/>
  <c r="I119" i="213"/>
  <c r="J118" i="213"/>
  <c r="I118" i="213"/>
  <c r="J117" i="213"/>
  <c r="I117" i="213"/>
  <c r="J116" i="213"/>
  <c r="I116" i="213"/>
  <c r="J115" i="213"/>
  <c r="I115" i="213"/>
  <c r="J114" i="213"/>
  <c r="I114" i="213"/>
  <c r="J111" i="213"/>
  <c r="I111" i="213"/>
  <c r="J110" i="213"/>
  <c r="I110" i="213"/>
  <c r="J109" i="213"/>
  <c r="I109" i="213"/>
  <c r="J108" i="213"/>
  <c r="I108" i="213"/>
  <c r="J107" i="213"/>
  <c r="I107" i="213"/>
  <c r="J106" i="213"/>
  <c r="I106" i="213"/>
  <c r="J105" i="213"/>
  <c r="I105" i="213"/>
  <c r="J104" i="213"/>
  <c r="I104" i="213"/>
  <c r="J103" i="213"/>
  <c r="I103" i="213"/>
  <c r="J102" i="213"/>
  <c r="I102" i="213"/>
  <c r="J101" i="213"/>
  <c r="I101" i="213"/>
  <c r="J100" i="213"/>
  <c r="I100" i="213"/>
  <c r="J99" i="213"/>
  <c r="I99" i="213"/>
  <c r="J98" i="213"/>
  <c r="I98" i="213"/>
  <c r="J97" i="213"/>
  <c r="I97" i="213"/>
  <c r="J96" i="213"/>
  <c r="I96" i="213"/>
  <c r="J93" i="213"/>
  <c r="I93" i="213"/>
  <c r="J92" i="213"/>
  <c r="I92" i="213"/>
  <c r="J91" i="213"/>
  <c r="I91" i="213"/>
  <c r="J90" i="213"/>
  <c r="I90" i="213"/>
  <c r="J89" i="213"/>
  <c r="I89" i="213"/>
  <c r="J88" i="213"/>
  <c r="I88" i="213"/>
  <c r="J87" i="213"/>
  <c r="I87" i="213"/>
  <c r="J86" i="213"/>
  <c r="I86" i="213"/>
  <c r="J85" i="213"/>
  <c r="I85" i="213"/>
  <c r="J84" i="213"/>
  <c r="I84" i="213"/>
  <c r="J83" i="213"/>
  <c r="I83" i="213"/>
  <c r="J82" i="213"/>
  <c r="I82" i="213"/>
  <c r="J81" i="213"/>
  <c r="I81" i="213"/>
  <c r="J80" i="213"/>
  <c r="I80" i="213"/>
  <c r="J79" i="213"/>
  <c r="I79" i="213"/>
  <c r="J78" i="213"/>
  <c r="I78" i="213"/>
  <c r="J75" i="213"/>
  <c r="I75" i="213"/>
  <c r="J74" i="213"/>
  <c r="I74" i="213"/>
  <c r="J73" i="213"/>
  <c r="I73" i="213"/>
  <c r="J72" i="213"/>
  <c r="I72" i="213"/>
  <c r="J71" i="213"/>
  <c r="I71" i="213"/>
  <c r="J70" i="213"/>
  <c r="I70" i="213"/>
  <c r="J69" i="213"/>
  <c r="I69" i="213"/>
  <c r="J68" i="213"/>
  <c r="I68" i="213"/>
  <c r="J67" i="213"/>
  <c r="I67" i="213"/>
  <c r="J66" i="213"/>
  <c r="I66" i="213"/>
  <c r="J65" i="213"/>
  <c r="I65" i="213"/>
  <c r="J64" i="213"/>
  <c r="I64" i="213"/>
  <c r="J63" i="213"/>
  <c r="I63" i="213"/>
  <c r="J62" i="213"/>
  <c r="I62" i="213"/>
  <c r="J61" i="213"/>
  <c r="I61" i="213"/>
  <c r="J60" i="213"/>
  <c r="I60" i="213"/>
  <c r="J57" i="213"/>
  <c r="I57" i="213"/>
  <c r="J56" i="213"/>
  <c r="I56" i="213"/>
  <c r="J55" i="213"/>
  <c r="I55" i="213"/>
  <c r="J54" i="213"/>
  <c r="I54" i="213"/>
  <c r="J53" i="213"/>
  <c r="I53" i="213"/>
  <c r="J52" i="213"/>
  <c r="I52" i="213"/>
  <c r="J51" i="213"/>
  <c r="I51" i="213"/>
  <c r="J50" i="213"/>
  <c r="I50" i="213"/>
  <c r="J49" i="213"/>
  <c r="I49" i="213"/>
  <c r="J48" i="213"/>
  <c r="I48" i="213"/>
  <c r="J47" i="213"/>
  <c r="I47" i="213"/>
  <c r="J46" i="213"/>
  <c r="I46" i="213"/>
  <c r="J45" i="213"/>
  <c r="I45" i="213"/>
  <c r="J44" i="213"/>
  <c r="I44" i="213"/>
  <c r="J43" i="213"/>
  <c r="I43" i="213"/>
  <c r="J42" i="213"/>
  <c r="I42" i="213"/>
  <c r="J39" i="213"/>
  <c r="I39" i="213"/>
  <c r="J38" i="213"/>
  <c r="I38" i="213"/>
  <c r="J37" i="213"/>
  <c r="I37" i="213"/>
  <c r="J36" i="213"/>
  <c r="I36" i="213"/>
  <c r="J35" i="213"/>
  <c r="I35" i="213"/>
  <c r="J34" i="213"/>
  <c r="I34" i="213"/>
  <c r="J33" i="213"/>
  <c r="I33" i="213"/>
  <c r="J32" i="213"/>
  <c r="I32" i="213"/>
  <c r="J31" i="213"/>
  <c r="I31" i="213"/>
  <c r="J30" i="213"/>
  <c r="I30" i="213"/>
  <c r="J29" i="213"/>
  <c r="I29" i="213"/>
  <c r="J28" i="213"/>
  <c r="I28" i="213"/>
  <c r="J27" i="213"/>
  <c r="I27" i="213"/>
  <c r="J26" i="213"/>
  <c r="I26" i="213"/>
  <c r="J25" i="213"/>
  <c r="I25" i="213"/>
  <c r="J24" i="213"/>
  <c r="I24" i="213"/>
  <c r="J21" i="213"/>
  <c r="I21" i="213"/>
  <c r="I219" i="213" s="1"/>
  <c r="J20" i="213"/>
  <c r="I20" i="213"/>
  <c r="J19" i="213"/>
  <c r="I19" i="213"/>
  <c r="I217" i="213" s="1"/>
  <c r="J18" i="213"/>
  <c r="I18" i="213"/>
  <c r="I216" i="213" s="1"/>
  <c r="J17" i="213"/>
  <c r="I17" i="213"/>
  <c r="I215" i="213" s="1"/>
  <c r="J16" i="213"/>
  <c r="I16" i="213"/>
  <c r="I214" i="213" s="1"/>
  <c r="J15" i="213"/>
  <c r="I15" i="213"/>
  <c r="I213" i="213" s="1"/>
  <c r="J14" i="213"/>
  <c r="I14" i="213"/>
  <c r="I212" i="213" s="1"/>
  <c r="J13" i="213"/>
  <c r="I13" i="213"/>
  <c r="I211" i="213" s="1"/>
  <c r="J12" i="213"/>
  <c r="J210" i="213" s="1"/>
  <c r="I12" i="213"/>
  <c r="J11" i="213"/>
  <c r="I11" i="213"/>
  <c r="I209" i="213" s="1"/>
  <c r="J10" i="213"/>
  <c r="I10" i="213"/>
  <c r="J9" i="213"/>
  <c r="I9" i="213"/>
  <c r="I207" i="213" s="1"/>
  <c r="J8" i="213"/>
  <c r="I8" i="213"/>
  <c r="I206" i="213" s="1"/>
  <c r="J7" i="213"/>
  <c r="I7" i="213"/>
  <c r="I205" i="213" s="1"/>
  <c r="J6" i="213"/>
  <c r="I6" i="213"/>
  <c r="I204" i="213" s="1"/>
  <c r="I201" i="211"/>
  <c r="H201" i="211"/>
  <c r="I200" i="211"/>
  <c r="H200" i="211"/>
  <c r="I199" i="211"/>
  <c r="H199" i="211"/>
  <c r="I198" i="211"/>
  <c r="H198" i="211"/>
  <c r="I197" i="211"/>
  <c r="H197" i="211"/>
  <c r="I196" i="211"/>
  <c r="H196" i="211"/>
  <c r="I195" i="211"/>
  <c r="H195" i="211"/>
  <c r="I194" i="211"/>
  <c r="H194" i="211"/>
  <c r="I193" i="211"/>
  <c r="H193" i="211"/>
  <c r="I192" i="211"/>
  <c r="H192" i="211"/>
  <c r="I191" i="211"/>
  <c r="H191" i="211"/>
  <c r="I190" i="211"/>
  <c r="H190" i="211"/>
  <c r="I189" i="211"/>
  <c r="H189" i="211"/>
  <c r="I188" i="211"/>
  <c r="H188" i="211"/>
  <c r="I187" i="211"/>
  <c r="H187" i="211"/>
  <c r="I186" i="211"/>
  <c r="H186" i="211"/>
  <c r="H202" i="211" s="1"/>
  <c r="I165" i="211"/>
  <c r="H165" i="211"/>
  <c r="I164" i="211"/>
  <c r="H164" i="211"/>
  <c r="I163" i="211"/>
  <c r="H163" i="211"/>
  <c r="I162" i="211"/>
  <c r="H162" i="211"/>
  <c r="I161" i="211"/>
  <c r="H161" i="211"/>
  <c r="I160" i="211"/>
  <c r="H160" i="211"/>
  <c r="I159" i="211"/>
  <c r="H159" i="211"/>
  <c r="I158" i="211"/>
  <c r="H158" i="211"/>
  <c r="I157" i="211"/>
  <c r="H157" i="211"/>
  <c r="I156" i="211"/>
  <c r="H156" i="211"/>
  <c r="I155" i="211"/>
  <c r="H155" i="211"/>
  <c r="I154" i="211"/>
  <c r="H154" i="211"/>
  <c r="I153" i="211"/>
  <c r="H153" i="211"/>
  <c r="I152" i="211"/>
  <c r="H152" i="211"/>
  <c r="I151" i="211"/>
  <c r="H151" i="211"/>
  <c r="I150" i="211"/>
  <c r="H150" i="211"/>
  <c r="I111" i="211"/>
  <c r="H111" i="211"/>
  <c r="I110" i="211"/>
  <c r="H110" i="211"/>
  <c r="I109" i="211"/>
  <c r="H109" i="211"/>
  <c r="I108" i="211"/>
  <c r="H108" i="211"/>
  <c r="I107" i="211"/>
  <c r="H107" i="211"/>
  <c r="I106" i="211"/>
  <c r="H106" i="211"/>
  <c r="I105" i="211"/>
  <c r="H105" i="211"/>
  <c r="I104" i="211"/>
  <c r="H104" i="211"/>
  <c r="I103" i="211"/>
  <c r="H103" i="211"/>
  <c r="I102" i="211"/>
  <c r="H102" i="211"/>
  <c r="I101" i="211"/>
  <c r="H101" i="211"/>
  <c r="I100" i="211"/>
  <c r="H100" i="211"/>
  <c r="I99" i="211"/>
  <c r="H99" i="211"/>
  <c r="I98" i="211"/>
  <c r="H98" i="211"/>
  <c r="I97" i="211"/>
  <c r="H97" i="211"/>
  <c r="I96" i="211"/>
  <c r="H96" i="211"/>
  <c r="I93" i="211"/>
  <c r="H93" i="211"/>
  <c r="I92" i="211"/>
  <c r="H92" i="211"/>
  <c r="I91" i="211"/>
  <c r="H91" i="211"/>
  <c r="I90" i="211"/>
  <c r="H90" i="211"/>
  <c r="I89" i="211"/>
  <c r="H89" i="211"/>
  <c r="I88" i="211"/>
  <c r="H88" i="211"/>
  <c r="I87" i="211"/>
  <c r="H87" i="211"/>
  <c r="I86" i="211"/>
  <c r="H86" i="211"/>
  <c r="I85" i="211"/>
  <c r="H85" i="211"/>
  <c r="I84" i="211"/>
  <c r="H84" i="211"/>
  <c r="I83" i="211"/>
  <c r="H83" i="211"/>
  <c r="I82" i="211"/>
  <c r="H82" i="211"/>
  <c r="I81" i="211"/>
  <c r="H81" i="211"/>
  <c r="I80" i="211"/>
  <c r="H80" i="211"/>
  <c r="I79" i="211"/>
  <c r="H79" i="211"/>
  <c r="I78" i="211"/>
  <c r="H78" i="211"/>
  <c r="I75" i="211"/>
  <c r="H75" i="211"/>
  <c r="I74" i="211"/>
  <c r="H74" i="211"/>
  <c r="I73" i="211"/>
  <c r="H73" i="211"/>
  <c r="I72" i="211"/>
  <c r="H72" i="211"/>
  <c r="I71" i="211"/>
  <c r="H71" i="211"/>
  <c r="I70" i="211"/>
  <c r="H70" i="211"/>
  <c r="I69" i="211"/>
  <c r="H69" i="211"/>
  <c r="I68" i="211"/>
  <c r="H68" i="211"/>
  <c r="I67" i="211"/>
  <c r="H67" i="211"/>
  <c r="I66" i="211"/>
  <c r="H66" i="211"/>
  <c r="I65" i="211"/>
  <c r="H65" i="211"/>
  <c r="I64" i="211"/>
  <c r="H64" i="211"/>
  <c r="I63" i="211"/>
  <c r="H63" i="211"/>
  <c r="I62" i="211"/>
  <c r="H62" i="211"/>
  <c r="I61" i="211"/>
  <c r="H61" i="211"/>
  <c r="I60" i="211"/>
  <c r="H60" i="211"/>
  <c r="I57" i="211"/>
  <c r="H57" i="211"/>
  <c r="I56" i="211"/>
  <c r="H56" i="211"/>
  <c r="I55" i="211"/>
  <c r="H55" i="211"/>
  <c r="I54" i="211"/>
  <c r="H54" i="211"/>
  <c r="I53" i="211"/>
  <c r="H53" i="211"/>
  <c r="I52" i="211"/>
  <c r="H52" i="211"/>
  <c r="I51" i="211"/>
  <c r="H51" i="211"/>
  <c r="I50" i="211"/>
  <c r="H50" i="211"/>
  <c r="I49" i="211"/>
  <c r="H49" i="211"/>
  <c r="I48" i="211"/>
  <c r="H48" i="211"/>
  <c r="I47" i="211"/>
  <c r="H47" i="211"/>
  <c r="I46" i="211"/>
  <c r="H46" i="211"/>
  <c r="I45" i="211"/>
  <c r="H45" i="211"/>
  <c r="I44" i="211"/>
  <c r="H44" i="211"/>
  <c r="I43" i="211"/>
  <c r="H43" i="211"/>
  <c r="I42" i="211"/>
  <c r="H42" i="211"/>
  <c r="I39" i="211"/>
  <c r="H39" i="211"/>
  <c r="I38" i="211"/>
  <c r="H38" i="211"/>
  <c r="I37" i="211"/>
  <c r="H37" i="211"/>
  <c r="I36" i="211"/>
  <c r="H36" i="211"/>
  <c r="I35" i="211"/>
  <c r="H35" i="211"/>
  <c r="I34" i="211"/>
  <c r="H34" i="211"/>
  <c r="I33" i="211"/>
  <c r="H33" i="211"/>
  <c r="I32" i="211"/>
  <c r="H32" i="211"/>
  <c r="I31" i="211"/>
  <c r="H31" i="211"/>
  <c r="I30" i="211"/>
  <c r="H30" i="211"/>
  <c r="I29" i="211"/>
  <c r="H29" i="211"/>
  <c r="I28" i="211"/>
  <c r="H28" i="211"/>
  <c r="I27" i="211"/>
  <c r="H27" i="211"/>
  <c r="I26" i="211"/>
  <c r="H26" i="211"/>
  <c r="I25" i="211"/>
  <c r="H25" i="211"/>
  <c r="I24" i="211"/>
  <c r="H24" i="211"/>
  <c r="I21" i="211"/>
  <c r="H21" i="211"/>
  <c r="I20" i="211"/>
  <c r="H20" i="211"/>
  <c r="I19" i="211"/>
  <c r="H19" i="211"/>
  <c r="I18" i="211"/>
  <c r="H18" i="211"/>
  <c r="I17" i="211"/>
  <c r="H17" i="211"/>
  <c r="I16" i="211"/>
  <c r="H16" i="211"/>
  <c r="I15" i="211"/>
  <c r="H15" i="211"/>
  <c r="I14" i="211"/>
  <c r="H14" i="211"/>
  <c r="I13" i="211"/>
  <c r="H13" i="211"/>
  <c r="I12" i="211"/>
  <c r="H12" i="211"/>
  <c r="I11" i="211"/>
  <c r="H11" i="211"/>
  <c r="I10" i="211"/>
  <c r="H10" i="211"/>
  <c r="I9" i="211"/>
  <c r="H9" i="211"/>
  <c r="I8" i="211"/>
  <c r="H8" i="211"/>
  <c r="I7" i="211"/>
  <c r="H7" i="211"/>
  <c r="I6" i="211"/>
  <c r="H6" i="211"/>
  <c r="E21" i="215"/>
  <c r="D21" i="215"/>
  <c r="E20" i="215"/>
  <c r="D20" i="215"/>
  <c r="I210" i="213"/>
  <c r="I218" i="213"/>
  <c r="C12" i="211"/>
  <c r="F12" i="211"/>
  <c r="C30" i="211"/>
  <c r="F30" i="211"/>
  <c r="C48" i="211"/>
  <c r="F48" i="211"/>
  <c r="C66" i="211"/>
  <c r="F66" i="211"/>
  <c r="C84" i="211"/>
  <c r="F84" i="211"/>
  <c r="C102" i="211"/>
  <c r="F102" i="211"/>
  <c r="J133" i="211"/>
  <c r="J135" i="211"/>
  <c r="J137" i="211"/>
  <c r="J141" i="211"/>
  <c r="J145" i="211"/>
  <c r="J147" i="211"/>
  <c r="J54" i="168" l="1"/>
  <c r="L54" i="168"/>
  <c r="J72" i="168"/>
  <c r="L72" i="168"/>
  <c r="K54" i="168"/>
  <c r="K72" i="168"/>
  <c r="J153" i="211"/>
  <c r="E14" i="153"/>
  <c r="E23" i="153"/>
  <c r="I40" i="213"/>
  <c r="J64" i="195" s="1"/>
  <c r="H197" i="213"/>
  <c r="E16" i="160"/>
  <c r="D19" i="215"/>
  <c r="H12" i="213"/>
  <c r="J54" i="185" s="1"/>
  <c r="E26" i="160"/>
  <c r="J217" i="213"/>
  <c r="I76" i="213"/>
  <c r="E24" i="160"/>
  <c r="J24" i="160" s="1"/>
  <c r="E18" i="160"/>
  <c r="E18" i="159"/>
  <c r="J18" i="159" s="1"/>
  <c r="E24" i="153"/>
  <c r="J213" i="213"/>
  <c r="J57" i="182" s="1"/>
  <c r="J215" i="213"/>
  <c r="J219" i="213"/>
  <c r="J63" i="182" s="1"/>
  <c r="H52" i="213"/>
  <c r="H84" i="213"/>
  <c r="J54" i="189" s="1"/>
  <c r="H101" i="213"/>
  <c r="H109" i="213"/>
  <c r="J43" i="190" s="1"/>
  <c r="H124" i="213"/>
  <c r="H155" i="213"/>
  <c r="H189" i="213"/>
  <c r="I58" i="213"/>
  <c r="J46" i="196" s="1"/>
  <c r="I94" i="213"/>
  <c r="J7" i="211"/>
  <c r="J49" i="146" s="1"/>
  <c r="J25" i="211"/>
  <c r="J43" i="211"/>
  <c r="J67" i="148" s="1"/>
  <c r="J61" i="211"/>
  <c r="J16" i="166"/>
  <c r="J79" i="211"/>
  <c r="J83" i="211"/>
  <c r="J71" i="150" s="1"/>
  <c r="J87" i="211"/>
  <c r="J93" i="211"/>
  <c r="J45" i="150" s="1"/>
  <c r="J12" i="168"/>
  <c r="J97" i="211"/>
  <c r="J31" i="151" s="1"/>
  <c r="J99" i="211"/>
  <c r="J101" i="211"/>
  <c r="J53" i="151" s="1"/>
  <c r="J20" i="168"/>
  <c r="J105" i="211"/>
  <c r="J75" i="151" s="1"/>
  <c r="J107" i="211"/>
  <c r="J111" i="211"/>
  <c r="J81" i="151" s="1"/>
  <c r="J151" i="211"/>
  <c r="J155" i="211"/>
  <c r="J20" i="220"/>
  <c r="J159" i="211"/>
  <c r="J75" i="217" s="1"/>
  <c r="J161" i="211"/>
  <c r="J163" i="211"/>
  <c r="J61" i="153" s="1"/>
  <c r="J165" i="211"/>
  <c r="J187" i="211"/>
  <c r="J67" i="154" s="1"/>
  <c r="J189" i="211"/>
  <c r="J191" i="211"/>
  <c r="J71" i="154" s="1"/>
  <c r="J195" i="211"/>
  <c r="J25" i="171"/>
  <c r="J12" i="158"/>
  <c r="H94" i="211"/>
  <c r="J69" i="159"/>
  <c r="J70" i="159"/>
  <c r="J71" i="159"/>
  <c r="J55" i="159"/>
  <c r="J22" i="159"/>
  <c r="J59" i="159"/>
  <c r="J78" i="159"/>
  <c r="J81" i="159"/>
  <c r="E28" i="176"/>
  <c r="H25" i="213"/>
  <c r="J13" i="186" s="1"/>
  <c r="H61" i="213"/>
  <c r="J49" i="188" s="1"/>
  <c r="H33" i="213"/>
  <c r="J57" i="186" s="1"/>
  <c r="E15" i="161"/>
  <c r="J15" i="161" s="1"/>
  <c r="E13" i="158"/>
  <c r="E18" i="182"/>
  <c r="J19" i="169"/>
  <c r="E12" i="161"/>
  <c r="J12" i="161" s="1"/>
  <c r="E12" i="159"/>
  <c r="E20" i="153"/>
  <c r="E19" i="153"/>
  <c r="J199" i="211"/>
  <c r="E25" i="162"/>
  <c r="E25" i="159"/>
  <c r="E21" i="158"/>
  <c r="E19" i="157"/>
  <c r="E21" i="153"/>
  <c r="E26" i="153"/>
  <c r="E22" i="153"/>
  <c r="E18" i="153"/>
  <c r="J17" i="169"/>
  <c r="J91" i="211"/>
  <c r="H73" i="213"/>
  <c r="E25" i="161"/>
  <c r="J25" i="161" s="1"/>
  <c r="E15" i="153"/>
  <c r="J15" i="153" s="1"/>
  <c r="E25" i="155"/>
  <c r="E16" i="153"/>
  <c r="E28" i="178"/>
  <c r="E39" i="146"/>
  <c r="E21" i="146" s="1"/>
  <c r="E21" i="155"/>
  <c r="E37" i="154"/>
  <c r="E19" i="154" s="1"/>
  <c r="E19" i="162"/>
  <c r="J19" i="162" s="1"/>
  <c r="E45" i="154"/>
  <c r="E27" i="154" s="1"/>
  <c r="E27" i="162"/>
  <c r="J45" i="161"/>
  <c r="E27" i="161"/>
  <c r="J27" i="161" s="1"/>
  <c r="E33" i="151"/>
  <c r="E15" i="151" s="1"/>
  <c r="E15" i="160"/>
  <c r="E41" i="151"/>
  <c r="E23" i="151" s="1"/>
  <c r="J23" i="151" s="1"/>
  <c r="E23" i="160"/>
  <c r="J23" i="160" s="1"/>
  <c r="E43" i="151"/>
  <c r="E25" i="151" s="1"/>
  <c r="E25" i="160"/>
  <c r="E45" i="151"/>
  <c r="E27" i="151" s="1"/>
  <c r="E27" i="160"/>
  <c r="E31" i="150"/>
  <c r="E13" i="150" s="1"/>
  <c r="J13" i="150" s="1"/>
  <c r="E13" i="159"/>
  <c r="E41" i="150"/>
  <c r="E23" i="150" s="1"/>
  <c r="E23" i="159"/>
  <c r="E45" i="150"/>
  <c r="E27" i="150" s="1"/>
  <c r="E27" i="159"/>
  <c r="E33" i="149"/>
  <c r="E15" i="149" s="1"/>
  <c r="E15" i="158"/>
  <c r="J15" i="158" s="1"/>
  <c r="E37" i="149"/>
  <c r="E19" i="149" s="1"/>
  <c r="E19" i="158"/>
  <c r="E41" i="149"/>
  <c r="E23" i="149" s="1"/>
  <c r="E23" i="158"/>
  <c r="E45" i="149"/>
  <c r="E27" i="149" s="1"/>
  <c r="E27" i="158"/>
  <c r="E31" i="148"/>
  <c r="E13" i="148" s="1"/>
  <c r="E13" i="157"/>
  <c r="E35" i="148"/>
  <c r="E17" i="148" s="1"/>
  <c r="E17" i="157"/>
  <c r="E41" i="148"/>
  <c r="E23" i="148" s="1"/>
  <c r="E23" i="157"/>
  <c r="E45" i="148"/>
  <c r="E27" i="148" s="1"/>
  <c r="E27" i="157"/>
  <c r="E12" i="153"/>
  <c r="E45" i="146"/>
  <c r="E27" i="146" s="1"/>
  <c r="E27" i="155"/>
  <c r="J27" i="155" s="1"/>
  <c r="J31" i="161"/>
  <c r="E13" i="161"/>
  <c r="J13" i="161" s="1"/>
  <c r="J35" i="161"/>
  <c r="E17" i="161"/>
  <c r="J17" i="161" s="1"/>
  <c r="J41" i="161"/>
  <c r="E23" i="161"/>
  <c r="J25" i="168"/>
  <c r="J109" i="211"/>
  <c r="J27" i="171"/>
  <c r="J201" i="211"/>
  <c r="J45" i="154" s="1"/>
  <c r="E19" i="155"/>
  <c r="J19" i="155" s="1"/>
  <c r="E15" i="162"/>
  <c r="J15" i="162" s="1"/>
  <c r="E19" i="161"/>
  <c r="J19" i="161" s="1"/>
  <c r="E13" i="160"/>
  <c r="J13" i="160" s="1"/>
  <c r="E19" i="159"/>
  <c r="E17" i="159"/>
  <c r="E15" i="159"/>
  <c r="E25" i="158"/>
  <c r="E17" i="158"/>
  <c r="E25" i="157"/>
  <c r="E15" i="157"/>
  <c r="E20" i="182"/>
  <c r="J69" i="155"/>
  <c r="J11" i="211"/>
  <c r="J17" i="146" s="1"/>
  <c r="J73" i="155"/>
  <c r="J15" i="211"/>
  <c r="J75" i="146" s="1"/>
  <c r="J77" i="155"/>
  <c r="J19" i="211"/>
  <c r="J81" i="155"/>
  <c r="J29" i="211"/>
  <c r="J33" i="211"/>
  <c r="J57" i="147" s="1"/>
  <c r="J37" i="211"/>
  <c r="J47" i="211"/>
  <c r="J51" i="211"/>
  <c r="J39" i="148" s="1"/>
  <c r="J55" i="211"/>
  <c r="J65" i="211"/>
  <c r="J17" i="149" s="1"/>
  <c r="J69" i="211"/>
  <c r="J73" i="211"/>
  <c r="J67" i="159"/>
  <c r="J67" i="160"/>
  <c r="J69" i="160"/>
  <c r="J71" i="160"/>
  <c r="J73" i="160"/>
  <c r="J39" i="160"/>
  <c r="J77" i="160"/>
  <c r="J79" i="160"/>
  <c r="J81" i="160"/>
  <c r="J69" i="162"/>
  <c r="J73" i="162"/>
  <c r="J77" i="162"/>
  <c r="J81" i="162"/>
  <c r="J30" i="226"/>
  <c r="J48" i="226"/>
  <c r="J12" i="226"/>
  <c r="J13" i="226"/>
  <c r="J31" i="226"/>
  <c r="J49" i="226"/>
  <c r="J14" i="226"/>
  <c r="J32" i="226"/>
  <c r="J50" i="226"/>
  <c r="J15" i="226"/>
  <c r="J33" i="226"/>
  <c r="J51" i="226"/>
  <c r="J16" i="226"/>
  <c r="J34" i="226"/>
  <c r="J52" i="226"/>
  <c r="J17" i="226"/>
  <c r="J35" i="226"/>
  <c r="J53" i="226"/>
  <c r="J18" i="226"/>
  <c r="J36" i="226"/>
  <c r="J54" i="226"/>
  <c r="J19" i="226"/>
  <c r="J37" i="226"/>
  <c r="J55" i="226"/>
  <c r="J20" i="226"/>
  <c r="J38" i="226"/>
  <c r="J56" i="226"/>
  <c r="J21" i="226"/>
  <c r="J39" i="226"/>
  <c r="J57" i="226"/>
  <c r="J22" i="226"/>
  <c r="J58" i="226"/>
  <c r="J40" i="226"/>
  <c r="J23" i="226"/>
  <c r="J41" i="226"/>
  <c r="J59" i="226"/>
  <c r="J24" i="226"/>
  <c r="J60" i="226"/>
  <c r="J42" i="226"/>
  <c r="J25" i="226"/>
  <c r="J43" i="226"/>
  <c r="J61" i="226"/>
  <c r="J26" i="226"/>
  <c r="J62" i="226"/>
  <c r="J44" i="226"/>
  <c r="J27" i="226"/>
  <c r="J45" i="226"/>
  <c r="J63" i="226"/>
  <c r="J40" i="224"/>
  <c r="J58" i="224"/>
  <c r="J22" i="224"/>
  <c r="J30" i="225"/>
  <c r="J48" i="225"/>
  <c r="J12" i="225"/>
  <c r="J13" i="225"/>
  <c r="J31" i="225"/>
  <c r="J49" i="225"/>
  <c r="J50" i="225"/>
  <c r="J32" i="225"/>
  <c r="J14" i="225"/>
  <c r="J33" i="225"/>
  <c r="J15" i="225"/>
  <c r="J51" i="225"/>
  <c r="J16" i="225"/>
  <c r="J52" i="225"/>
  <c r="J34" i="225"/>
  <c r="J35" i="225"/>
  <c r="J53" i="225"/>
  <c r="J17" i="225"/>
  <c r="J54" i="225"/>
  <c r="J36" i="225"/>
  <c r="J18" i="225"/>
  <c r="J37" i="225"/>
  <c r="J19" i="225"/>
  <c r="J55" i="225"/>
  <c r="J56" i="225"/>
  <c r="J38" i="225"/>
  <c r="J20" i="225"/>
  <c r="J21" i="225"/>
  <c r="J39" i="225"/>
  <c r="J57" i="225"/>
  <c r="J58" i="225"/>
  <c r="J22" i="225"/>
  <c r="J40" i="225"/>
  <c r="J23" i="225"/>
  <c r="J41" i="225"/>
  <c r="J59" i="225"/>
  <c r="J60" i="225"/>
  <c r="J24" i="225"/>
  <c r="J42" i="225"/>
  <c r="J62" i="225"/>
  <c r="J26" i="225"/>
  <c r="J44" i="225"/>
  <c r="J45" i="225"/>
  <c r="J63" i="225"/>
  <c r="J27" i="225"/>
  <c r="J42" i="220"/>
  <c r="I24" i="220"/>
  <c r="J48" i="223"/>
  <c r="J30" i="223"/>
  <c r="J12" i="223"/>
  <c r="J13" i="223"/>
  <c r="J49" i="223"/>
  <c r="J31" i="223"/>
  <c r="J14" i="223"/>
  <c r="J32" i="223"/>
  <c r="J50" i="223"/>
  <c r="J15" i="223"/>
  <c r="J33" i="223"/>
  <c r="J51" i="223"/>
  <c r="J16" i="223"/>
  <c r="J34" i="223"/>
  <c r="J52" i="223"/>
  <c r="J17" i="223"/>
  <c r="J53" i="223"/>
  <c r="J35" i="223"/>
  <c r="J18" i="223"/>
  <c r="J36" i="223"/>
  <c r="J54" i="223"/>
  <c r="J19" i="223"/>
  <c r="J37" i="223"/>
  <c r="J55" i="223"/>
  <c r="J20" i="223"/>
  <c r="J38" i="223"/>
  <c r="J56" i="223"/>
  <c r="J21" i="223"/>
  <c r="J57" i="223"/>
  <c r="J39" i="223"/>
  <c r="J22" i="223"/>
  <c r="J40" i="223"/>
  <c r="J58" i="223"/>
  <c r="J23" i="223"/>
  <c r="J41" i="223"/>
  <c r="J59" i="223"/>
  <c r="J24" i="223"/>
  <c r="J42" i="223"/>
  <c r="J60" i="223"/>
  <c r="J25" i="223"/>
  <c r="J61" i="223"/>
  <c r="J43" i="223"/>
  <c r="J26" i="223"/>
  <c r="J44" i="223"/>
  <c r="J62" i="223"/>
  <c r="J27" i="223"/>
  <c r="J45" i="223"/>
  <c r="J63" i="223"/>
  <c r="J57" i="217"/>
  <c r="J69" i="217"/>
  <c r="J51" i="217"/>
  <c r="J33" i="217"/>
  <c r="J45" i="216"/>
  <c r="J63" i="216"/>
  <c r="J81" i="216"/>
  <c r="J39" i="216"/>
  <c r="J75" i="216"/>
  <c r="J57" i="216"/>
  <c r="J69" i="216"/>
  <c r="J51" i="216"/>
  <c r="J33" i="216"/>
  <c r="J12" i="220"/>
  <c r="J48" i="220"/>
  <c r="J30" i="220"/>
  <c r="J66" i="220"/>
  <c r="J13" i="220"/>
  <c r="J67" i="220"/>
  <c r="J49" i="220"/>
  <c r="J31" i="220"/>
  <c r="J14" i="220"/>
  <c r="J68" i="220"/>
  <c r="J50" i="220"/>
  <c r="J32" i="220"/>
  <c r="J15" i="220"/>
  <c r="J69" i="220"/>
  <c r="J51" i="220"/>
  <c r="J33" i="220"/>
  <c r="J16" i="220"/>
  <c r="J70" i="220"/>
  <c r="J52" i="220"/>
  <c r="J34" i="220"/>
  <c r="J17" i="220"/>
  <c r="J71" i="220"/>
  <c r="J53" i="220"/>
  <c r="J35" i="220"/>
  <c r="J21" i="220"/>
  <c r="J75" i="220"/>
  <c r="J57" i="220"/>
  <c r="J39" i="220"/>
  <c r="J22" i="220"/>
  <c r="J76" i="220"/>
  <c r="J58" i="220"/>
  <c r="J40" i="220"/>
  <c r="J23" i="220"/>
  <c r="J77" i="220"/>
  <c r="J59" i="220"/>
  <c r="J41" i="220"/>
  <c r="J24" i="220"/>
  <c r="J78" i="220"/>
  <c r="J60" i="220"/>
  <c r="J26" i="220"/>
  <c r="J80" i="220"/>
  <c r="J62" i="220"/>
  <c r="J44" i="220"/>
  <c r="J27" i="220"/>
  <c r="J81" i="220"/>
  <c r="J63" i="220"/>
  <c r="J45" i="220"/>
  <c r="J48" i="222"/>
  <c r="J30" i="222"/>
  <c r="J49" i="222"/>
  <c r="J31" i="222"/>
  <c r="J13" i="222"/>
  <c r="J50" i="222"/>
  <c r="J32" i="222"/>
  <c r="J51" i="222"/>
  <c r="J33" i="222"/>
  <c r="J52" i="222"/>
  <c r="J34" i="222"/>
  <c r="J16" i="222"/>
  <c r="J53" i="222"/>
  <c r="J35" i="222"/>
  <c r="J55" i="222"/>
  <c r="J37" i="222"/>
  <c r="J19" i="222"/>
  <c r="J57" i="222"/>
  <c r="J39" i="222"/>
  <c r="J58" i="222"/>
  <c r="J40" i="222"/>
  <c r="J22" i="222"/>
  <c r="J59" i="222"/>
  <c r="J41" i="222"/>
  <c r="J23" i="222"/>
  <c r="J60" i="222"/>
  <c r="J42" i="222"/>
  <c r="J24" i="222"/>
  <c r="J62" i="222"/>
  <c r="J44" i="222"/>
  <c r="J26" i="222"/>
  <c r="J63" i="222"/>
  <c r="J45" i="222"/>
  <c r="J17" i="222"/>
  <c r="J27" i="222"/>
  <c r="J81" i="217"/>
  <c r="J63" i="217"/>
  <c r="J45" i="217"/>
  <c r="J77" i="217"/>
  <c r="J59" i="217"/>
  <c r="J41" i="217"/>
  <c r="J67" i="217"/>
  <c r="J49" i="217"/>
  <c r="J31" i="217"/>
  <c r="J35" i="216"/>
  <c r="J53" i="216"/>
  <c r="J71" i="216"/>
  <c r="J49" i="216"/>
  <c r="J13" i="216"/>
  <c r="J67" i="216"/>
  <c r="J31" i="216"/>
  <c r="J21" i="222"/>
  <c r="J14" i="222"/>
  <c r="J15" i="222"/>
  <c r="J12" i="222"/>
  <c r="J18" i="169"/>
  <c r="J23" i="161"/>
  <c r="E21" i="217"/>
  <c r="E30" i="152"/>
  <c r="J30" i="152" s="1"/>
  <c r="E32" i="152"/>
  <c r="J32" i="152" s="1"/>
  <c r="E40" i="152"/>
  <c r="J40" i="152" s="1"/>
  <c r="E42" i="152"/>
  <c r="E44" i="152"/>
  <c r="J44" i="152" s="1"/>
  <c r="E48" i="152"/>
  <c r="J48" i="152" s="1"/>
  <c r="E50" i="152"/>
  <c r="J50" i="152" s="1"/>
  <c r="E52" i="152"/>
  <c r="J52" i="152" s="1"/>
  <c r="E54" i="152"/>
  <c r="J54" i="152" s="1"/>
  <c r="E56" i="152"/>
  <c r="E58" i="152"/>
  <c r="J58" i="152" s="1"/>
  <c r="E60" i="152"/>
  <c r="E62" i="152"/>
  <c r="J62" i="152" s="1"/>
  <c r="E66" i="152"/>
  <c r="J66" i="152" s="1"/>
  <c r="E68" i="152"/>
  <c r="J68" i="152" s="1"/>
  <c r="E70" i="152"/>
  <c r="J70" i="152" s="1"/>
  <c r="E72" i="152"/>
  <c r="E74" i="152"/>
  <c r="E76" i="152"/>
  <c r="J76" i="152" s="1"/>
  <c r="E78" i="152"/>
  <c r="E80" i="152"/>
  <c r="J80" i="152" s="1"/>
  <c r="E26" i="217"/>
  <c r="E24" i="217"/>
  <c r="E22" i="217"/>
  <c r="E20" i="217"/>
  <c r="E18" i="217"/>
  <c r="E16" i="217"/>
  <c r="E14" i="217"/>
  <c r="E12" i="217"/>
  <c r="E27" i="217"/>
  <c r="J27" i="217" s="1"/>
  <c r="E25" i="217"/>
  <c r="E23" i="217"/>
  <c r="J23" i="217" s="1"/>
  <c r="E19" i="217"/>
  <c r="E17" i="217"/>
  <c r="E15" i="217"/>
  <c r="J15" i="217" s="1"/>
  <c r="E13" i="217"/>
  <c r="J13" i="217" s="1"/>
  <c r="J25" i="170"/>
  <c r="E31" i="152"/>
  <c r="J31" i="152" s="1"/>
  <c r="E33" i="152"/>
  <c r="J33" i="152" s="1"/>
  <c r="E35" i="152"/>
  <c r="J35" i="152" s="1"/>
  <c r="E37" i="152"/>
  <c r="J37" i="152" s="1"/>
  <c r="E39" i="152"/>
  <c r="J39" i="152" s="1"/>
  <c r="E41" i="152"/>
  <c r="J41" i="152" s="1"/>
  <c r="E43" i="152"/>
  <c r="E45" i="152"/>
  <c r="J45" i="152" s="1"/>
  <c r="E49" i="152"/>
  <c r="J49" i="152" s="1"/>
  <c r="E51" i="152"/>
  <c r="J51" i="152" s="1"/>
  <c r="E53" i="152"/>
  <c r="J53" i="152" s="1"/>
  <c r="E55" i="152"/>
  <c r="J55" i="152" s="1"/>
  <c r="E57" i="152"/>
  <c r="J57" i="152" s="1"/>
  <c r="E59" i="152"/>
  <c r="J59" i="152" s="1"/>
  <c r="E61" i="152"/>
  <c r="E63" i="152"/>
  <c r="J63" i="152" s="1"/>
  <c r="E67" i="152"/>
  <c r="J67" i="152" s="1"/>
  <c r="E69" i="152"/>
  <c r="J69" i="152" s="1"/>
  <c r="E71" i="152"/>
  <c r="J71" i="152" s="1"/>
  <c r="E73" i="152"/>
  <c r="J73" i="152" s="1"/>
  <c r="E75" i="152"/>
  <c r="J75" i="152" s="1"/>
  <c r="E77" i="152"/>
  <c r="J77" i="152" s="1"/>
  <c r="E79" i="152"/>
  <c r="E81" i="152"/>
  <c r="J81" i="152" s="1"/>
  <c r="E64" i="153"/>
  <c r="E46" i="153"/>
  <c r="E82" i="153"/>
  <c r="E28" i="222"/>
  <c r="E25" i="153"/>
  <c r="E17" i="153"/>
  <c r="E13" i="153"/>
  <c r="J13" i="153" s="1"/>
  <c r="E17" i="160"/>
  <c r="J17" i="160" s="1"/>
  <c r="J13" i="211"/>
  <c r="J73" i="146" s="1"/>
  <c r="J31" i="211"/>
  <c r="J55" i="147" s="1"/>
  <c r="J49" i="211"/>
  <c r="J73" i="148" s="1"/>
  <c r="J67" i="211"/>
  <c r="J73" i="149" s="1"/>
  <c r="J85" i="211"/>
  <c r="J37" i="150" s="1"/>
  <c r="J89" i="211"/>
  <c r="J59" i="150" s="1"/>
  <c r="J103" i="211"/>
  <c r="J73" i="151" s="1"/>
  <c r="J139" i="211"/>
  <c r="J19" i="216" s="1"/>
  <c r="J143" i="211"/>
  <c r="J157" i="211"/>
  <c r="J73" i="153" s="1"/>
  <c r="J193" i="211"/>
  <c r="J73" i="154" s="1"/>
  <c r="J197" i="211"/>
  <c r="J59" i="154" s="1"/>
  <c r="H16" i="213"/>
  <c r="J40" i="185" s="1"/>
  <c r="H19" i="213"/>
  <c r="J43" i="185" s="1"/>
  <c r="H37" i="213"/>
  <c r="J43" i="186" s="1"/>
  <c r="H88" i="213"/>
  <c r="J58" i="189" s="1"/>
  <c r="H105" i="213"/>
  <c r="J57" i="190" s="1"/>
  <c r="H127" i="213"/>
  <c r="J25" i="191" s="1"/>
  <c r="H193" i="213"/>
  <c r="E25" i="156"/>
  <c r="E24" i="155"/>
  <c r="E21" i="161"/>
  <c r="H14" i="213"/>
  <c r="J20" i="185" s="1"/>
  <c r="H30" i="213"/>
  <c r="J18" i="186" s="1"/>
  <c r="H48" i="213"/>
  <c r="J54" i="187" s="1"/>
  <c r="H102" i="213"/>
  <c r="J36" i="190" s="1"/>
  <c r="H120" i="213"/>
  <c r="J18" i="191" s="1"/>
  <c r="H151" i="213"/>
  <c r="H163" i="213"/>
  <c r="E23" i="156"/>
  <c r="H97" i="213"/>
  <c r="J31" i="190" s="1"/>
  <c r="J9" i="211"/>
  <c r="J33" i="146" s="1"/>
  <c r="J17" i="211"/>
  <c r="J77" i="146" s="1"/>
  <c r="J21" i="211"/>
  <c r="J81" i="146" s="1"/>
  <c r="H201" i="213"/>
  <c r="J63" i="192" s="1"/>
  <c r="J27" i="211"/>
  <c r="J33" i="147" s="1"/>
  <c r="J35" i="211"/>
  <c r="J77" i="147" s="1"/>
  <c r="J39" i="211"/>
  <c r="J81" i="147" s="1"/>
  <c r="J45" i="211"/>
  <c r="J51" i="148" s="1"/>
  <c r="J53" i="211"/>
  <c r="J77" i="148" s="1"/>
  <c r="J57" i="211"/>
  <c r="J81" i="148" s="1"/>
  <c r="J63" i="211"/>
  <c r="J71" i="211"/>
  <c r="J77" i="149" s="1"/>
  <c r="J75" i="211"/>
  <c r="J63" i="149" s="1"/>
  <c r="J81" i="211"/>
  <c r="J51" i="150" s="1"/>
  <c r="H29" i="213"/>
  <c r="H65" i="213"/>
  <c r="J17" i="188" s="1"/>
  <c r="E17" i="155"/>
  <c r="E17" i="162"/>
  <c r="E15" i="155"/>
  <c r="J15" i="155" s="1"/>
  <c r="E14" i="159"/>
  <c r="J212" i="213"/>
  <c r="E20" i="160"/>
  <c r="J20" i="160" s="1"/>
  <c r="E20" i="159"/>
  <c r="E28" i="205"/>
  <c r="E24" i="134"/>
  <c r="E36" i="147"/>
  <c r="E18" i="147" s="1"/>
  <c r="E18" i="156"/>
  <c r="J18" i="156" s="1"/>
  <c r="E40" i="147"/>
  <c r="E22" i="147" s="1"/>
  <c r="E22" i="156"/>
  <c r="E42" i="147"/>
  <c r="E24" i="147" s="1"/>
  <c r="E24" i="156"/>
  <c r="E40" i="146"/>
  <c r="E22" i="146" s="1"/>
  <c r="E22" i="155"/>
  <c r="E30" i="154"/>
  <c r="E12" i="154" s="1"/>
  <c r="E12" i="162"/>
  <c r="E34" i="154"/>
  <c r="E16" i="154" s="1"/>
  <c r="E16" i="162"/>
  <c r="J16" i="162" s="1"/>
  <c r="E36" i="154"/>
  <c r="E18" i="154" s="1"/>
  <c r="E18" i="162"/>
  <c r="J18" i="162" s="1"/>
  <c r="E38" i="154"/>
  <c r="E20" i="154" s="1"/>
  <c r="E20" i="162"/>
  <c r="J20" i="162" s="1"/>
  <c r="E34" i="152"/>
  <c r="E16" i="161"/>
  <c r="E36" i="152"/>
  <c r="E18" i="161"/>
  <c r="E38" i="152"/>
  <c r="E20" i="161"/>
  <c r="E30" i="151"/>
  <c r="E12" i="151" s="1"/>
  <c r="E12" i="160"/>
  <c r="E40" i="150"/>
  <c r="E22" i="150" s="1"/>
  <c r="E22" i="159"/>
  <c r="E42" i="150"/>
  <c r="E24" i="150" s="1"/>
  <c r="E24" i="159"/>
  <c r="E44" i="150"/>
  <c r="E26" i="150" s="1"/>
  <c r="E26" i="159"/>
  <c r="J26" i="159" s="1"/>
  <c r="E34" i="149"/>
  <c r="E16" i="149" s="1"/>
  <c r="E16" i="158"/>
  <c r="E36" i="149"/>
  <c r="E18" i="149" s="1"/>
  <c r="E18" i="158"/>
  <c r="J18" i="158" s="1"/>
  <c r="E38" i="149"/>
  <c r="E20" i="149" s="1"/>
  <c r="E20" i="158"/>
  <c r="E40" i="149"/>
  <c r="E22" i="149" s="1"/>
  <c r="E22" i="158"/>
  <c r="J22" i="158" s="1"/>
  <c r="E42" i="149"/>
  <c r="E24" i="149" s="1"/>
  <c r="E24" i="158"/>
  <c r="E30" i="148"/>
  <c r="E12" i="148" s="1"/>
  <c r="E12" i="157"/>
  <c r="E32" i="148"/>
  <c r="E14" i="148" s="1"/>
  <c r="E14" i="157"/>
  <c r="E34" i="148"/>
  <c r="E16" i="148" s="1"/>
  <c r="E16" i="157"/>
  <c r="E36" i="148"/>
  <c r="E18" i="148" s="1"/>
  <c r="E18" i="157"/>
  <c r="E38" i="148"/>
  <c r="E20" i="148" s="1"/>
  <c r="E20" i="157"/>
  <c r="J20" i="157" s="1"/>
  <c r="E42" i="148"/>
  <c r="E24" i="148" s="1"/>
  <c r="E24" i="157"/>
  <c r="E18" i="155"/>
  <c r="E16" i="155"/>
  <c r="J16" i="155" s="1"/>
  <c r="E12" i="155"/>
  <c r="J12" i="155" s="1"/>
  <c r="E26" i="162"/>
  <c r="E24" i="162"/>
  <c r="E24" i="161"/>
  <c r="E12" i="158"/>
  <c r="J66" i="155"/>
  <c r="J68" i="155"/>
  <c r="J70" i="155"/>
  <c r="J72" i="155"/>
  <c r="J74" i="155"/>
  <c r="J58" i="155"/>
  <c r="J78" i="155"/>
  <c r="J44" i="155"/>
  <c r="J74" i="159"/>
  <c r="J68" i="160"/>
  <c r="J72" i="160"/>
  <c r="J76" i="160"/>
  <c r="J80" i="160"/>
  <c r="J66" i="162"/>
  <c r="J68" i="162"/>
  <c r="J70" i="162"/>
  <c r="J72" i="162"/>
  <c r="J74" i="162"/>
  <c r="J58" i="162"/>
  <c r="J78" i="162"/>
  <c r="J44" i="162"/>
  <c r="H156" i="213"/>
  <c r="H192" i="213"/>
  <c r="J36" i="192" s="1"/>
  <c r="H199" i="213"/>
  <c r="J43" i="192" s="1"/>
  <c r="E16" i="134"/>
  <c r="E20" i="134"/>
  <c r="E26" i="134"/>
  <c r="E13" i="155"/>
  <c r="J13" i="155" s="1"/>
  <c r="E13" i="162"/>
  <c r="E12" i="156"/>
  <c r="E19" i="156"/>
  <c r="E13" i="156"/>
  <c r="J12" i="181"/>
  <c r="J25" i="206"/>
  <c r="J61" i="206"/>
  <c r="J43" i="206"/>
  <c r="J59" i="182"/>
  <c r="J41" i="182"/>
  <c r="J40" i="206"/>
  <c r="J22" i="206"/>
  <c r="J58" i="206"/>
  <c r="J21" i="206"/>
  <c r="J57" i="206"/>
  <c r="J39" i="206"/>
  <c r="J38" i="206"/>
  <c r="J20" i="206"/>
  <c r="J56" i="206"/>
  <c r="J36" i="206"/>
  <c r="J18" i="206"/>
  <c r="J54" i="206"/>
  <c r="J15" i="206"/>
  <c r="J51" i="206"/>
  <c r="J33" i="206"/>
  <c r="J13" i="206"/>
  <c r="J49" i="206"/>
  <c r="J31" i="206"/>
  <c r="J55" i="192"/>
  <c r="J13" i="190"/>
  <c r="J25" i="186"/>
  <c r="J12" i="194"/>
  <c r="J48" i="194"/>
  <c r="J30" i="194"/>
  <c r="J31" i="194"/>
  <c r="J13" i="194"/>
  <c r="J49" i="194"/>
  <c r="J14" i="194"/>
  <c r="J50" i="194"/>
  <c r="J32" i="194"/>
  <c r="J33" i="194"/>
  <c r="J15" i="194"/>
  <c r="J51" i="194"/>
  <c r="J16" i="194"/>
  <c r="J52" i="194"/>
  <c r="J34" i="194"/>
  <c r="J35" i="194"/>
  <c r="J17" i="194"/>
  <c r="J53" i="194"/>
  <c r="J18" i="194"/>
  <c r="J54" i="194"/>
  <c r="J36" i="194"/>
  <c r="J37" i="194"/>
  <c r="J19" i="194"/>
  <c r="J55" i="194"/>
  <c r="J20" i="194"/>
  <c r="J56" i="194"/>
  <c r="J38" i="194"/>
  <c r="J39" i="194"/>
  <c r="J21" i="194"/>
  <c r="J57" i="194"/>
  <c r="J22" i="194"/>
  <c r="J58" i="194"/>
  <c r="J40" i="194"/>
  <c r="J41" i="194"/>
  <c r="J23" i="194"/>
  <c r="J59" i="194"/>
  <c r="J24" i="194"/>
  <c r="J60" i="194"/>
  <c r="J42" i="194"/>
  <c r="J43" i="194"/>
  <c r="J25" i="194"/>
  <c r="J61" i="194"/>
  <c r="J27" i="194"/>
  <c r="J63" i="194"/>
  <c r="J45" i="194"/>
  <c r="J30" i="195"/>
  <c r="J12" i="195"/>
  <c r="J48" i="195"/>
  <c r="J13" i="195"/>
  <c r="J49" i="195"/>
  <c r="J31" i="195"/>
  <c r="J32" i="195"/>
  <c r="J14" i="195"/>
  <c r="J50" i="195"/>
  <c r="J15" i="195"/>
  <c r="J51" i="195"/>
  <c r="J33" i="195"/>
  <c r="J34" i="195"/>
  <c r="J16" i="195"/>
  <c r="J52" i="195"/>
  <c r="J17" i="195"/>
  <c r="J53" i="195"/>
  <c r="J35" i="195"/>
  <c r="J36" i="195"/>
  <c r="J18" i="195"/>
  <c r="J54" i="195"/>
  <c r="J19" i="195"/>
  <c r="J55" i="195"/>
  <c r="J37" i="195"/>
  <c r="J38" i="195"/>
  <c r="J20" i="195"/>
  <c r="J56" i="195"/>
  <c r="J21" i="195"/>
  <c r="J57" i="195"/>
  <c r="J39" i="195"/>
  <c r="J40" i="195"/>
  <c r="J22" i="195"/>
  <c r="J58" i="195"/>
  <c r="J23" i="195"/>
  <c r="J59" i="195"/>
  <c r="J41" i="195"/>
  <c r="J42" i="195"/>
  <c r="J24" i="195"/>
  <c r="J60" i="195"/>
  <c r="J25" i="195"/>
  <c r="J61" i="195"/>
  <c r="J43" i="195"/>
  <c r="J45" i="195"/>
  <c r="J27" i="195"/>
  <c r="J63" i="195"/>
  <c r="J12" i="196"/>
  <c r="J48" i="196"/>
  <c r="J30" i="196"/>
  <c r="J31" i="196"/>
  <c r="J13" i="196"/>
  <c r="J49" i="196"/>
  <c r="J14" i="196"/>
  <c r="J50" i="196"/>
  <c r="J32" i="196"/>
  <c r="J33" i="196"/>
  <c r="J15" i="196"/>
  <c r="J51" i="196"/>
  <c r="J16" i="196"/>
  <c r="J52" i="196"/>
  <c r="J34" i="196"/>
  <c r="J35" i="196"/>
  <c r="J17" i="196"/>
  <c r="J53" i="196"/>
  <c r="J18" i="196"/>
  <c r="J54" i="196"/>
  <c r="J36" i="196"/>
  <c r="J37" i="196"/>
  <c r="J19" i="196"/>
  <c r="J55" i="196"/>
  <c r="J20" i="196"/>
  <c r="J56" i="196"/>
  <c r="J38" i="196"/>
  <c r="J39" i="196"/>
  <c r="J21" i="196"/>
  <c r="J57" i="196"/>
  <c r="J22" i="196"/>
  <c r="J58" i="196"/>
  <c r="J40" i="196"/>
  <c r="J41" i="196"/>
  <c r="J23" i="196"/>
  <c r="J59" i="196"/>
  <c r="J24" i="196"/>
  <c r="J60" i="196"/>
  <c r="J42" i="196"/>
  <c r="J43" i="196"/>
  <c r="J25" i="196"/>
  <c r="J61" i="196"/>
  <c r="J27" i="196"/>
  <c r="J63" i="196"/>
  <c r="J45" i="196"/>
  <c r="J30" i="197"/>
  <c r="J12" i="197"/>
  <c r="J48" i="197"/>
  <c r="J13" i="197"/>
  <c r="J31" i="197"/>
  <c r="J49" i="197"/>
  <c r="J32" i="197"/>
  <c r="J14" i="197"/>
  <c r="J50" i="197"/>
  <c r="J15" i="197"/>
  <c r="J33" i="197"/>
  <c r="J51" i="197"/>
  <c r="J34" i="197"/>
  <c r="J16" i="197"/>
  <c r="J52" i="197"/>
  <c r="J17" i="197"/>
  <c r="J35" i="197"/>
  <c r="J53" i="197"/>
  <c r="J36" i="197"/>
  <c r="J18" i="197"/>
  <c r="J54" i="197"/>
  <c r="J19" i="197"/>
  <c r="J37" i="197"/>
  <c r="J55" i="197"/>
  <c r="J38" i="197"/>
  <c r="J20" i="197"/>
  <c r="J56" i="197"/>
  <c r="J21" i="197"/>
  <c r="J39" i="197"/>
  <c r="J57" i="197"/>
  <c r="J40" i="197"/>
  <c r="J22" i="197"/>
  <c r="J58" i="197"/>
  <c r="J23" i="197"/>
  <c r="J59" i="197"/>
  <c r="J41" i="197"/>
  <c r="J42" i="197"/>
  <c r="J24" i="197"/>
  <c r="J60" i="197"/>
  <c r="J25" i="197"/>
  <c r="J61" i="197"/>
  <c r="J43" i="197"/>
  <c r="J45" i="197"/>
  <c r="J27" i="197"/>
  <c r="J63" i="197"/>
  <c r="J30" i="198"/>
  <c r="J12" i="198"/>
  <c r="J48" i="198"/>
  <c r="J13" i="198"/>
  <c r="J49" i="198"/>
  <c r="J31" i="198"/>
  <c r="J32" i="198"/>
  <c r="J14" i="198"/>
  <c r="J50" i="198"/>
  <c r="J15" i="198"/>
  <c r="J51" i="198"/>
  <c r="J33" i="198"/>
  <c r="J34" i="198"/>
  <c r="J16" i="198"/>
  <c r="J52" i="198"/>
  <c r="J17" i="198"/>
  <c r="J53" i="198"/>
  <c r="J35" i="198"/>
  <c r="J36" i="198"/>
  <c r="J18" i="198"/>
  <c r="J54" i="198"/>
  <c r="J19" i="198"/>
  <c r="J55" i="198"/>
  <c r="J37" i="198"/>
  <c r="J38" i="198"/>
  <c r="J20" i="198"/>
  <c r="J56" i="198"/>
  <c r="J21" i="198"/>
  <c r="J57" i="198"/>
  <c r="J39" i="198"/>
  <c r="J40" i="198"/>
  <c r="J22" i="198"/>
  <c r="J58" i="198"/>
  <c r="J23" i="198"/>
  <c r="J59" i="198"/>
  <c r="J41" i="198"/>
  <c r="J42" i="198"/>
  <c r="J24" i="198"/>
  <c r="J60" i="198"/>
  <c r="J25" i="198"/>
  <c r="J61" i="198"/>
  <c r="J43" i="198"/>
  <c r="J45" i="198"/>
  <c r="J27" i="198"/>
  <c r="J63" i="198"/>
  <c r="J12" i="199"/>
  <c r="J48" i="199"/>
  <c r="J30" i="199"/>
  <c r="J31" i="199"/>
  <c r="J13" i="199"/>
  <c r="J49" i="199"/>
  <c r="J14" i="199"/>
  <c r="J50" i="199"/>
  <c r="J32" i="199"/>
  <c r="J33" i="199"/>
  <c r="J15" i="199"/>
  <c r="J51" i="199"/>
  <c r="J16" i="199"/>
  <c r="J52" i="199"/>
  <c r="J34" i="199"/>
  <c r="J35" i="199"/>
  <c r="J17" i="199"/>
  <c r="J53" i="199"/>
  <c r="J18" i="199"/>
  <c r="J54" i="199"/>
  <c r="J36" i="199"/>
  <c r="J37" i="199"/>
  <c r="J19" i="199"/>
  <c r="J55" i="199"/>
  <c r="J20" i="199"/>
  <c r="J56" i="199"/>
  <c r="J38" i="199"/>
  <c r="J39" i="199"/>
  <c r="J21" i="199"/>
  <c r="J57" i="199"/>
  <c r="J22" i="199"/>
  <c r="J58" i="199"/>
  <c r="J40" i="199"/>
  <c r="J41" i="199"/>
  <c r="J23" i="199"/>
  <c r="J59" i="199"/>
  <c r="J24" i="199"/>
  <c r="J60" i="199"/>
  <c r="J42" i="199"/>
  <c r="J43" i="199"/>
  <c r="J25" i="199"/>
  <c r="J61" i="199"/>
  <c r="J27" i="199"/>
  <c r="J63" i="199"/>
  <c r="J45" i="199"/>
  <c r="J30" i="200"/>
  <c r="J12" i="200"/>
  <c r="J48" i="200"/>
  <c r="J13" i="200"/>
  <c r="J49" i="200"/>
  <c r="J31" i="200"/>
  <c r="J32" i="200"/>
  <c r="J14" i="200"/>
  <c r="J50" i="200"/>
  <c r="J15" i="200"/>
  <c r="J51" i="200"/>
  <c r="J33" i="200"/>
  <c r="J34" i="200"/>
  <c r="J16" i="200"/>
  <c r="J52" i="200"/>
  <c r="J17" i="200"/>
  <c r="J53" i="200"/>
  <c r="J35" i="200"/>
  <c r="J36" i="200"/>
  <c r="J18" i="200"/>
  <c r="J54" i="200"/>
  <c r="J19" i="200"/>
  <c r="J55" i="200"/>
  <c r="J37" i="200"/>
  <c r="J38" i="200"/>
  <c r="J20" i="200"/>
  <c r="J56" i="200"/>
  <c r="J21" i="200"/>
  <c r="J57" i="200"/>
  <c r="J39" i="200"/>
  <c r="J40" i="200"/>
  <c r="J22" i="200"/>
  <c r="J58" i="200"/>
  <c r="J23" i="200"/>
  <c r="J59" i="200"/>
  <c r="J41" i="200"/>
  <c r="J42" i="200"/>
  <c r="J24" i="200"/>
  <c r="J60" i="200"/>
  <c r="J25" i="200"/>
  <c r="J61" i="200"/>
  <c r="J43" i="200"/>
  <c r="J45" i="200"/>
  <c r="J27" i="200"/>
  <c r="J63" i="200"/>
  <c r="J12" i="202"/>
  <c r="J30" i="202"/>
  <c r="J48" i="202"/>
  <c r="J13" i="202"/>
  <c r="J49" i="202"/>
  <c r="J31" i="202"/>
  <c r="J14" i="202"/>
  <c r="J32" i="202"/>
  <c r="J50" i="202"/>
  <c r="J15" i="202"/>
  <c r="J51" i="202"/>
  <c r="J33" i="202"/>
  <c r="J16" i="202"/>
  <c r="J34" i="202"/>
  <c r="J52" i="202"/>
  <c r="J35" i="202"/>
  <c r="J17" i="202"/>
  <c r="J53" i="202"/>
  <c r="J18" i="202"/>
  <c r="J36" i="202"/>
  <c r="J54" i="202"/>
  <c r="J37" i="202"/>
  <c r="J19" i="202"/>
  <c r="J55" i="202"/>
  <c r="J20" i="202"/>
  <c r="J38" i="202"/>
  <c r="J56" i="202"/>
  <c r="J39" i="202"/>
  <c r="J21" i="202"/>
  <c r="J57" i="202"/>
  <c r="J22" i="202"/>
  <c r="J40" i="202"/>
  <c r="J58" i="202"/>
  <c r="J41" i="202"/>
  <c r="J23" i="202"/>
  <c r="J59" i="202"/>
  <c r="J24" i="202"/>
  <c r="J42" i="202"/>
  <c r="J60" i="202"/>
  <c r="J43" i="202"/>
  <c r="J25" i="202"/>
  <c r="J61" i="202"/>
  <c r="J27" i="202"/>
  <c r="J45" i="202"/>
  <c r="J63" i="202"/>
  <c r="J31" i="203"/>
  <c r="J13" i="203"/>
  <c r="J49" i="203"/>
  <c r="J14" i="203"/>
  <c r="J50" i="203"/>
  <c r="J32" i="203"/>
  <c r="J33" i="203"/>
  <c r="J15" i="203"/>
  <c r="J51" i="203"/>
  <c r="J16" i="203"/>
  <c r="J52" i="203"/>
  <c r="J34" i="203"/>
  <c r="J35" i="203"/>
  <c r="J17" i="203"/>
  <c r="J53" i="203"/>
  <c r="J18" i="203"/>
  <c r="J54" i="203"/>
  <c r="J36" i="203"/>
  <c r="J37" i="203"/>
  <c r="J19" i="203"/>
  <c r="J55" i="203"/>
  <c r="J20" i="203"/>
  <c r="J56" i="203"/>
  <c r="J38" i="203"/>
  <c r="J39" i="203"/>
  <c r="J21" i="203"/>
  <c r="J57" i="203"/>
  <c r="J22" i="203"/>
  <c r="J58" i="203"/>
  <c r="J40" i="203"/>
  <c r="J41" i="203"/>
  <c r="J23" i="203"/>
  <c r="J59" i="203"/>
  <c r="J24" i="203"/>
  <c r="J60" i="203"/>
  <c r="J42" i="203"/>
  <c r="J43" i="203"/>
  <c r="J25" i="203"/>
  <c r="J61" i="203"/>
  <c r="J27" i="203"/>
  <c r="J63" i="203"/>
  <c r="J45" i="203"/>
  <c r="J45" i="206"/>
  <c r="J27" i="206"/>
  <c r="J63" i="206"/>
  <c r="J42" i="206"/>
  <c r="J24" i="206"/>
  <c r="J60" i="206"/>
  <c r="J23" i="206"/>
  <c r="J59" i="206"/>
  <c r="J41" i="206"/>
  <c r="J19" i="206"/>
  <c r="J55" i="206"/>
  <c r="J37" i="206"/>
  <c r="J17" i="206"/>
  <c r="J53" i="206"/>
  <c r="J35" i="206"/>
  <c r="J32" i="206"/>
  <c r="J14" i="206"/>
  <c r="J50" i="206"/>
  <c r="J30" i="206"/>
  <c r="J12" i="206"/>
  <c r="J48" i="206"/>
  <c r="J23" i="192"/>
  <c r="J59" i="192"/>
  <c r="J41" i="192"/>
  <c r="J15" i="192"/>
  <c r="J51" i="192"/>
  <c r="J33" i="192"/>
  <c r="J22" i="191"/>
  <c r="J58" i="191"/>
  <c r="J40" i="191"/>
  <c r="J17" i="190"/>
  <c r="J53" i="190"/>
  <c r="J35" i="190"/>
  <c r="J61" i="188"/>
  <c r="J13" i="188"/>
  <c r="J31" i="188"/>
  <c r="J22" i="187"/>
  <c r="J58" i="187"/>
  <c r="J40" i="187"/>
  <c r="J21" i="186"/>
  <c r="J204" i="213"/>
  <c r="J48" i="173"/>
  <c r="J30" i="173"/>
  <c r="J12" i="173"/>
  <c r="J49" i="173"/>
  <c r="J31" i="173"/>
  <c r="J13" i="173"/>
  <c r="J206" i="213"/>
  <c r="J50" i="173"/>
  <c r="J32" i="173"/>
  <c r="J14" i="173"/>
  <c r="J51" i="173"/>
  <c r="J33" i="173"/>
  <c r="J15" i="173"/>
  <c r="J208" i="213"/>
  <c r="J52" i="173"/>
  <c r="J34" i="173"/>
  <c r="J16" i="173"/>
  <c r="J53" i="173"/>
  <c r="J35" i="173"/>
  <c r="J17" i="173"/>
  <c r="J55" i="173"/>
  <c r="J37" i="173"/>
  <c r="J19" i="173"/>
  <c r="J56" i="185"/>
  <c r="H15" i="213"/>
  <c r="J57" i="173"/>
  <c r="J39" i="173"/>
  <c r="J21" i="173"/>
  <c r="J214" i="213"/>
  <c r="J58" i="173"/>
  <c r="J40" i="173"/>
  <c r="J22" i="173"/>
  <c r="H17" i="213"/>
  <c r="J59" i="173"/>
  <c r="J41" i="173"/>
  <c r="J23" i="173"/>
  <c r="J216" i="213"/>
  <c r="J60" i="173"/>
  <c r="J42" i="173"/>
  <c r="J24" i="173"/>
  <c r="H21" i="213"/>
  <c r="J63" i="173"/>
  <c r="J45" i="173"/>
  <c r="J27" i="173"/>
  <c r="H24" i="213"/>
  <c r="J48" i="174"/>
  <c r="J30" i="174"/>
  <c r="J12" i="174"/>
  <c r="J49" i="174"/>
  <c r="J31" i="174"/>
  <c r="J13" i="174"/>
  <c r="J50" i="174"/>
  <c r="J32" i="174"/>
  <c r="J14" i="174"/>
  <c r="H27" i="213"/>
  <c r="J51" i="174"/>
  <c r="J33" i="174"/>
  <c r="J15" i="174"/>
  <c r="J52" i="174"/>
  <c r="J34" i="174"/>
  <c r="J16" i="174"/>
  <c r="J53" i="174"/>
  <c r="J35" i="174"/>
  <c r="J17" i="174"/>
  <c r="H31" i="213"/>
  <c r="J55" i="174"/>
  <c r="J37" i="174"/>
  <c r="J19" i="174"/>
  <c r="H32" i="213"/>
  <c r="J56" i="174"/>
  <c r="J38" i="174"/>
  <c r="J20" i="174"/>
  <c r="J57" i="174"/>
  <c r="J39" i="174"/>
  <c r="J21" i="174"/>
  <c r="H34" i="213"/>
  <c r="J58" i="174"/>
  <c r="J40" i="174"/>
  <c r="J22" i="174"/>
  <c r="H35" i="213"/>
  <c r="J59" i="174"/>
  <c r="J41" i="174"/>
  <c r="J23" i="174"/>
  <c r="H36" i="213"/>
  <c r="J60" i="174"/>
  <c r="J42" i="174"/>
  <c r="J24" i="174"/>
  <c r="J61" i="174"/>
  <c r="J43" i="174"/>
  <c r="J25" i="174"/>
  <c r="H39" i="213"/>
  <c r="J63" i="174"/>
  <c r="J45" i="174"/>
  <c r="J27" i="174"/>
  <c r="H42" i="213"/>
  <c r="J48" i="175"/>
  <c r="J12" i="175"/>
  <c r="J30" i="175"/>
  <c r="H43" i="213"/>
  <c r="J31" i="175"/>
  <c r="J49" i="175"/>
  <c r="J13" i="175"/>
  <c r="J14" i="175"/>
  <c r="J32" i="175"/>
  <c r="H45" i="213"/>
  <c r="J51" i="175"/>
  <c r="J33" i="175"/>
  <c r="J15" i="175"/>
  <c r="J16" i="175"/>
  <c r="J52" i="175"/>
  <c r="J34" i="175"/>
  <c r="J53" i="175"/>
  <c r="J35" i="175"/>
  <c r="J17" i="175"/>
  <c r="H49" i="213"/>
  <c r="J19" i="175"/>
  <c r="J55" i="175"/>
  <c r="J37" i="175"/>
  <c r="H51" i="213"/>
  <c r="J57" i="175"/>
  <c r="J39" i="175"/>
  <c r="J21" i="175"/>
  <c r="J22" i="175"/>
  <c r="J58" i="175"/>
  <c r="J40" i="175"/>
  <c r="H53" i="213"/>
  <c r="J59" i="175"/>
  <c r="J41" i="175"/>
  <c r="J23" i="175"/>
  <c r="H54" i="213"/>
  <c r="J24" i="175"/>
  <c r="J60" i="175"/>
  <c r="J42" i="175"/>
  <c r="H55" i="213"/>
  <c r="J61" i="175"/>
  <c r="J43" i="175"/>
  <c r="J25" i="175"/>
  <c r="H57" i="213"/>
  <c r="J27" i="175"/>
  <c r="J63" i="175"/>
  <c r="J45" i="175"/>
  <c r="H60" i="213"/>
  <c r="J48" i="176"/>
  <c r="J30" i="176"/>
  <c r="J12" i="176"/>
  <c r="J49" i="176"/>
  <c r="J31" i="176"/>
  <c r="J13" i="176"/>
  <c r="J50" i="176"/>
  <c r="J32" i="176"/>
  <c r="J14" i="176"/>
  <c r="H63" i="213"/>
  <c r="J51" i="176"/>
  <c r="J33" i="176"/>
  <c r="J15" i="176"/>
  <c r="J52" i="176"/>
  <c r="J34" i="176"/>
  <c r="J16" i="176"/>
  <c r="J53" i="176"/>
  <c r="J35" i="176"/>
  <c r="J17" i="176"/>
  <c r="H66" i="213"/>
  <c r="J54" i="176"/>
  <c r="J36" i="176"/>
  <c r="J18" i="176"/>
  <c r="H67" i="213"/>
  <c r="J55" i="176"/>
  <c r="J37" i="176"/>
  <c r="J19" i="176"/>
  <c r="J56" i="176"/>
  <c r="J38" i="176"/>
  <c r="J20" i="176"/>
  <c r="H69" i="213"/>
  <c r="J57" i="176"/>
  <c r="J39" i="176"/>
  <c r="J21" i="176"/>
  <c r="H70" i="213"/>
  <c r="J58" i="176"/>
  <c r="J40" i="176"/>
  <c r="J22" i="176"/>
  <c r="H71" i="213"/>
  <c r="J59" i="176"/>
  <c r="J41" i="176"/>
  <c r="J23" i="176"/>
  <c r="H72" i="213"/>
  <c r="J60" i="176"/>
  <c r="J42" i="176"/>
  <c r="J24" i="176"/>
  <c r="H75" i="213"/>
  <c r="J63" i="176"/>
  <c r="J45" i="176"/>
  <c r="J27" i="176"/>
  <c r="H78" i="213"/>
  <c r="J48" i="177"/>
  <c r="J30" i="177"/>
  <c r="J12" i="177"/>
  <c r="H79" i="213"/>
  <c r="J49" i="177"/>
  <c r="J13" i="177"/>
  <c r="J31" i="177"/>
  <c r="J50" i="177"/>
  <c r="J32" i="177"/>
  <c r="J14" i="177"/>
  <c r="H81" i="213"/>
  <c r="J51" i="177"/>
  <c r="J15" i="177"/>
  <c r="J33" i="177"/>
  <c r="J52" i="177"/>
  <c r="J34" i="177"/>
  <c r="J16" i="177"/>
  <c r="J53" i="177"/>
  <c r="J17" i="177"/>
  <c r="J35" i="177"/>
  <c r="H85" i="213"/>
  <c r="J55" i="177"/>
  <c r="J37" i="177"/>
  <c r="J19" i="177"/>
  <c r="H87" i="213"/>
  <c r="J57" i="177"/>
  <c r="J21" i="177"/>
  <c r="J39" i="177"/>
  <c r="J58" i="177"/>
  <c r="J40" i="177"/>
  <c r="J22" i="177"/>
  <c r="H89" i="213"/>
  <c r="J59" i="177"/>
  <c r="J23" i="177"/>
  <c r="J41" i="177"/>
  <c r="H90" i="213"/>
  <c r="J60" i="177"/>
  <c r="J42" i="177"/>
  <c r="J24" i="177"/>
  <c r="H91" i="213"/>
  <c r="J61" i="177"/>
  <c r="J25" i="177"/>
  <c r="J43" i="177"/>
  <c r="H93" i="213"/>
  <c r="J63" i="177"/>
  <c r="J45" i="177"/>
  <c r="J27" i="177"/>
  <c r="H96" i="213"/>
  <c r="J48" i="178"/>
  <c r="J30" i="178"/>
  <c r="J12" i="178"/>
  <c r="J49" i="178"/>
  <c r="J31" i="178"/>
  <c r="J13" i="178"/>
  <c r="J50" i="178"/>
  <c r="J32" i="178"/>
  <c r="J14" i="178"/>
  <c r="H99" i="213"/>
  <c r="J51" i="178"/>
  <c r="J33" i="178"/>
  <c r="J15" i="178"/>
  <c r="J52" i="178"/>
  <c r="J34" i="178"/>
  <c r="J16" i="178"/>
  <c r="J53" i="178"/>
  <c r="J35" i="178"/>
  <c r="J17" i="178"/>
  <c r="H103" i="213"/>
  <c r="J55" i="178"/>
  <c r="J37" i="178"/>
  <c r="J19" i="178"/>
  <c r="J57" i="178"/>
  <c r="J39" i="178"/>
  <c r="J21" i="178"/>
  <c r="H106" i="213"/>
  <c r="J58" i="178"/>
  <c r="J40" i="178"/>
  <c r="J22" i="178"/>
  <c r="H107" i="213"/>
  <c r="J59" i="178"/>
  <c r="J41" i="178"/>
  <c r="J23" i="178"/>
  <c r="H108" i="213"/>
  <c r="J60" i="178"/>
  <c r="J42" i="178"/>
  <c r="J24" i="178"/>
  <c r="J63" i="178"/>
  <c r="J45" i="178"/>
  <c r="J27" i="178"/>
  <c r="H114" i="213"/>
  <c r="J48" i="183"/>
  <c r="J30" i="183"/>
  <c r="J12" i="183"/>
  <c r="H115" i="213"/>
  <c r="J49" i="183"/>
  <c r="J31" i="183"/>
  <c r="J13" i="183"/>
  <c r="J50" i="183"/>
  <c r="J32" i="183"/>
  <c r="J14" i="183"/>
  <c r="H117" i="213"/>
  <c r="J51" i="183"/>
  <c r="J33" i="183"/>
  <c r="J15" i="183"/>
  <c r="J52" i="183"/>
  <c r="J34" i="183"/>
  <c r="J16" i="183"/>
  <c r="J53" i="183"/>
  <c r="J35" i="183"/>
  <c r="J17" i="183"/>
  <c r="H121" i="213"/>
  <c r="J55" i="183"/>
  <c r="J37" i="183"/>
  <c r="J19" i="183"/>
  <c r="H123" i="213"/>
  <c r="J57" i="183"/>
  <c r="J39" i="183"/>
  <c r="J21" i="183"/>
  <c r="J58" i="183"/>
  <c r="J40" i="183"/>
  <c r="J22" i="183"/>
  <c r="H125" i="213"/>
  <c r="J59" i="183"/>
  <c r="J41" i="183"/>
  <c r="J23" i="183"/>
  <c r="H126" i="213"/>
  <c r="J60" i="183"/>
  <c r="J42" i="183"/>
  <c r="J24" i="183"/>
  <c r="J63" i="183"/>
  <c r="J45" i="183"/>
  <c r="J27" i="183"/>
  <c r="H150" i="213"/>
  <c r="J48" i="180"/>
  <c r="J30" i="180"/>
  <c r="J12" i="180"/>
  <c r="J49" i="180"/>
  <c r="J31" i="180"/>
  <c r="J13" i="180"/>
  <c r="J50" i="180"/>
  <c r="J32" i="180"/>
  <c r="J14" i="180"/>
  <c r="H153" i="213"/>
  <c r="J51" i="180"/>
  <c r="J33" i="180"/>
  <c r="J15" i="180"/>
  <c r="J52" i="180"/>
  <c r="J34" i="180"/>
  <c r="J16" i="180"/>
  <c r="J53" i="180"/>
  <c r="J35" i="180"/>
  <c r="J17" i="180"/>
  <c r="H157" i="213"/>
  <c r="J55" i="180"/>
  <c r="J37" i="180"/>
  <c r="J19" i="180"/>
  <c r="H159" i="213"/>
  <c r="J57" i="180"/>
  <c r="J39" i="180"/>
  <c r="J21" i="180"/>
  <c r="H160" i="213"/>
  <c r="J58" i="180"/>
  <c r="J40" i="180"/>
  <c r="J22" i="180"/>
  <c r="H161" i="213"/>
  <c r="J59" i="180"/>
  <c r="J41" i="180"/>
  <c r="J23" i="180"/>
  <c r="H162" i="213"/>
  <c r="J60" i="180"/>
  <c r="J42" i="180"/>
  <c r="J24" i="180"/>
  <c r="J63" i="180"/>
  <c r="J45" i="180"/>
  <c r="J27" i="180"/>
  <c r="H187" i="213"/>
  <c r="J49" i="181"/>
  <c r="J31" i="181"/>
  <c r="J13" i="181"/>
  <c r="J50" i="181"/>
  <c r="J32" i="181"/>
  <c r="J14" i="181"/>
  <c r="J51" i="181"/>
  <c r="J33" i="181"/>
  <c r="J15" i="181"/>
  <c r="J52" i="181"/>
  <c r="J34" i="181"/>
  <c r="J16" i="181"/>
  <c r="J53" i="181"/>
  <c r="J35" i="181"/>
  <c r="J17" i="181"/>
  <c r="J55" i="181"/>
  <c r="J37" i="181"/>
  <c r="J19" i="181"/>
  <c r="H195" i="213"/>
  <c r="J57" i="181"/>
  <c r="J39" i="181"/>
  <c r="J21" i="181"/>
  <c r="H196" i="213"/>
  <c r="J58" i="181"/>
  <c r="J40" i="181"/>
  <c r="J22" i="181"/>
  <c r="J59" i="181"/>
  <c r="J41" i="181"/>
  <c r="J23" i="181"/>
  <c r="H198" i="213"/>
  <c r="J60" i="181"/>
  <c r="J42" i="181"/>
  <c r="J24" i="181"/>
  <c r="J25" i="192"/>
  <c r="J63" i="181"/>
  <c r="J45" i="181"/>
  <c r="J27" i="181"/>
  <c r="J84" i="211"/>
  <c r="J26" i="206"/>
  <c r="J62" i="206"/>
  <c r="J44" i="206"/>
  <c r="J28" i="197"/>
  <c r="J64" i="197"/>
  <c r="J46" i="197"/>
  <c r="J44" i="194"/>
  <c r="J26" i="194"/>
  <c r="J62" i="194"/>
  <c r="J26" i="195"/>
  <c r="J62" i="195"/>
  <c r="J44" i="195"/>
  <c r="J44" i="196"/>
  <c r="J26" i="196"/>
  <c r="J62" i="196"/>
  <c r="J26" i="197"/>
  <c r="J62" i="197"/>
  <c r="J44" i="197"/>
  <c r="J44" i="198"/>
  <c r="J26" i="198"/>
  <c r="J62" i="198"/>
  <c r="J26" i="199"/>
  <c r="J62" i="199"/>
  <c r="J44" i="199"/>
  <c r="J44" i="200"/>
  <c r="J26" i="200"/>
  <c r="J62" i="200"/>
  <c r="J26" i="202"/>
  <c r="J62" i="202"/>
  <c r="J44" i="202"/>
  <c r="J44" i="203"/>
  <c r="J26" i="203"/>
  <c r="J62" i="203"/>
  <c r="J46" i="198"/>
  <c r="J28" i="198"/>
  <c r="J64" i="198"/>
  <c r="J46" i="195"/>
  <c r="J218" i="213"/>
  <c r="J62" i="173"/>
  <c r="J44" i="173"/>
  <c r="J26" i="173"/>
  <c r="H38" i="213"/>
  <c r="J62" i="174"/>
  <c r="J44" i="174"/>
  <c r="J26" i="174"/>
  <c r="H56" i="213"/>
  <c r="J62" i="175"/>
  <c r="J44" i="175"/>
  <c r="J26" i="175"/>
  <c r="H74" i="213"/>
  <c r="J62" i="176"/>
  <c r="J44" i="176"/>
  <c r="J26" i="176"/>
  <c r="H92" i="213"/>
  <c r="J62" i="177"/>
  <c r="J26" i="177"/>
  <c r="J44" i="177"/>
  <c r="H110" i="213"/>
  <c r="J62" i="178"/>
  <c r="J44" i="178"/>
  <c r="J26" i="178"/>
  <c r="H128" i="213"/>
  <c r="J62" i="183"/>
  <c r="J44" i="183"/>
  <c r="J26" i="183"/>
  <c r="H164" i="213"/>
  <c r="J62" i="180"/>
  <c r="J44" i="180"/>
  <c r="J26" i="180"/>
  <c r="H200" i="213"/>
  <c r="J62" i="181"/>
  <c r="J44" i="181"/>
  <c r="J26" i="181"/>
  <c r="E26" i="156"/>
  <c r="E46" i="162"/>
  <c r="E46" i="154" s="1"/>
  <c r="E28" i="165"/>
  <c r="E27" i="182"/>
  <c r="E25" i="182"/>
  <c r="E23" i="182"/>
  <c r="E21" i="182"/>
  <c r="E19" i="182"/>
  <c r="E17" i="182"/>
  <c r="E15" i="182"/>
  <c r="E46" i="182"/>
  <c r="E26" i="182"/>
  <c r="E24" i="182"/>
  <c r="E22" i="182"/>
  <c r="E16" i="182"/>
  <c r="E14" i="182"/>
  <c r="E12" i="182"/>
  <c r="E28" i="173"/>
  <c r="E28" i="174"/>
  <c r="E28" i="180"/>
  <c r="E28" i="183"/>
  <c r="E64" i="182"/>
  <c r="E28" i="206"/>
  <c r="E28" i="175"/>
  <c r="E13" i="182"/>
  <c r="J55" i="154"/>
  <c r="J69" i="154"/>
  <c r="J51" i="154"/>
  <c r="J33" i="154"/>
  <c r="J15" i="154"/>
  <c r="J51" i="153"/>
  <c r="J33" i="153"/>
  <c r="J69" i="153"/>
  <c r="J19" i="151"/>
  <c r="J69" i="151"/>
  <c r="J51" i="151"/>
  <c r="J55" i="150"/>
  <c r="J69" i="150"/>
  <c r="J19" i="148"/>
  <c r="J69" i="148"/>
  <c r="J55" i="146"/>
  <c r="J67" i="163"/>
  <c r="J49" i="163"/>
  <c r="J31" i="163"/>
  <c r="J13" i="163"/>
  <c r="J69" i="163"/>
  <c r="J51" i="163"/>
  <c r="J33" i="163"/>
  <c r="J15" i="163"/>
  <c r="J12" i="211"/>
  <c r="J18" i="165"/>
  <c r="J18" i="167"/>
  <c r="J72" i="163"/>
  <c r="J54" i="163"/>
  <c r="J36" i="163"/>
  <c r="J18" i="163"/>
  <c r="J73" i="163"/>
  <c r="J55" i="163"/>
  <c r="J37" i="163"/>
  <c r="J19" i="163"/>
  <c r="J18" i="211"/>
  <c r="J78" i="163"/>
  <c r="J60" i="163"/>
  <c r="J42" i="163"/>
  <c r="J24" i="163"/>
  <c r="J79" i="163"/>
  <c r="J61" i="163"/>
  <c r="J43" i="163"/>
  <c r="J25" i="163"/>
  <c r="J67" i="164"/>
  <c r="J49" i="164"/>
  <c r="J31" i="164"/>
  <c r="J13" i="164"/>
  <c r="J69" i="164"/>
  <c r="J51" i="164"/>
  <c r="J33" i="164"/>
  <c r="J15" i="164"/>
  <c r="J30" i="211"/>
  <c r="J72" i="164"/>
  <c r="J54" i="164"/>
  <c r="J36" i="164"/>
  <c r="J18" i="164"/>
  <c r="J36" i="165"/>
  <c r="J36" i="167"/>
  <c r="J73" i="164"/>
  <c r="J55" i="164"/>
  <c r="J37" i="164"/>
  <c r="J19" i="164"/>
  <c r="J36" i="211"/>
  <c r="J78" i="164"/>
  <c r="J60" i="164"/>
  <c r="J42" i="164"/>
  <c r="J24" i="164"/>
  <c r="J79" i="164"/>
  <c r="J61" i="164"/>
  <c r="J43" i="164"/>
  <c r="J25" i="164"/>
  <c r="J67" i="165"/>
  <c r="J49" i="165"/>
  <c r="J31" i="165"/>
  <c r="J69" i="165"/>
  <c r="J51" i="165"/>
  <c r="J33" i="165"/>
  <c r="J15" i="165"/>
  <c r="J48" i="211"/>
  <c r="J54" i="165"/>
  <c r="J54" i="167"/>
  <c r="J73" i="165"/>
  <c r="J55" i="165"/>
  <c r="J37" i="165"/>
  <c r="J19" i="165"/>
  <c r="J54" i="211"/>
  <c r="J78" i="165"/>
  <c r="J60" i="165"/>
  <c r="J42" i="165"/>
  <c r="J24" i="165"/>
  <c r="J79" i="165"/>
  <c r="J61" i="165"/>
  <c r="J43" i="165"/>
  <c r="J25" i="165"/>
  <c r="J67" i="166"/>
  <c r="J49" i="166"/>
  <c r="J31" i="166"/>
  <c r="J13" i="166"/>
  <c r="J15" i="166"/>
  <c r="J69" i="166"/>
  <c r="J51" i="166"/>
  <c r="J33" i="166"/>
  <c r="J66" i="211"/>
  <c r="J72" i="166"/>
  <c r="J54" i="166"/>
  <c r="J36" i="166"/>
  <c r="J72" i="165"/>
  <c r="J18" i="166"/>
  <c r="J72" i="167"/>
  <c r="J19" i="166"/>
  <c r="J73" i="166"/>
  <c r="J55" i="166"/>
  <c r="J37" i="166"/>
  <c r="J72" i="211"/>
  <c r="J78" i="166"/>
  <c r="J60" i="166"/>
  <c r="J42" i="166"/>
  <c r="J79" i="166"/>
  <c r="J61" i="166"/>
  <c r="J43" i="166"/>
  <c r="J25" i="166"/>
  <c r="J67" i="167"/>
  <c r="J49" i="167"/>
  <c r="J31" i="167"/>
  <c r="J13" i="167"/>
  <c r="J69" i="167"/>
  <c r="J51" i="167"/>
  <c r="J33" i="167"/>
  <c r="J15" i="167"/>
  <c r="J73" i="167"/>
  <c r="J55" i="167"/>
  <c r="J37" i="167"/>
  <c r="J19" i="167"/>
  <c r="J90" i="211"/>
  <c r="J78" i="167"/>
  <c r="J60" i="167"/>
  <c r="J42" i="167"/>
  <c r="J24" i="167"/>
  <c r="J79" i="167"/>
  <c r="J61" i="167"/>
  <c r="J43" i="167"/>
  <c r="J25" i="167"/>
  <c r="J13" i="168"/>
  <c r="J67" i="168"/>
  <c r="J49" i="168"/>
  <c r="J31" i="168"/>
  <c r="J69" i="168"/>
  <c r="J51" i="168"/>
  <c r="J33" i="168"/>
  <c r="J15" i="168"/>
  <c r="J102" i="211"/>
  <c r="J18" i="168"/>
  <c r="J73" i="168"/>
  <c r="J55" i="168"/>
  <c r="J37" i="168"/>
  <c r="J19" i="168"/>
  <c r="J108" i="211"/>
  <c r="J78" i="168"/>
  <c r="J60" i="168"/>
  <c r="J42" i="168"/>
  <c r="J138" i="211"/>
  <c r="J18" i="170"/>
  <c r="J144" i="211"/>
  <c r="J67" i="170"/>
  <c r="J31" i="170"/>
  <c r="J49" i="170"/>
  <c r="J13" i="170"/>
  <c r="J51" i="170"/>
  <c r="J15" i="170"/>
  <c r="J69" i="170"/>
  <c r="J33" i="170"/>
  <c r="J156" i="211"/>
  <c r="J36" i="170"/>
  <c r="J55" i="170"/>
  <c r="J19" i="170"/>
  <c r="J73" i="170"/>
  <c r="J37" i="170"/>
  <c r="J162" i="211"/>
  <c r="J78" i="170"/>
  <c r="J42" i="170"/>
  <c r="J60" i="170"/>
  <c r="J67" i="171"/>
  <c r="J31" i="171"/>
  <c r="J49" i="171"/>
  <c r="J51" i="171"/>
  <c r="J69" i="171"/>
  <c r="J33" i="171"/>
  <c r="J192" i="211"/>
  <c r="J54" i="170"/>
  <c r="J18" i="171"/>
  <c r="J55" i="171"/>
  <c r="J73" i="171"/>
  <c r="J37" i="171"/>
  <c r="J198" i="211"/>
  <c r="J78" i="171"/>
  <c r="J42" i="171"/>
  <c r="J24" i="171"/>
  <c r="J60" i="171"/>
  <c r="E14" i="134"/>
  <c r="E22" i="134"/>
  <c r="J21" i="155"/>
  <c r="J40" i="155"/>
  <c r="J54" i="155"/>
  <c r="J62" i="155"/>
  <c r="J40" i="162"/>
  <c r="J54" i="162"/>
  <c r="J62" i="162"/>
  <c r="J31" i="160"/>
  <c r="J43" i="160"/>
  <c r="J57" i="160"/>
  <c r="J33" i="159"/>
  <c r="J51" i="159"/>
  <c r="J24" i="166"/>
  <c r="J24" i="170"/>
  <c r="J24" i="168"/>
  <c r="J13" i="171"/>
  <c r="J49" i="154"/>
  <c r="J67" i="153"/>
  <c r="J49" i="153"/>
  <c r="J31" i="153"/>
  <c r="J49" i="150"/>
  <c r="J67" i="150"/>
  <c r="J67" i="149"/>
  <c r="J49" i="149"/>
  <c r="J31" i="149"/>
  <c r="J13" i="149"/>
  <c r="J49" i="147"/>
  <c r="J31" i="147"/>
  <c r="J13" i="147"/>
  <c r="J67" i="147"/>
  <c r="J67" i="146"/>
  <c r="H40" i="211"/>
  <c r="H58" i="211"/>
  <c r="H8" i="213"/>
  <c r="H44" i="213"/>
  <c r="H80" i="213"/>
  <c r="H116" i="213"/>
  <c r="I202" i="213"/>
  <c r="J25" i="155"/>
  <c r="J24" i="162"/>
  <c r="J36" i="155"/>
  <c r="J36" i="162"/>
  <c r="J49" i="160"/>
  <c r="J61" i="160"/>
  <c r="J15" i="159"/>
  <c r="J37" i="159"/>
  <c r="J14" i="170"/>
  <c r="J13" i="165"/>
  <c r="J19" i="171"/>
  <c r="J15" i="171"/>
  <c r="J71" i="163"/>
  <c r="J35" i="163"/>
  <c r="J53" i="163"/>
  <c r="J17" i="163"/>
  <c r="J71" i="164"/>
  <c r="J35" i="164"/>
  <c r="J53" i="164"/>
  <c r="J17" i="164"/>
  <c r="J71" i="165"/>
  <c r="J35" i="165"/>
  <c r="J53" i="165"/>
  <c r="J17" i="165"/>
  <c r="J53" i="166"/>
  <c r="J71" i="166"/>
  <c r="J35" i="166"/>
  <c r="J17" i="166"/>
  <c r="J71" i="167"/>
  <c r="J35" i="167"/>
  <c r="J53" i="167"/>
  <c r="J17" i="167"/>
  <c r="J71" i="168"/>
  <c r="J35" i="168"/>
  <c r="J17" i="168"/>
  <c r="J53" i="168"/>
  <c r="J71" i="170"/>
  <c r="J53" i="170"/>
  <c r="J35" i="170"/>
  <c r="J17" i="170"/>
  <c r="J71" i="171"/>
  <c r="J53" i="171"/>
  <c r="J35" i="171"/>
  <c r="H47" i="213"/>
  <c r="H83" i="213"/>
  <c r="H119" i="213"/>
  <c r="H191" i="213"/>
  <c r="E17" i="156"/>
  <c r="J35" i="160"/>
  <c r="J53" i="160"/>
  <c r="J35" i="154"/>
  <c r="J35" i="148"/>
  <c r="J71" i="148"/>
  <c r="J53" i="148"/>
  <c r="J17" i="148"/>
  <c r="J17" i="171"/>
  <c r="J81" i="153"/>
  <c r="J63" i="153"/>
  <c r="J45" i="153"/>
  <c r="J27" i="153"/>
  <c r="J45" i="159"/>
  <c r="J63" i="150"/>
  <c r="J27" i="148"/>
  <c r="J45" i="163"/>
  <c r="J81" i="163"/>
  <c r="J63" i="163"/>
  <c r="J27" i="163"/>
  <c r="J63" i="164"/>
  <c r="J27" i="164"/>
  <c r="J81" i="164"/>
  <c r="J45" i="164"/>
  <c r="J81" i="165"/>
  <c r="J45" i="165"/>
  <c r="J63" i="165"/>
  <c r="J27" i="165"/>
  <c r="J81" i="166"/>
  <c r="J63" i="166"/>
  <c r="J45" i="166"/>
  <c r="J27" i="166"/>
  <c r="J63" i="167"/>
  <c r="J81" i="167"/>
  <c r="J45" i="167"/>
  <c r="J27" i="167"/>
  <c r="J81" i="168"/>
  <c r="J45" i="168"/>
  <c r="J63" i="168"/>
  <c r="J27" i="168"/>
  <c r="J45" i="170"/>
  <c r="J63" i="170"/>
  <c r="J27" i="170"/>
  <c r="J81" i="170"/>
  <c r="J45" i="171"/>
  <c r="J63" i="171"/>
  <c r="J81" i="171"/>
  <c r="H111" i="213"/>
  <c r="H129" i="213"/>
  <c r="H165" i="213"/>
  <c r="E27" i="156"/>
  <c r="J27" i="159"/>
  <c r="J63" i="159"/>
  <c r="E23" i="155"/>
  <c r="E23" i="162"/>
  <c r="J23" i="162" s="1"/>
  <c r="E82" i="162"/>
  <c r="E82" i="154" s="1"/>
  <c r="J41" i="154"/>
  <c r="J59" i="146"/>
  <c r="J59" i="163"/>
  <c r="J23" i="163"/>
  <c r="J77" i="163"/>
  <c r="J41" i="163"/>
  <c r="J59" i="164"/>
  <c r="J23" i="164"/>
  <c r="J77" i="164"/>
  <c r="J41" i="164"/>
  <c r="J59" i="165"/>
  <c r="J23" i="165"/>
  <c r="J77" i="165"/>
  <c r="J41" i="165"/>
  <c r="J77" i="166"/>
  <c r="J41" i="166"/>
  <c r="J23" i="166"/>
  <c r="J59" i="166"/>
  <c r="J59" i="167"/>
  <c r="J23" i="167"/>
  <c r="J77" i="167"/>
  <c r="J41" i="167"/>
  <c r="J77" i="168"/>
  <c r="J41" i="168"/>
  <c r="J59" i="168"/>
  <c r="J23" i="168"/>
  <c r="J77" i="170"/>
  <c r="J41" i="170"/>
  <c r="J59" i="170"/>
  <c r="J23" i="170"/>
  <c r="J77" i="171"/>
  <c r="J59" i="171"/>
  <c r="J41" i="171"/>
  <c r="J41" i="159"/>
  <c r="J41" i="153"/>
  <c r="J77" i="153"/>
  <c r="J59" i="153"/>
  <c r="J23" i="153"/>
  <c r="J59" i="151"/>
  <c r="J77" i="151"/>
  <c r="J23" i="171"/>
  <c r="H76" i="211"/>
  <c r="H112" i="211"/>
  <c r="H166" i="211"/>
  <c r="I22" i="213"/>
  <c r="I112" i="213"/>
  <c r="I130" i="213"/>
  <c r="I166" i="213"/>
  <c r="H148" i="211"/>
  <c r="J8" i="211"/>
  <c r="J68" i="163"/>
  <c r="J50" i="163"/>
  <c r="J32" i="163"/>
  <c r="J14" i="163"/>
  <c r="J26" i="211"/>
  <c r="J68" i="164"/>
  <c r="J50" i="164"/>
  <c r="J32" i="164"/>
  <c r="J14" i="164"/>
  <c r="J44" i="211"/>
  <c r="J68" i="165"/>
  <c r="J50" i="165"/>
  <c r="J32" i="165"/>
  <c r="J14" i="165"/>
  <c r="J62" i="211"/>
  <c r="J14" i="166"/>
  <c r="J68" i="166"/>
  <c r="J50" i="166"/>
  <c r="J32" i="166"/>
  <c r="J80" i="211"/>
  <c r="J68" i="167"/>
  <c r="J50" i="167"/>
  <c r="J32" i="167"/>
  <c r="J14" i="167"/>
  <c r="J98" i="211"/>
  <c r="J68" i="168"/>
  <c r="J50" i="168"/>
  <c r="J32" i="168"/>
  <c r="J134" i="211"/>
  <c r="J152" i="211"/>
  <c r="J50" i="170"/>
  <c r="J68" i="170"/>
  <c r="J32" i="170"/>
  <c r="J188" i="211"/>
  <c r="J68" i="171"/>
  <c r="J32" i="171"/>
  <c r="J50" i="171"/>
  <c r="J14" i="171"/>
  <c r="H26" i="213"/>
  <c r="H62" i="213"/>
  <c r="H98" i="213"/>
  <c r="H152" i="213"/>
  <c r="H188" i="213"/>
  <c r="E14" i="155"/>
  <c r="E14" i="162"/>
  <c r="E14" i="161"/>
  <c r="J14" i="161" s="1"/>
  <c r="E14" i="160"/>
  <c r="J14" i="160" s="1"/>
  <c r="E14" i="158"/>
  <c r="E14" i="156"/>
  <c r="J14" i="156" s="1"/>
  <c r="E64" i="162"/>
  <c r="E64" i="154" s="1"/>
  <c r="J32" i="155"/>
  <c r="J50" i="155"/>
  <c r="J32" i="162"/>
  <c r="J50" i="162"/>
  <c r="E28" i="170"/>
  <c r="E28" i="167"/>
  <c r="E28" i="169"/>
  <c r="E28" i="171"/>
  <c r="E28" i="163"/>
  <c r="E28" i="166"/>
  <c r="J14" i="168"/>
  <c r="J16" i="211"/>
  <c r="J58" i="163"/>
  <c r="J22" i="163"/>
  <c r="J76" i="163"/>
  <c r="J40" i="163"/>
  <c r="J34" i="211"/>
  <c r="J76" i="164"/>
  <c r="J40" i="164"/>
  <c r="J58" i="164"/>
  <c r="J22" i="164"/>
  <c r="J52" i="211"/>
  <c r="J76" i="165"/>
  <c r="J40" i="165"/>
  <c r="J58" i="165"/>
  <c r="J22" i="165"/>
  <c r="J70" i="211"/>
  <c r="J58" i="166"/>
  <c r="J76" i="166"/>
  <c r="J40" i="166"/>
  <c r="J88" i="211"/>
  <c r="J58" i="167"/>
  <c r="J22" i="167"/>
  <c r="J76" i="167"/>
  <c r="J40" i="167"/>
  <c r="J106" i="211"/>
  <c r="J76" i="168"/>
  <c r="J40" i="168"/>
  <c r="J58" i="168"/>
  <c r="J142" i="211"/>
  <c r="J160" i="211"/>
  <c r="J76" i="170"/>
  <c r="J58" i="170"/>
  <c r="J40" i="170"/>
  <c r="J196" i="211"/>
  <c r="J22" i="171"/>
  <c r="J76" i="171"/>
  <c r="J58" i="171"/>
  <c r="J40" i="171"/>
  <c r="J22" i="168"/>
  <c r="J76" i="155"/>
  <c r="J76" i="162"/>
  <c r="E22" i="162"/>
  <c r="E22" i="161"/>
  <c r="E22" i="160"/>
  <c r="E22" i="157"/>
  <c r="E46" i="158"/>
  <c r="E46" i="149" s="1"/>
  <c r="E64" i="158"/>
  <c r="E64" i="149" s="1"/>
  <c r="E82" i="158"/>
  <c r="J22" i="166"/>
  <c r="J22" i="170"/>
  <c r="H22" i="211"/>
  <c r="I208" i="213"/>
  <c r="F20" i="215"/>
  <c r="J28" i="135" s="1"/>
  <c r="F21" i="215"/>
  <c r="J28" i="136" s="1"/>
  <c r="J10" i="211"/>
  <c r="J70" i="163"/>
  <c r="J52" i="163"/>
  <c r="J34" i="163"/>
  <c r="J16" i="163"/>
  <c r="J28" i="211"/>
  <c r="J70" i="164"/>
  <c r="J52" i="164"/>
  <c r="J34" i="164"/>
  <c r="J16" i="164"/>
  <c r="J46" i="211"/>
  <c r="J70" i="165"/>
  <c r="J52" i="165"/>
  <c r="J34" i="165"/>
  <c r="J16" i="165"/>
  <c r="J64" i="211"/>
  <c r="J70" i="166"/>
  <c r="J52" i="166"/>
  <c r="J34" i="166"/>
  <c r="J82" i="211"/>
  <c r="J70" i="167"/>
  <c r="J52" i="167"/>
  <c r="J34" i="167"/>
  <c r="J16" i="167"/>
  <c r="J100" i="211"/>
  <c r="J70" i="168"/>
  <c r="J52" i="168"/>
  <c r="J34" i="168"/>
  <c r="J136" i="211"/>
  <c r="J154" i="211"/>
  <c r="J52" i="170"/>
  <c r="J70" i="170"/>
  <c r="J34" i="170"/>
  <c r="J190" i="211"/>
  <c r="J70" i="171"/>
  <c r="J34" i="171"/>
  <c r="J16" i="171"/>
  <c r="J52" i="171"/>
  <c r="H28" i="213"/>
  <c r="H46" i="213"/>
  <c r="H64" i="213"/>
  <c r="H82" i="213"/>
  <c r="H100" i="213"/>
  <c r="H118" i="213"/>
  <c r="H154" i="213"/>
  <c r="H190" i="213"/>
  <c r="J16" i="170"/>
  <c r="J16" i="168"/>
  <c r="E28" i="164"/>
  <c r="J56" i="163"/>
  <c r="J20" i="163"/>
  <c r="J74" i="163"/>
  <c r="J38" i="163"/>
  <c r="J74" i="164"/>
  <c r="J38" i="164"/>
  <c r="J56" i="164"/>
  <c r="J20" i="164"/>
  <c r="J74" i="165"/>
  <c r="J38" i="165"/>
  <c r="J56" i="165"/>
  <c r="J20" i="165"/>
  <c r="J56" i="166"/>
  <c r="J74" i="166"/>
  <c r="J38" i="166"/>
  <c r="J56" i="167"/>
  <c r="J20" i="167"/>
  <c r="J74" i="167"/>
  <c r="J38" i="167"/>
  <c r="J74" i="168"/>
  <c r="J38" i="168"/>
  <c r="J56" i="168"/>
  <c r="J74" i="170"/>
  <c r="J56" i="170"/>
  <c r="J38" i="170"/>
  <c r="J20" i="171"/>
  <c r="J74" i="171"/>
  <c r="J56" i="171"/>
  <c r="J38" i="171"/>
  <c r="H50" i="213"/>
  <c r="H68" i="213"/>
  <c r="H86" i="213"/>
  <c r="H104" i="213"/>
  <c r="H122" i="213"/>
  <c r="H158" i="213"/>
  <c r="H194" i="213"/>
  <c r="E20" i="155"/>
  <c r="E20" i="156"/>
  <c r="J20" i="166"/>
  <c r="J20" i="170"/>
  <c r="E28" i="136"/>
  <c r="E28" i="135"/>
  <c r="J6" i="211"/>
  <c r="J48" i="163"/>
  <c r="J12" i="163"/>
  <c r="J66" i="163"/>
  <c r="J30" i="163"/>
  <c r="I22" i="211"/>
  <c r="J24" i="211"/>
  <c r="J66" i="164"/>
  <c r="J48" i="164"/>
  <c r="J30" i="164"/>
  <c r="J12" i="164"/>
  <c r="I40" i="211"/>
  <c r="J42" i="211"/>
  <c r="J66" i="165"/>
  <c r="J48" i="165"/>
  <c r="J30" i="165"/>
  <c r="J12" i="165"/>
  <c r="J60" i="211"/>
  <c r="J48" i="166"/>
  <c r="J66" i="166"/>
  <c r="J30" i="166"/>
  <c r="J12" i="166"/>
  <c r="J78" i="211"/>
  <c r="J66" i="167"/>
  <c r="J30" i="167"/>
  <c r="J48" i="167"/>
  <c r="J12" i="167"/>
  <c r="J96" i="211"/>
  <c r="J48" i="168"/>
  <c r="J66" i="168"/>
  <c r="J30" i="168"/>
  <c r="J132" i="211"/>
  <c r="J150" i="211"/>
  <c r="J66" i="170"/>
  <c r="J30" i="170"/>
  <c r="J48" i="170"/>
  <c r="J186" i="211"/>
  <c r="J66" i="171"/>
  <c r="J30" i="171"/>
  <c r="J48" i="171"/>
  <c r="J12" i="171"/>
  <c r="J12" i="170"/>
  <c r="J57" i="154"/>
  <c r="J39" i="154"/>
  <c r="J21" i="154"/>
  <c r="J75" i="154"/>
  <c r="J39" i="153"/>
  <c r="J57" i="150"/>
  <c r="J39" i="150"/>
  <c r="J21" i="150"/>
  <c r="J75" i="150"/>
  <c r="J75" i="149"/>
  <c r="J57" i="149"/>
  <c r="J39" i="149"/>
  <c r="J21" i="149"/>
  <c r="J75" i="147"/>
  <c r="J75" i="163"/>
  <c r="J39" i="163"/>
  <c r="J21" i="163"/>
  <c r="J57" i="163"/>
  <c r="J57" i="164"/>
  <c r="J21" i="164"/>
  <c r="J75" i="164"/>
  <c r="J39" i="164"/>
  <c r="J57" i="165"/>
  <c r="J21" i="165"/>
  <c r="J75" i="165"/>
  <c r="J39" i="165"/>
  <c r="J75" i="166"/>
  <c r="J39" i="166"/>
  <c r="J21" i="166"/>
  <c r="J57" i="166"/>
  <c r="J75" i="167"/>
  <c r="J39" i="167"/>
  <c r="J21" i="167"/>
  <c r="J57" i="167"/>
  <c r="J57" i="168"/>
  <c r="J75" i="168"/>
  <c r="J39" i="168"/>
  <c r="J21" i="168"/>
  <c r="J75" i="170"/>
  <c r="J57" i="170"/>
  <c r="J39" i="170"/>
  <c r="J21" i="170"/>
  <c r="J75" i="171"/>
  <c r="J57" i="171"/>
  <c r="J39" i="171"/>
  <c r="J75" i="159"/>
  <c r="J75" i="160"/>
  <c r="E21" i="162"/>
  <c r="J21" i="162" s="1"/>
  <c r="E21" i="160"/>
  <c r="E21" i="159"/>
  <c r="E21" i="157"/>
  <c r="E46" i="160"/>
  <c r="E46" i="156"/>
  <c r="E64" i="160"/>
  <c r="E64" i="151" s="1"/>
  <c r="E64" i="156"/>
  <c r="E64" i="147" s="1"/>
  <c r="E82" i="160"/>
  <c r="E82" i="151" s="1"/>
  <c r="E82" i="156"/>
  <c r="E82" i="147" s="1"/>
  <c r="J21" i="171"/>
  <c r="J20" i="211"/>
  <c r="J80" i="163"/>
  <c r="J62" i="163"/>
  <c r="J44" i="163"/>
  <c r="J26" i="163"/>
  <c r="J38" i="211"/>
  <c r="J62" i="164"/>
  <c r="J44" i="164"/>
  <c r="J26" i="164"/>
  <c r="J80" i="164"/>
  <c r="J56" i="211"/>
  <c r="J80" i="165"/>
  <c r="J62" i="165"/>
  <c r="J44" i="165"/>
  <c r="J26" i="165"/>
  <c r="J74" i="211"/>
  <c r="J80" i="166"/>
  <c r="J62" i="166"/>
  <c r="J44" i="166"/>
  <c r="J92" i="211"/>
  <c r="J80" i="167"/>
  <c r="J62" i="167"/>
  <c r="J44" i="167"/>
  <c r="J26" i="167"/>
  <c r="J110" i="211"/>
  <c r="J44" i="168"/>
  <c r="J80" i="168"/>
  <c r="J62" i="168"/>
  <c r="J146" i="211"/>
  <c r="J164" i="211"/>
  <c r="J62" i="170"/>
  <c r="J44" i="170"/>
  <c r="J80" i="170"/>
  <c r="J200" i="211"/>
  <c r="J80" i="171"/>
  <c r="J62" i="171"/>
  <c r="J44" i="171"/>
  <c r="J26" i="171"/>
  <c r="J26" i="166"/>
  <c r="J26" i="170"/>
  <c r="H20" i="213"/>
  <c r="J80" i="155"/>
  <c r="J80" i="162"/>
  <c r="E26" i="155"/>
  <c r="E26" i="161"/>
  <c r="E26" i="158"/>
  <c r="J26" i="158" s="1"/>
  <c r="E26" i="157"/>
  <c r="E46" i="155"/>
  <c r="E46" i="161"/>
  <c r="J46" i="161" s="1"/>
  <c r="E46" i="159"/>
  <c r="E46" i="150" s="1"/>
  <c r="E46" i="157"/>
  <c r="E46" i="148" s="1"/>
  <c r="E64" i="155"/>
  <c r="E64" i="146" s="1"/>
  <c r="E64" i="161"/>
  <c r="J64" i="161" s="1"/>
  <c r="E64" i="159"/>
  <c r="E64" i="150" s="1"/>
  <c r="E64" i="157"/>
  <c r="E64" i="148" s="1"/>
  <c r="E82" i="155"/>
  <c r="E82" i="146" s="1"/>
  <c r="E82" i="161"/>
  <c r="J82" i="161" s="1"/>
  <c r="E82" i="159"/>
  <c r="E82" i="150" s="1"/>
  <c r="E82" i="157"/>
  <c r="E82" i="148" s="1"/>
  <c r="J26" i="168"/>
  <c r="I58" i="211"/>
  <c r="I76" i="211"/>
  <c r="I94" i="211"/>
  <c r="I112" i="211"/>
  <c r="I148" i="211"/>
  <c r="I166" i="211"/>
  <c r="I202" i="211"/>
  <c r="H7" i="213"/>
  <c r="J205" i="213"/>
  <c r="H9" i="213"/>
  <c r="J207" i="213"/>
  <c r="H11" i="213"/>
  <c r="J209" i="213"/>
  <c r="H13" i="213"/>
  <c r="J211" i="213"/>
  <c r="J194" i="211"/>
  <c r="J158" i="211"/>
  <c r="J140" i="211"/>
  <c r="J104" i="211"/>
  <c r="J86" i="211"/>
  <c r="J68" i="211"/>
  <c r="J50" i="211"/>
  <c r="J32" i="211"/>
  <c r="J14" i="211"/>
  <c r="J58" i="211"/>
  <c r="H18" i="213"/>
  <c r="H10" i="213"/>
  <c r="H6" i="213"/>
  <c r="E19" i="215"/>
  <c r="F19" i="215" s="1"/>
  <c r="J28" i="134" s="1"/>
  <c r="E13" i="134"/>
  <c r="E15" i="134"/>
  <c r="E17" i="134"/>
  <c r="E19" i="134"/>
  <c r="E21" i="134"/>
  <c r="E23" i="134"/>
  <c r="E25" i="134"/>
  <c r="E27" i="134"/>
  <c r="J49" i="155"/>
  <c r="J31" i="155"/>
  <c r="J51" i="155"/>
  <c r="J33" i="155"/>
  <c r="J53" i="155"/>
  <c r="J35" i="155"/>
  <c r="J55" i="155"/>
  <c r="J37" i="155"/>
  <c r="J57" i="155"/>
  <c r="J39" i="155"/>
  <c r="J59" i="155"/>
  <c r="J41" i="155"/>
  <c r="J61" i="155"/>
  <c r="J43" i="155"/>
  <c r="J63" i="155"/>
  <c r="J45" i="155"/>
  <c r="J66" i="156"/>
  <c r="J48" i="156"/>
  <c r="J30" i="156"/>
  <c r="J49" i="156"/>
  <c r="J31" i="156"/>
  <c r="J67" i="156"/>
  <c r="J68" i="156"/>
  <c r="J50" i="156"/>
  <c r="J32" i="156"/>
  <c r="J51" i="156"/>
  <c r="J33" i="156"/>
  <c r="J69" i="156"/>
  <c r="J70" i="156"/>
  <c r="J52" i="156"/>
  <c r="J34" i="156"/>
  <c r="J16" i="156"/>
  <c r="J53" i="156"/>
  <c r="J35" i="156"/>
  <c r="J71" i="156"/>
  <c r="J72" i="156"/>
  <c r="J54" i="156"/>
  <c r="J36" i="156"/>
  <c r="J55" i="156"/>
  <c r="J37" i="156"/>
  <c r="J19" i="156"/>
  <c r="J73" i="156"/>
  <c r="J74" i="156"/>
  <c r="J56" i="156"/>
  <c r="J38" i="156"/>
  <c r="J20" i="156"/>
  <c r="J57" i="156"/>
  <c r="J39" i="156"/>
  <c r="J21" i="156"/>
  <c r="J75" i="156"/>
  <c r="J76" i="156"/>
  <c r="J58" i="156"/>
  <c r="J40" i="156"/>
  <c r="J22" i="156"/>
  <c r="J59" i="156"/>
  <c r="J41" i="156"/>
  <c r="J23" i="156"/>
  <c r="J77" i="156"/>
  <c r="J78" i="156"/>
  <c r="J60" i="156"/>
  <c r="J42" i="156"/>
  <c r="J24" i="156"/>
  <c r="J61" i="156"/>
  <c r="J43" i="156"/>
  <c r="J25" i="156"/>
  <c r="J79" i="156"/>
  <c r="J80" i="156"/>
  <c r="J62" i="156"/>
  <c r="J44" i="156"/>
  <c r="J26" i="156"/>
  <c r="J63" i="156"/>
  <c r="J45" i="156"/>
  <c r="J27" i="156"/>
  <c r="J81" i="156"/>
  <c r="J66" i="157"/>
  <c r="J48" i="157"/>
  <c r="J30" i="157"/>
  <c r="J49" i="157"/>
  <c r="J31" i="157"/>
  <c r="J67" i="157"/>
  <c r="J68" i="157"/>
  <c r="J50" i="157"/>
  <c r="J32" i="157"/>
  <c r="J14" i="157"/>
  <c r="J51" i="157"/>
  <c r="J33" i="157"/>
  <c r="J15" i="157"/>
  <c r="J69" i="157"/>
  <c r="J70" i="157"/>
  <c r="J52" i="157"/>
  <c r="J34" i="157"/>
  <c r="J16" i="157"/>
  <c r="J53" i="157"/>
  <c r="J35" i="157"/>
  <c r="J17" i="157"/>
  <c r="J71" i="157"/>
  <c r="J72" i="157"/>
  <c r="J54" i="157"/>
  <c r="J36" i="157"/>
  <c r="J55" i="157"/>
  <c r="J37" i="157"/>
  <c r="J73" i="157"/>
  <c r="J19" i="157"/>
  <c r="J74" i="157"/>
  <c r="J56" i="157"/>
  <c r="J38" i="157"/>
  <c r="J57" i="157"/>
  <c r="J39" i="157"/>
  <c r="J75" i="157"/>
  <c r="J76" i="157"/>
  <c r="J22" i="157"/>
  <c r="J58" i="157"/>
  <c r="J40" i="157"/>
  <c r="J59" i="157"/>
  <c r="J41" i="157"/>
  <c r="J77" i="157"/>
  <c r="J23" i="157"/>
  <c r="J78" i="157"/>
  <c r="J24" i="157"/>
  <c r="J60" i="157"/>
  <c r="J42" i="157"/>
  <c r="J61" i="157"/>
  <c r="J43" i="157"/>
  <c r="J79" i="157"/>
  <c r="J25" i="157"/>
  <c r="J80" i="157"/>
  <c r="J62" i="157"/>
  <c r="J44" i="157"/>
  <c r="J63" i="157"/>
  <c r="J45" i="157"/>
  <c r="J27" i="157"/>
  <c r="J81" i="157"/>
  <c r="J66" i="158"/>
  <c r="J48" i="158"/>
  <c r="J30" i="158"/>
  <c r="J49" i="158"/>
  <c r="J31" i="158"/>
  <c r="J67" i="158"/>
  <c r="J13" i="158"/>
  <c r="J68" i="158"/>
  <c r="J14" i="158"/>
  <c r="J50" i="158"/>
  <c r="J32" i="158"/>
  <c r="J51" i="158"/>
  <c r="J33" i="158"/>
  <c r="J69" i="158"/>
  <c r="J70" i="158"/>
  <c r="J52" i="158"/>
  <c r="J34" i="158"/>
  <c r="J53" i="158"/>
  <c r="J35" i="158"/>
  <c r="J71" i="158"/>
  <c r="J17" i="158"/>
  <c r="J72" i="158"/>
  <c r="J54" i="158"/>
  <c r="J36" i="158"/>
  <c r="J55" i="158"/>
  <c r="J37" i="158"/>
  <c r="J73" i="158"/>
  <c r="J74" i="158"/>
  <c r="J56" i="158"/>
  <c r="J38" i="158"/>
  <c r="J57" i="158"/>
  <c r="J39" i="158"/>
  <c r="J75" i="158"/>
  <c r="J76" i="158"/>
  <c r="J58" i="158"/>
  <c r="J40" i="158"/>
  <c r="J59" i="158"/>
  <c r="J41" i="158"/>
  <c r="J23" i="158"/>
  <c r="J77" i="158"/>
  <c r="J78" i="158"/>
  <c r="J60" i="158"/>
  <c r="J42" i="158"/>
  <c r="J61" i="158"/>
  <c r="J43" i="158"/>
  <c r="J79" i="158"/>
  <c r="J80" i="158"/>
  <c r="J62" i="158"/>
  <c r="J44" i="158"/>
  <c r="J63" i="158"/>
  <c r="J45" i="158"/>
  <c r="J81" i="158"/>
  <c r="J66" i="159"/>
  <c r="J48" i="159"/>
  <c r="J30" i="159"/>
  <c r="J50" i="159"/>
  <c r="J32" i="159"/>
  <c r="J14" i="159"/>
  <c r="J52" i="159"/>
  <c r="J34" i="159"/>
  <c r="J16" i="159"/>
  <c r="J54" i="159"/>
  <c r="J36" i="159"/>
  <c r="J73" i="159"/>
  <c r="J19" i="159"/>
  <c r="J56" i="159"/>
  <c r="J38" i="159"/>
  <c r="J58" i="159"/>
  <c r="J40" i="159"/>
  <c r="J77" i="159"/>
  <c r="J23" i="159"/>
  <c r="J60" i="159"/>
  <c r="J42" i="159"/>
  <c r="J79" i="159"/>
  <c r="J25" i="159"/>
  <c r="J62" i="159"/>
  <c r="J44" i="159"/>
  <c r="J48" i="160"/>
  <c r="J30" i="160"/>
  <c r="J50" i="160"/>
  <c r="J32" i="160"/>
  <c r="J52" i="160"/>
  <c r="J34" i="160"/>
  <c r="J54" i="160"/>
  <c r="J36" i="160"/>
  <c r="J56" i="160"/>
  <c r="J38" i="160"/>
  <c r="J58" i="160"/>
  <c r="J40" i="160"/>
  <c r="J60" i="160"/>
  <c r="J42" i="160"/>
  <c r="J62" i="160"/>
  <c r="J44" i="160"/>
  <c r="J49" i="162"/>
  <c r="J31" i="162"/>
  <c r="J51" i="162"/>
  <c r="J33" i="162"/>
  <c r="J53" i="162"/>
  <c r="J35" i="162"/>
  <c r="J55" i="162"/>
  <c r="J37" i="162"/>
  <c r="J57" i="162"/>
  <c r="J39" i="162"/>
  <c r="J59" i="162"/>
  <c r="J41" i="162"/>
  <c r="J61" i="162"/>
  <c r="J43" i="162"/>
  <c r="J63" i="162"/>
  <c r="J45" i="162"/>
  <c r="J24" i="155"/>
  <c r="J27" i="162"/>
  <c r="J17" i="162"/>
  <c r="J27" i="160"/>
  <c r="J25" i="160"/>
  <c r="J19" i="160"/>
  <c r="J15" i="160"/>
  <c r="J13" i="159"/>
  <c r="J12" i="157"/>
  <c r="J15" i="156"/>
  <c r="J30" i="155"/>
  <c r="J34" i="155"/>
  <c r="J38" i="155"/>
  <c r="J42" i="155"/>
  <c r="J48" i="155"/>
  <c r="J52" i="155"/>
  <c r="J56" i="155"/>
  <c r="J60" i="155"/>
  <c r="J67" i="155"/>
  <c r="J71" i="155"/>
  <c r="J75" i="155"/>
  <c r="J79" i="155"/>
  <c r="J30" i="162"/>
  <c r="J34" i="162"/>
  <c r="J38" i="162"/>
  <c r="J42" i="162"/>
  <c r="J48" i="162"/>
  <c r="J52" i="162"/>
  <c r="J56" i="162"/>
  <c r="J60" i="162"/>
  <c r="J67" i="162"/>
  <c r="J71" i="162"/>
  <c r="J75" i="162"/>
  <c r="J79" i="162"/>
  <c r="J33" i="160"/>
  <c r="J37" i="160"/>
  <c r="J41" i="160"/>
  <c r="J45" i="160"/>
  <c r="J51" i="160"/>
  <c r="J55" i="160"/>
  <c r="J59" i="160"/>
  <c r="J63" i="160"/>
  <c r="J70" i="160"/>
  <c r="J74" i="160"/>
  <c r="J78" i="160"/>
  <c r="J66" i="160"/>
  <c r="J17" i="159"/>
  <c r="J24" i="159"/>
  <c r="J31" i="159"/>
  <c r="J35" i="159"/>
  <c r="J39" i="159"/>
  <c r="J43" i="159"/>
  <c r="J49" i="159"/>
  <c r="J53" i="159"/>
  <c r="J57" i="159"/>
  <c r="J61" i="159"/>
  <c r="J68" i="159"/>
  <c r="J72" i="159"/>
  <c r="J76" i="159"/>
  <c r="J80" i="159"/>
  <c r="J26" i="160"/>
  <c r="J18" i="160"/>
  <c r="J16" i="160"/>
  <c r="J27" i="158"/>
  <c r="J21" i="158"/>
  <c r="J19" i="158"/>
  <c r="J13" i="157"/>
  <c r="J12" i="156"/>
  <c r="I72" i="171"/>
  <c r="I54" i="171"/>
  <c r="I36" i="171"/>
  <c r="I72" i="170"/>
  <c r="J75" i="153" l="1"/>
  <c r="J81" i="154"/>
  <c r="J35" i="151"/>
  <c r="J37" i="149"/>
  <c r="J49" i="186"/>
  <c r="J69" i="146"/>
  <c r="J69" i="147"/>
  <c r="H210" i="213"/>
  <c r="J39" i="146"/>
  <c r="J75" i="148"/>
  <c r="J41" i="150"/>
  <c r="J41" i="147"/>
  <c r="J59" i="149"/>
  <c r="J63" i="148"/>
  <c r="J27" i="150"/>
  <c r="J63" i="151"/>
  <c r="J35" i="146"/>
  <c r="J17" i="151"/>
  <c r="J35" i="149"/>
  <c r="J31" i="146"/>
  <c r="J13" i="154"/>
  <c r="J19" i="146"/>
  <c r="J33" i="148"/>
  <c r="J55" i="148"/>
  <c r="J33" i="150"/>
  <c r="J19" i="150"/>
  <c r="J33" i="151"/>
  <c r="J55" i="151"/>
  <c r="J28" i="195"/>
  <c r="J18" i="185"/>
  <c r="J39" i="186"/>
  <c r="J18" i="189"/>
  <c r="J61" i="190"/>
  <c r="J39" i="182"/>
  <c r="J22" i="185"/>
  <c r="J35" i="188"/>
  <c r="J36" i="191"/>
  <c r="J45" i="192"/>
  <c r="J27" i="149"/>
  <c r="J33" i="149"/>
  <c r="J23" i="148"/>
  <c r="J17" i="153"/>
  <c r="J21" i="151"/>
  <c r="J57" i="153"/>
  <c r="J41" i="151"/>
  <c r="J63" i="147"/>
  <c r="J81" i="150"/>
  <c r="J27" i="151"/>
  <c r="J35" i="150"/>
  <c r="J71" i="151"/>
  <c r="J13" i="146"/>
  <c r="J31" i="148"/>
  <c r="J49" i="151"/>
  <c r="J31" i="154"/>
  <c r="J69" i="149"/>
  <c r="J37" i="154"/>
  <c r="J61" i="185"/>
  <c r="J36" i="185"/>
  <c r="J31" i="186"/>
  <c r="J36" i="189"/>
  <c r="J45" i="182"/>
  <c r="J21" i="217"/>
  <c r="J53" i="217"/>
  <c r="J35" i="217"/>
  <c r="J71" i="217"/>
  <c r="E18" i="152"/>
  <c r="J46" i="155"/>
  <c r="J46" i="160"/>
  <c r="J45" i="148"/>
  <c r="J37" i="146"/>
  <c r="J15" i="148"/>
  <c r="J37" i="148"/>
  <c r="J15" i="150"/>
  <c r="J73" i="150"/>
  <c r="J37" i="151"/>
  <c r="J38" i="185"/>
  <c r="J39" i="217"/>
  <c r="H40" i="213"/>
  <c r="J40" i="213" s="1"/>
  <c r="J39" i="147"/>
  <c r="J39" i="151"/>
  <c r="J45" i="146"/>
  <c r="J17" i="150"/>
  <c r="J17" i="154"/>
  <c r="J53" i="153"/>
  <c r="J49" i="148"/>
  <c r="J67" i="151"/>
  <c r="J19" i="147"/>
  <c r="J64" i="196"/>
  <c r="J54" i="190"/>
  <c r="J25" i="190"/>
  <c r="J21" i="147"/>
  <c r="J57" i="151"/>
  <c r="J53" i="150"/>
  <c r="J53" i="154"/>
  <c r="J71" i="153"/>
  <c r="J13" i="151"/>
  <c r="J37" i="153"/>
  <c r="J28" i="196"/>
  <c r="J54" i="192"/>
  <c r="J53" i="186"/>
  <c r="J35" i="153"/>
  <c r="H218" i="213"/>
  <c r="J44" i="205" s="1"/>
  <c r="J18" i="192"/>
  <c r="J17" i="186"/>
  <c r="J18" i="190"/>
  <c r="J36" i="186"/>
  <c r="J43" i="191"/>
  <c r="J22" i="189"/>
  <c r="J25" i="185"/>
  <c r="H202" i="213"/>
  <c r="J28" i="192" s="1"/>
  <c r="J61" i="192"/>
  <c r="J53" i="188"/>
  <c r="J27" i="192"/>
  <c r="J49" i="190"/>
  <c r="J18" i="187"/>
  <c r="J19" i="192"/>
  <c r="J21" i="190"/>
  <c r="J61" i="186"/>
  <c r="J58" i="185"/>
  <c r="J25" i="188"/>
  <c r="J28" i="168"/>
  <c r="J59" i="147"/>
  <c r="J41" i="146"/>
  <c r="J71" i="149"/>
  <c r="J57" i="148"/>
  <c r="J61" i="147"/>
  <c r="J57" i="146"/>
  <c r="J71" i="146"/>
  <c r="J27" i="154"/>
  <c r="J202" i="211"/>
  <c r="J46" i="154" s="1"/>
  <c r="J94" i="211"/>
  <c r="J82" i="150" s="1"/>
  <c r="J64" i="164"/>
  <c r="J82" i="163"/>
  <c r="J81" i="149"/>
  <c r="J51" i="149"/>
  <c r="J41" i="148"/>
  <c r="J45" i="147"/>
  <c r="J51" i="147"/>
  <c r="J63" i="146"/>
  <c r="J51" i="146"/>
  <c r="J77" i="154"/>
  <c r="J55" i="153"/>
  <c r="J77" i="150"/>
  <c r="J55" i="149"/>
  <c r="J37" i="147"/>
  <c r="J61" i="148"/>
  <c r="J61" i="150"/>
  <c r="J61" i="154"/>
  <c r="H205" i="213"/>
  <c r="J13" i="205" s="1"/>
  <c r="J82" i="162"/>
  <c r="J25" i="158"/>
  <c r="J12" i="159"/>
  <c r="J20" i="159"/>
  <c r="J12" i="160"/>
  <c r="J17" i="156"/>
  <c r="J18" i="157"/>
  <c r="J16" i="158"/>
  <c r="J20" i="158"/>
  <c r="J24" i="158"/>
  <c r="J13" i="162"/>
  <c r="J25" i="162"/>
  <c r="J22" i="155"/>
  <c r="J21" i="146"/>
  <c r="J21" i="148"/>
  <c r="J21" i="153"/>
  <c r="J23" i="150"/>
  <c r="J59" i="148"/>
  <c r="J23" i="154"/>
  <c r="J27" i="146"/>
  <c r="J27" i="147"/>
  <c r="J63" i="154"/>
  <c r="J45" i="149"/>
  <c r="J45" i="151"/>
  <c r="J17" i="155"/>
  <c r="J53" i="146"/>
  <c r="J53" i="149"/>
  <c r="J26" i="162"/>
  <c r="J13" i="148"/>
  <c r="J31" i="150"/>
  <c r="H217" i="213"/>
  <c r="J25" i="205" s="1"/>
  <c r="J15" i="146"/>
  <c r="J15" i="147"/>
  <c r="J73" i="147"/>
  <c r="J15" i="149"/>
  <c r="J19" i="149"/>
  <c r="J15" i="151"/>
  <c r="J19" i="153"/>
  <c r="J19" i="154"/>
  <c r="J61" i="191"/>
  <c r="J54" i="186"/>
  <c r="J43" i="188"/>
  <c r="J35" i="186"/>
  <c r="J40" i="189"/>
  <c r="E20" i="152"/>
  <c r="J41" i="149"/>
  <c r="J12" i="162"/>
  <c r="J23" i="155"/>
  <c r="J21" i="157"/>
  <c r="J21" i="160"/>
  <c r="J28" i="226"/>
  <c r="J64" i="226"/>
  <c r="J46" i="226"/>
  <c r="J46" i="225"/>
  <c r="J64" i="225"/>
  <c r="J28" i="225"/>
  <c r="J63" i="224"/>
  <c r="J45" i="224"/>
  <c r="J27" i="224"/>
  <c r="J53" i="224"/>
  <c r="J35" i="224"/>
  <c r="J17" i="224"/>
  <c r="J32" i="224"/>
  <c r="J50" i="224"/>
  <c r="J14" i="224"/>
  <c r="J57" i="224"/>
  <c r="J39" i="224"/>
  <c r="J21" i="224"/>
  <c r="J55" i="224"/>
  <c r="J19" i="224"/>
  <c r="J37" i="224"/>
  <c r="J51" i="224"/>
  <c r="J33" i="224"/>
  <c r="J15" i="224"/>
  <c r="J61" i="224"/>
  <c r="J25" i="224"/>
  <c r="J43" i="224"/>
  <c r="J38" i="224"/>
  <c r="J56" i="224"/>
  <c r="J20" i="224"/>
  <c r="J34" i="224"/>
  <c r="J52" i="224"/>
  <c r="J16" i="224"/>
  <c r="J44" i="224"/>
  <c r="J62" i="224"/>
  <c r="J26" i="224"/>
  <c r="J42" i="224"/>
  <c r="J60" i="224"/>
  <c r="J24" i="224"/>
  <c r="J59" i="224"/>
  <c r="J23" i="224"/>
  <c r="J41" i="224"/>
  <c r="J49" i="224"/>
  <c r="J13" i="224"/>
  <c r="J31" i="224"/>
  <c r="J48" i="224"/>
  <c r="J12" i="224"/>
  <c r="J30" i="224"/>
  <c r="J54" i="191"/>
  <c r="J36" i="224"/>
  <c r="J54" i="224"/>
  <c r="J18" i="224"/>
  <c r="J28" i="220"/>
  <c r="J82" i="220"/>
  <c r="J64" i="220"/>
  <c r="J46" i="220"/>
  <c r="J80" i="217"/>
  <c r="J62" i="217"/>
  <c r="J44" i="217"/>
  <c r="J26" i="217"/>
  <c r="J48" i="216"/>
  <c r="J30" i="216"/>
  <c r="J66" i="216"/>
  <c r="J52" i="216"/>
  <c r="J16" i="216"/>
  <c r="J70" i="216"/>
  <c r="J34" i="216"/>
  <c r="J76" i="217"/>
  <c r="J58" i="217"/>
  <c r="J40" i="217"/>
  <c r="J22" i="217"/>
  <c r="J32" i="216"/>
  <c r="J68" i="216"/>
  <c r="J50" i="216"/>
  <c r="J148" i="211"/>
  <c r="J64" i="218"/>
  <c r="J28" i="218"/>
  <c r="J82" i="218"/>
  <c r="J46" i="218"/>
  <c r="J78" i="217"/>
  <c r="J60" i="217"/>
  <c r="J42" i="217"/>
  <c r="J24" i="217"/>
  <c r="J55" i="216"/>
  <c r="J73" i="216"/>
  <c r="J37" i="216"/>
  <c r="J74" i="217"/>
  <c r="J56" i="217"/>
  <c r="J38" i="217"/>
  <c r="J20" i="217"/>
  <c r="J82" i="219"/>
  <c r="J46" i="219"/>
  <c r="J64" i="219"/>
  <c r="J28" i="219"/>
  <c r="J80" i="216"/>
  <c r="J44" i="216"/>
  <c r="J62" i="216"/>
  <c r="J26" i="216"/>
  <c r="J12" i="217"/>
  <c r="J66" i="217"/>
  <c r="J48" i="217"/>
  <c r="J30" i="217"/>
  <c r="J70" i="217"/>
  <c r="J16" i="217"/>
  <c r="J52" i="217"/>
  <c r="J34" i="217"/>
  <c r="J58" i="216"/>
  <c r="J22" i="216"/>
  <c r="J76" i="216"/>
  <c r="J40" i="216"/>
  <c r="J68" i="217"/>
  <c r="J14" i="217"/>
  <c r="J50" i="217"/>
  <c r="J32" i="217"/>
  <c r="J77" i="216"/>
  <c r="J41" i="216"/>
  <c r="J59" i="216"/>
  <c r="J23" i="216"/>
  <c r="J28" i="169"/>
  <c r="E28" i="154"/>
  <c r="E16" i="152"/>
  <c r="J16" i="152" s="1"/>
  <c r="J34" i="152"/>
  <c r="J26" i="161"/>
  <c r="J22" i="161"/>
  <c r="J20" i="161"/>
  <c r="J18" i="161"/>
  <c r="J16" i="161"/>
  <c r="J21" i="161"/>
  <c r="J36" i="187"/>
  <c r="J39" i="190"/>
  <c r="J37" i="192"/>
  <c r="E20" i="216"/>
  <c r="E18" i="216"/>
  <c r="E82" i="152"/>
  <c r="J82" i="152" s="1"/>
  <c r="E64" i="152"/>
  <c r="J64" i="152" s="1"/>
  <c r="E28" i="216"/>
  <c r="E28" i="153"/>
  <c r="E27" i="152"/>
  <c r="J27" i="152" s="1"/>
  <c r="E25" i="152"/>
  <c r="E23" i="152"/>
  <c r="J23" i="152" s="1"/>
  <c r="E21" i="152"/>
  <c r="J21" i="152" s="1"/>
  <c r="E19" i="152"/>
  <c r="J19" i="152" s="1"/>
  <c r="E17" i="152"/>
  <c r="J17" i="152" s="1"/>
  <c r="E15" i="152"/>
  <c r="J15" i="152" s="1"/>
  <c r="E13" i="152"/>
  <c r="J13" i="152" s="1"/>
  <c r="E26" i="152"/>
  <c r="E24" i="152"/>
  <c r="E22" i="152"/>
  <c r="E14" i="216"/>
  <c r="J14" i="216" s="1"/>
  <c r="E12" i="216"/>
  <c r="J12" i="216" s="1"/>
  <c r="E28" i="217"/>
  <c r="E27" i="216"/>
  <c r="J27" i="216" s="1"/>
  <c r="E25" i="216"/>
  <c r="E23" i="216"/>
  <c r="E21" i="216"/>
  <c r="J21" i="216" s="1"/>
  <c r="E19" i="216"/>
  <c r="E17" i="216"/>
  <c r="J17" i="216" s="1"/>
  <c r="E15" i="216"/>
  <c r="J15" i="216" s="1"/>
  <c r="E13" i="216"/>
  <c r="E26" i="216"/>
  <c r="E24" i="216"/>
  <c r="E22" i="216"/>
  <c r="E16" i="216"/>
  <c r="E14" i="152"/>
  <c r="E12" i="152"/>
  <c r="J46" i="158"/>
  <c r="J23" i="146"/>
  <c r="J23" i="147"/>
  <c r="J23" i="149"/>
  <c r="H213" i="213"/>
  <c r="H215" i="213"/>
  <c r="H204" i="213"/>
  <c r="J12" i="205" s="1"/>
  <c r="H211" i="213"/>
  <c r="J112" i="211"/>
  <c r="J46" i="156"/>
  <c r="E28" i="134"/>
  <c r="H209" i="213"/>
  <c r="J53" i="205" s="1"/>
  <c r="J166" i="211"/>
  <c r="J76" i="211"/>
  <c r="J46" i="149" s="1"/>
  <c r="J46" i="157"/>
  <c r="E28" i="157"/>
  <c r="J28" i="157" s="1"/>
  <c r="J64" i="158"/>
  <c r="J46" i="162"/>
  <c r="J82" i="157"/>
  <c r="J64" i="157"/>
  <c r="J13" i="156"/>
  <c r="J26" i="157"/>
  <c r="J21" i="159"/>
  <c r="J14" i="155"/>
  <c r="J18" i="155"/>
  <c r="J64" i="163"/>
  <c r="J46" i="164"/>
  <c r="E28" i="162"/>
  <c r="J28" i="162" s="1"/>
  <c r="J82" i="158"/>
  <c r="J22" i="160"/>
  <c r="J22" i="162"/>
  <c r="J14" i="162"/>
  <c r="J21" i="182"/>
  <c r="J20" i="155"/>
  <c r="J23" i="182"/>
  <c r="J27" i="182"/>
  <c r="J26" i="155"/>
  <c r="J15" i="190"/>
  <c r="J51" i="190"/>
  <c r="J33" i="190"/>
  <c r="J30" i="190"/>
  <c r="J12" i="190"/>
  <c r="J48" i="190"/>
  <c r="J27" i="189"/>
  <c r="J63" i="189"/>
  <c r="J45" i="189"/>
  <c r="J43" i="189"/>
  <c r="J25" i="189"/>
  <c r="J61" i="189"/>
  <c r="J24" i="189"/>
  <c r="J60" i="189"/>
  <c r="J42" i="189"/>
  <c r="J41" i="189"/>
  <c r="J23" i="189"/>
  <c r="J59" i="189"/>
  <c r="J31" i="189"/>
  <c r="J13" i="189"/>
  <c r="J49" i="189"/>
  <c r="J12" i="189"/>
  <c r="J48" i="189"/>
  <c r="J30" i="189"/>
  <c r="J45" i="188"/>
  <c r="J27" i="188"/>
  <c r="J63" i="188"/>
  <c r="J42" i="188"/>
  <c r="J24" i="188"/>
  <c r="J60" i="188"/>
  <c r="J23" i="188"/>
  <c r="J59" i="188"/>
  <c r="J41" i="188"/>
  <c r="J40" i="188"/>
  <c r="J22" i="188"/>
  <c r="J58" i="188"/>
  <c r="J21" i="188"/>
  <c r="J57" i="188"/>
  <c r="J39" i="188"/>
  <c r="J39" i="187"/>
  <c r="J21" i="187"/>
  <c r="J57" i="187"/>
  <c r="J37" i="187"/>
  <c r="J19" i="187"/>
  <c r="J55" i="187"/>
  <c r="J33" i="187"/>
  <c r="J15" i="187"/>
  <c r="J51" i="187"/>
  <c r="J31" i="187"/>
  <c r="J13" i="187"/>
  <c r="J49" i="187"/>
  <c r="J12" i="187"/>
  <c r="J48" i="187"/>
  <c r="J30" i="187"/>
  <c r="J45" i="186"/>
  <c r="J27" i="186"/>
  <c r="J63" i="186"/>
  <c r="J38" i="186"/>
  <c r="J20" i="186"/>
  <c r="J56" i="186"/>
  <c r="J19" i="186"/>
  <c r="J55" i="186"/>
  <c r="J37" i="186"/>
  <c r="J60" i="182"/>
  <c r="J42" i="182"/>
  <c r="J24" i="182"/>
  <c r="J41" i="185"/>
  <c r="J23" i="185"/>
  <c r="J59" i="185"/>
  <c r="J58" i="182"/>
  <c r="J40" i="182"/>
  <c r="J22" i="182"/>
  <c r="J39" i="185"/>
  <c r="J21" i="185"/>
  <c r="J57" i="185"/>
  <c r="J50" i="182"/>
  <c r="J32" i="182"/>
  <c r="J14" i="182"/>
  <c r="J49" i="205"/>
  <c r="J12" i="185"/>
  <c r="J48" i="185"/>
  <c r="J30" i="185"/>
  <c r="H216" i="213"/>
  <c r="J24" i="185"/>
  <c r="J60" i="185"/>
  <c r="J42" i="185"/>
  <c r="J37" i="185"/>
  <c r="J19" i="185"/>
  <c r="J55" i="185"/>
  <c r="J35" i="185"/>
  <c r="J17" i="185"/>
  <c r="J53" i="185"/>
  <c r="J33" i="185"/>
  <c r="J15" i="185"/>
  <c r="J51" i="185"/>
  <c r="J31" i="185"/>
  <c r="J13" i="185"/>
  <c r="J49" i="185"/>
  <c r="J57" i="205"/>
  <c r="J38" i="192"/>
  <c r="J20" i="192"/>
  <c r="J56" i="192"/>
  <c r="J20" i="191"/>
  <c r="J56" i="191"/>
  <c r="J38" i="191"/>
  <c r="J20" i="189"/>
  <c r="J56" i="189"/>
  <c r="J38" i="189"/>
  <c r="J20" i="187"/>
  <c r="J56" i="187"/>
  <c r="J38" i="187"/>
  <c r="J34" i="190"/>
  <c r="J16" i="190"/>
  <c r="J52" i="190"/>
  <c r="J34" i="188"/>
  <c r="J16" i="188"/>
  <c r="J52" i="188"/>
  <c r="J34" i="186"/>
  <c r="J16" i="186"/>
  <c r="J52" i="186"/>
  <c r="J32" i="192"/>
  <c r="J14" i="192"/>
  <c r="J50" i="192"/>
  <c r="J32" i="190"/>
  <c r="J14" i="190"/>
  <c r="J50" i="190"/>
  <c r="J32" i="186"/>
  <c r="J14" i="186"/>
  <c r="J50" i="186"/>
  <c r="J41" i="205"/>
  <c r="J27" i="191"/>
  <c r="J63" i="191"/>
  <c r="J45" i="191"/>
  <c r="J35" i="191"/>
  <c r="J17" i="191"/>
  <c r="J53" i="191"/>
  <c r="J35" i="187"/>
  <c r="J17" i="187"/>
  <c r="J53" i="187"/>
  <c r="J14" i="189"/>
  <c r="J50" i="189"/>
  <c r="J32" i="189"/>
  <c r="J14" i="185"/>
  <c r="J50" i="185"/>
  <c r="J32" i="185"/>
  <c r="J40" i="192"/>
  <c r="J22" i="192"/>
  <c r="J58" i="192"/>
  <c r="J21" i="192"/>
  <c r="J57" i="192"/>
  <c r="J39" i="192"/>
  <c r="J13" i="192"/>
  <c r="J49" i="192"/>
  <c r="J31" i="192"/>
  <c r="J39" i="191"/>
  <c r="J21" i="191"/>
  <c r="J57" i="191"/>
  <c r="J37" i="191"/>
  <c r="J19" i="191"/>
  <c r="J55" i="191"/>
  <c r="J33" i="191"/>
  <c r="J15" i="191"/>
  <c r="J51" i="191"/>
  <c r="J24" i="190"/>
  <c r="J42" i="190"/>
  <c r="J60" i="190"/>
  <c r="J23" i="190"/>
  <c r="J59" i="190"/>
  <c r="J41" i="190"/>
  <c r="J22" i="190"/>
  <c r="J40" i="190"/>
  <c r="J58" i="190"/>
  <c r="H112" i="213"/>
  <c r="H22" i="213"/>
  <c r="J46" i="185" s="1"/>
  <c r="H207" i="213"/>
  <c r="J18" i="205"/>
  <c r="J54" i="205"/>
  <c r="J36" i="205"/>
  <c r="H94" i="213"/>
  <c r="H214" i="213"/>
  <c r="J16" i="185"/>
  <c r="J52" i="185"/>
  <c r="J34" i="185"/>
  <c r="J55" i="182"/>
  <c r="J37" i="182"/>
  <c r="J19" i="182"/>
  <c r="J53" i="182"/>
  <c r="J35" i="182"/>
  <c r="J17" i="182"/>
  <c r="J51" i="182"/>
  <c r="J33" i="182"/>
  <c r="J15" i="182"/>
  <c r="J49" i="182"/>
  <c r="J31" i="182"/>
  <c r="J13" i="182"/>
  <c r="H166" i="213"/>
  <c r="J166" i="213" s="1"/>
  <c r="J20" i="190"/>
  <c r="J38" i="190"/>
  <c r="J56" i="190"/>
  <c r="H76" i="213"/>
  <c r="J76" i="213" s="1"/>
  <c r="J38" i="188"/>
  <c r="J20" i="188"/>
  <c r="J56" i="188"/>
  <c r="J34" i="192"/>
  <c r="J16" i="192"/>
  <c r="J52" i="192"/>
  <c r="J16" i="191"/>
  <c r="J52" i="191"/>
  <c r="J34" i="191"/>
  <c r="J16" i="189"/>
  <c r="J52" i="189"/>
  <c r="J34" i="189"/>
  <c r="J16" i="187"/>
  <c r="J52" i="187"/>
  <c r="J34" i="187"/>
  <c r="I220" i="213"/>
  <c r="J34" i="206"/>
  <c r="J16" i="206"/>
  <c r="J52" i="206"/>
  <c r="J32" i="188"/>
  <c r="J14" i="188"/>
  <c r="J50" i="188"/>
  <c r="J27" i="190"/>
  <c r="J45" i="190"/>
  <c r="J63" i="190"/>
  <c r="J17" i="192"/>
  <c r="J53" i="192"/>
  <c r="J35" i="192"/>
  <c r="J35" i="189"/>
  <c r="J17" i="189"/>
  <c r="J53" i="189"/>
  <c r="J14" i="191"/>
  <c r="J50" i="191"/>
  <c r="J32" i="191"/>
  <c r="J14" i="187"/>
  <c r="J50" i="187"/>
  <c r="J32" i="187"/>
  <c r="J43" i="205"/>
  <c r="J42" i="192"/>
  <c r="J24" i="192"/>
  <c r="J60" i="192"/>
  <c r="J24" i="191"/>
  <c r="J60" i="191"/>
  <c r="J42" i="191"/>
  <c r="J41" i="191"/>
  <c r="J23" i="191"/>
  <c r="J59" i="191"/>
  <c r="J31" i="191"/>
  <c r="J13" i="191"/>
  <c r="J49" i="191"/>
  <c r="J12" i="191"/>
  <c r="J48" i="191"/>
  <c r="J30" i="191"/>
  <c r="J19" i="190"/>
  <c r="J55" i="190"/>
  <c r="J37" i="190"/>
  <c r="J39" i="189"/>
  <c r="J21" i="189"/>
  <c r="J57" i="189"/>
  <c r="J37" i="189"/>
  <c r="J19" i="189"/>
  <c r="J55" i="189"/>
  <c r="J33" i="189"/>
  <c r="J15" i="189"/>
  <c r="J51" i="189"/>
  <c r="J19" i="188"/>
  <c r="J55" i="188"/>
  <c r="J37" i="188"/>
  <c r="J36" i="188"/>
  <c r="J18" i="188"/>
  <c r="J54" i="188"/>
  <c r="J15" i="188"/>
  <c r="J51" i="188"/>
  <c r="J33" i="188"/>
  <c r="J30" i="188"/>
  <c r="J12" i="188"/>
  <c r="J48" i="188"/>
  <c r="J27" i="187"/>
  <c r="J63" i="187"/>
  <c r="J45" i="187"/>
  <c r="J43" i="187"/>
  <c r="J25" i="187"/>
  <c r="J61" i="187"/>
  <c r="J24" i="187"/>
  <c r="J60" i="187"/>
  <c r="J42" i="187"/>
  <c r="J41" i="187"/>
  <c r="J23" i="187"/>
  <c r="J59" i="187"/>
  <c r="J42" i="186"/>
  <c r="J24" i="186"/>
  <c r="J60" i="186"/>
  <c r="J23" i="186"/>
  <c r="J59" i="186"/>
  <c r="J41" i="186"/>
  <c r="J40" i="186"/>
  <c r="J22" i="186"/>
  <c r="J58" i="186"/>
  <c r="J15" i="186"/>
  <c r="J51" i="186"/>
  <c r="J33" i="186"/>
  <c r="J30" i="186"/>
  <c r="J12" i="186"/>
  <c r="J48" i="186"/>
  <c r="J27" i="185"/>
  <c r="J63" i="185"/>
  <c r="J45" i="185"/>
  <c r="J52" i="182"/>
  <c r="J34" i="182"/>
  <c r="J16" i="182"/>
  <c r="J48" i="182"/>
  <c r="J30" i="182"/>
  <c r="J12" i="182"/>
  <c r="J44" i="185"/>
  <c r="J26" i="185"/>
  <c r="J62" i="185"/>
  <c r="J28" i="202"/>
  <c r="J64" i="202"/>
  <c r="J46" i="202"/>
  <c r="J28" i="199"/>
  <c r="J64" i="199"/>
  <c r="J46" i="199"/>
  <c r="J28" i="186"/>
  <c r="J46" i="186"/>
  <c r="J64" i="192"/>
  <c r="J62" i="205"/>
  <c r="J46" i="200"/>
  <c r="J28" i="200"/>
  <c r="J64" i="200"/>
  <c r="J46" i="194"/>
  <c r="J28" i="194"/>
  <c r="J64" i="194"/>
  <c r="J46" i="203"/>
  <c r="J28" i="203"/>
  <c r="J64" i="203"/>
  <c r="J26" i="192"/>
  <c r="J62" i="192"/>
  <c r="J44" i="192"/>
  <c r="J44" i="191"/>
  <c r="J26" i="191"/>
  <c r="J62" i="191"/>
  <c r="J26" i="190"/>
  <c r="J62" i="190"/>
  <c r="J44" i="190"/>
  <c r="J44" i="189"/>
  <c r="J26" i="189"/>
  <c r="J62" i="189"/>
  <c r="J26" i="188"/>
  <c r="J62" i="188"/>
  <c r="J44" i="188"/>
  <c r="J44" i="187"/>
  <c r="J26" i="187"/>
  <c r="J62" i="187"/>
  <c r="J26" i="186"/>
  <c r="J62" i="186"/>
  <c r="J44" i="186"/>
  <c r="J62" i="182"/>
  <c r="J44" i="182"/>
  <c r="J26" i="182"/>
  <c r="E28" i="182"/>
  <c r="J78" i="154"/>
  <c r="J60" i="154"/>
  <c r="J42" i="154"/>
  <c r="J24" i="154"/>
  <c r="J78" i="151"/>
  <c r="J60" i="151"/>
  <c r="J42" i="151"/>
  <c r="J24" i="151"/>
  <c r="J78" i="147"/>
  <c r="J60" i="147"/>
  <c r="J42" i="147"/>
  <c r="J24" i="147"/>
  <c r="J78" i="146"/>
  <c r="J60" i="146"/>
  <c r="J42" i="146"/>
  <c r="J24" i="146"/>
  <c r="H130" i="213"/>
  <c r="H58" i="213"/>
  <c r="H206" i="213"/>
  <c r="H219" i="213"/>
  <c r="J60" i="153"/>
  <c r="J42" i="153"/>
  <c r="J24" i="153"/>
  <c r="J78" i="153"/>
  <c r="J78" i="150"/>
  <c r="J60" i="150"/>
  <c r="J42" i="150"/>
  <c r="J24" i="150"/>
  <c r="J78" i="149"/>
  <c r="J60" i="149"/>
  <c r="J42" i="149"/>
  <c r="J24" i="149"/>
  <c r="J60" i="148"/>
  <c r="J42" i="148"/>
  <c r="J24" i="148"/>
  <c r="J78" i="148"/>
  <c r="J22" i="211"/>
  <c r="J82" i="146" s="1"/>
  <c r="J50" i="154"/>
  <c r="J32" i="154"/>
  <c r="J14" i="154"/>
  <c r="J68" i="154"/>
  <c r="J68" i="153"/>
  <c r="J50" i="153"/>
  <c r="J32" i="153"/>
  <c r="J14" i="153"/>
  <c r="J50" i="150"/>
  <c r="J32" i="150"/>
  <c r="J14" i="150"/>
  <c r="J68" i="150"/>
  <c r="J68" i="148"/>
  <c r="J50" i="148"/>
  <c r="J32" i="148"/>
  <c r="J14" i="148"/>
  <c r="J68" i="146"/>
  <c r="J50" i="146"/>
  <c r="J32" i="146"/>
  <c r="J14" i="146"/>
  <c r="J64" i="162"/>
  <c r="J46" i="163"/>
  <c r="E82" i="149"/>
  <c r="E28" i="149" s="1"/>
  <c r="J68" i="151"/>
  <c r="J50" i="151"/>
  <c r="J32" i="151"/>
  <c r="J14" i="151"/>
  <c r="J68" i="149"/>
  <c r="J50" i="149"/>
  <c r="J32" i="149"/>
  <c r="J14" i="149"/>
  <c r="J68" i="147"/>
  <c r="J50" i="147"/>
  <c r="J14" i="147"/>
  <c r="J32" i="147"/>
  <c r="J76" i="154"/>
  <c r="J58" i="154"/>
  <c r="J22" i="154"/>
  <c r="J40" i="154"/>
  <c r="J40" i="153"/>
  <c r="J76" i="153"/>
  <c r="J58" i="153"/>
  <c r="J22" i="153"/>
  <c r="J76" i="150"/>
  <c r="J58" i="150"/>
  <c r="J22" i="150"/>
  <c r="J40" i="150"/>
  <c r="J76" i="149"/>
  <c r="J40" i="149"/>
  <c r="J58" i="149"/>
  <c r="J22" i="149"/>
  <c r="J76" i="147"/>
  <c r="J58" i="147"/>
  <c r="J40" i="147"/>
  <c r="J22" i="147"/>
  <c r="J64" i="156"/>
  <c r="E28" i="158"/>
  <c r="J58" i="151"/>
  <c r="J22" i="151"/>
  <c r="J76" i="151"/>
  <c r="J40" i="151"/>
  <c r="J40" i="148"/>
  <c r="J76" i="148"/>
  <c r="J58" i="148"/>
  <c r="J22" i="148"/>
  <c r="J76" i="146"/>
  <c r="J40" i="146"/>
  <c r="J58" i="146"/>
  <c r="J22" i="146"/>
  <c r="J52" i="154"/>
  <c r="J34" i="154"/>
  <c r="J16" i="154"/>
  <c r="J70" i="154"/>
  <c r="J70" i="153"/>
  <c r="J52" i="153"/>
  <c r="J34" i="153"/>
  <c r="J16" i="153"/>
  <c r="J52" i="150"/>
  <c r="J34" i="150"/>
  <c r="J16" i="150"/>
  <c r="J70" i="150"/>
  <c r="J70" i="149"/>
  <c r="J52" i="149"/>
  <c r="J34" i="149"/>
  <c r="J16" i="149"/>
  <c r="J70" i="147"/>
  <c r="J52" i="147"/>
  <c r="J16" i="147"/>
  <c r="J34" i="147"/>
  <c r="H208" i="213"/>
  <c r="J82" i="156"/>
  <c r="J70" i="151"/>
  <c r="J52" i="151"/>
  <c r="J34" i="151"/>
  <c r="J16" i="151"/>
  <c r="J70" i="148"/>
  <c r="J52" i="148"/>
  <c r="J34" i="148"/>
  <c r="J16" i="148"/>
  <c r="J70" i="146"/>
  <c r="J52" i="146"/>
  <c r="J34" i="146"/>
  <c r="J16" i="146"/>
  <c r="H212" i="213"/>
  <c r="J82" i="160"/>
  <c r="J64" i="160"/>
  <c r="J40" i="211"/>
  <c r="J28" i="164"/>
  <c r="J82" i="164"/>
  <c r="J28" i="163"/>
  <c r="J48" i="151"/>
  <c r="J12" i="151"/>
  <c r="J66" i="151"/>
  <c r="J30" i="151"/>
  <c r="J66" i="149"/>
  <c r="J30" i="149"/>
  <c r="J48" i="149"/>
  <c r="J12" i="149"/>
  <c r="J66" i="154"/>
  <c r="J48" i="154"/>
  <c r="J12" i="154"/>
  <c r="J30" i="154"/>
  <c r="J30" i="153"/>
  <c r="J66" i="153"/>
  <c r="J48" i="153"/>
  <c r="J12" i="153"/>
  <c r="J66" i="150"/>
  <c r="J48" i="150"/>
  <c r="J12" i="150"/>
  <c r="J30" i="150"/>
  <c r="J30" i="148"/>
  <c r="J66" i="148"/>
  <c r="J48" i="148"/>
  <c r="J12" i="148"/>
  <c r="J48" i="147"/>
  <c r="J30" i="147"/>
  <c r="J12" i="147"/>
  <c r="J66" i="147"/>
  <c r="J66" i="146"/>
  <c r="J30" i="146"/>
  <c r="J48" i="146"/>
  <c r="J12" i="146"/>
  <c r="E46" i="151"/>
  <c r="E28" i="151" s="1"/>
  <c r="E28" i="160"/>
  <c r="E28" i="159"/>
  <c r="J82" i="159"/>
  <c r="J82" i="155"/>
  <c r="J64" i="159"/>
  <c r="J64" i="155"/>
  <c r="J46" i="159"/>
  <c r="E46" i="147"/>
  <c r="E28" i="147" s="1"/>
  <c r="E28" i="156"/>
  <c r="J64" i="154"/>
  <c r="J46" i="150"/>
  <c r="J82" i="148"/>
  <c r="J64" i="148"/>
  <c r="J46" i="148"/>
  <c r="J64" i="171"/>
  <c r="J82" i="171"/>
  <c r="J46" i="171"/>
  <c r="J64" i="167"/>
  <c r="J82" i="167"/>
  <c r="J46" i="167"/>
  <c r="J64" i="165"/>
  <c r="J82" i="165"/>
  <c r="J46" i="165"/>
  <c r="J28" i="171"/>
  <c r="J28" i="165"/>
  <c r="E28" i="148"/>
  <c r="E46" i="152"/>
  <c r="E28" i="161"/>
  <c r="J28" i="161" s="1"/>
  <c r="J44" i="154"/>
  <c r="J26" i="154"/>
  <c r="J80" i="154"/>
  <c r="J62" i="154"/>
  <c r="J80" i="153"/>
  <c r="J62" i="153"/>
  <c r="J44" i="153"/>
  <c r="J26" i="153"/>
  <c r="J44" i="150"/>
  <c r="J26" i="150"/>
  <c r="J80" i="150"/>
  <c r="J62" i="150"/>
  <c r="J80" i="149"/>
  <c r="J62" i="149"/>
  <c r="J44" i="149"/>
  <c r="J26" i="149"/>
  <c r="J62" i="147"/>
  <c r="J44" i="147"/>
  <c r="J80" i="147"/>
  <c r="J26" i="147"/>
  <c r="J46" i="170"/>
  <c r="J64" i="170"/>
  <c r="J82" i="170"/>
  <c r="J46" i="168"/>
  <c r="J82" i="168"/>
  <c r="J64" i="168"/>
  <c r="J46" i="166"/>
  <c r="J82" i="166"/>
  <c r="J64" i="166"/>
  <c r="J28" i="167"/>
  <c r="J28" i="170"/>
  <c r="J28" i="166"/>
  <c r="E28" i="150"/>
  <c r="E46" i="146"/>
  <c r="E28" i="146" s="1"/>
  <c r="E28" i="155"/>
  <c r="J80" i="151"/>
  <c r="J62" i="151"/>
  <c r="J44" i="151"/>
  <c r="J26" i="151"/>
  <c r="J80" i="148"/>
  <c r="J62" i="148"/>
  <c r="J44" i="148"/>
  <c r="J26" i="148"/>
  <c r="J80" i="146"/>
  <c r="J62" i="146"/>
  <c r="J44" i="146"/>
  <c r="J26" i="146"/>
  <c r="D48" i="169"/>
  <c r="I48" i="169" s="1"/>
  <c r="J64" i="150" l="1"/>
  <c r="J31" i="205"/>
  <c r="J26" i="205"/>
  <c r="J202" i="213"/>
  <c r="J64" i="181" s="1"/>
  <c r="J64" i="186"/>
  <c r="J28" i="154"/>
  <c r="J22" i="213"/>
  <c r="J61" i="205"/>
  <c r="J82" i="154"/>
  <c r="J46" i="192"/>
  <c r="J64" i="206"/>
  <c r="J28" i="188"/>
  <c r="J28" i="185"/>
  <c r="J17" i="205"/>
  <c r="J37" i="205"/>
  <c r="J23" i="205"/>
  <c r="J46" i="189"/>
  <c r="J112" i="213"/>
  <c r="J64" i="178" s="1"/>
  <c r="J48" i="205"/>
  <c r="J21" i="205"/>
  <c r="J82" i="151"/>
  <c r="J64" i="147"/>
  <c r="J64" i="146"/>
  <c r="J64" i="149"/>
  <c r="J39" i="205"/>
  <c r="J30" i="205"/>
  <c r="J28" i="206"/>
  <c r="J28" i="153"/>
  <c r="J46" i="190"/>
  <c r="J59" i="205"/>
  <c r="J19" i="205"/>
  <c r="J35" i="205"/>
  <c r="J28" i="216"/>
  <c r="J46" i="224"/>
  <c r="J64" i="224"/>
  <c r="J28" i="224"/>
  <c r="J64" i="223"/>
  <c r="J46" i="223"/>
  <c r="J82" i="216"/>
  <c r="J64" i="216"/>
  <c r="J46" i="216"/>
  <c r="J46" i="180"/>
  <c r="J28" i="223"/>
  <c r="J64" i="153"/>
  <c r="J82" i="217"/>
  <c r="J64" i="217"/>
  <c r="J46" i="217"/>
  <c r="J28" i="217"/>
  <c r="E28" i="152"/>
  <c r="J28" i="152" s="1"/>
  <c r="J46" i="152"/>
  <c r="J12" i="152"/>
  <c r="J22" i="152"/>
  <c r="J26" i="152"/>
  <c r="J14" i="152"/>
  <c r="J46" i="206"/>
  <c r="J64" i="188"/>
  <c r="J64" i="185"/>
  <c r="J55" i="205"/>
  <c r="J64" i="151"/>
  <c r="J94" i="213"/>
  <c r="J130" i="213"/>
  <c r="J82" i="153"/>
  <c r="J64" i="180"/>
  <c r="J46" i="188"/>
  <c r="J28" i="180"/>
  <c r="J82" i="149"/>
  <c r="J46" i="153"/>
  <c r="H220" i="213"/>
  <c r="J28" i="190"/>
  <c r="J28" i="189"/>
  <c r="J28" i="146"/>
  <c r="J28" i="159"/>
  <c r="J28" i="151"/>
  <c r="J28" i="158"/>
  <c r="J28" i="149"/>
  <c r="J28" i="155"/>
  <c r="J28" i="150"/>
  <c r="J28" i="148"/>
  <c r="J28" i="156"/>
  <c r="J28" i="160"/>
  <c r="J20" i="205"/>
  <c r="J56" i="205"/>
  <c r="J38" i="205"/>
  <c r="J14" i="205"/>
  <c r="J50" i="205"/>
  <c r="J32" i="205"/>
  <c r="J33" i="205"/>
  <c r="J15" i="205"/>
  <c r="J51" i="205"/>
  <c r="J24" i="205"/>
  <c r="J60" i="205"/>
  <c r="J42" i="205"/>
  <c r="J16" i="205"/>
  <c r="J52" i="205"/>
  <c r="J34" i="205"/>
  <c r="J27" i="205"/>
  <c r="J63" i="205"/>
  <c r="J45" i="205"/>
  <c r="J64" i="190"/>
  <c r="J64" i="189"/>
  <c r="J22" i="205"/>
  <c r="J58" i="205"/>
  <c r="J40" i="205"/>
  <c r="J220" i="213"/>
  <c r="J46" i="191"/>
  <c r="J28" i="191"/>
  <c r="J64" i="191"/>
  <c r="J64" i="176"/>
  <c r="J46" i="176"/>
  <c r="J28" i="176"/>
  <c r="J46" i="183"/>
  <c r="J64" i="173"/>
  <c r="J46" i="173"/>
  <c r="J28" i="173"/>
  <c r="J58" i="213"/>
  <c r="J46" i="187"/>
  <c r="J28" i="187"/>
  <c r="J64" i="187"/>
  <c r="J64" i="174"/>
  <c r="J46" i="174"/>
  <c r="J28" i="174"/>
  <c r="J46" i="147"/>
  <c r="J82" i="147"/>
  <c r="J46" i="151"/>
  <c r="J28" i="147"/>
  <c r="J46" i="146"/>
  <c r="E28" i="215"/>
  <c r="D28" i="215"/>
  <c r="E27" i="215"/>
  <c r="D27" i="215"/>
  <c r="D26" i="215" s="1"/>
  <c r="G201" i="213"/>
  <c r="F201" i="213"/>
  <c r="G200" i="213"/>
  <c r="F200" i="213"/>
  <c r="G199" i="213"/>
  <c r="F199" i="213"/>
  <c r="G198" i="213"/>
  <c r="F198" i="213"/>
  <c r="G197" i="213"/>
  <c r="F197" i="213"/>
  <c r="G196" i="213"/>
  <c r="F196" i="213"/>
  <c r="G195" i="213"/>
  <c r="F195" i="213"/>
  <c r="G194" i="213"/>
  <c r="F194" i="213"/>
  <c r="G193" i="213"/>
  <c r="F193" i="213"/>
  <c r="G192" i="213"/>
  <c r="F192" i="213"/>
  <c r="G191" i="213"/>
  <c r="F191" i="213"/>
  <c r="G190" i="213"/>
  <c r="F190" i="213"/>
  <c r="G189" i="213"/>
  <c r="F189" i="213"/>
  <c r="G188" i="213"/>
  <c r="F188" i="213"/>
  <c r="G187" i="213"/>
  <c r="F187" i="213"/>
  <c r="G165" i="213"/>
  <c r="F165" i="213"/>
  <c r="G164" i="213"/>
  <c r="F164" i="213"/>
  <c r="G163" i="213"/>
  <c r="F163" i="213"/>
  <c r="G162" i="213"/>
  <c r="F162" i="213"/>
  <c r="G161" i="213"/>
  <c r="F161" i="213"/>
  <c r="G160" i="213"/>
  <c r="F160" i="213"/>
  <c r="G159" i="213"/>
  <c r="F159" i="213"/>
  <c r="G158" i="213"/>
  <c r="F158" i="213"/>
  <c r="G157" i="213"/>
  <c r="F157" i="213"/>
  <c r="G156" i="213"/>
  <c r="F156" i="213"/>
  <c r="G155" i="213"/>
  <c r="F155" i="213"/>
  <c r="G154" i="213"/>
  <c r="F154" i="213"/>
  <c r="G153" i="213"/>
  <c r="F153" i="213"/>
  <c r="G152" i="213"/>
  <c r="F152" i="213"/>
  <c r="G151" i="213"/>
  <c r="F151" i="213"/>
  <c r="G150" i="213"/>
  <c r="F150" i="213"/>
  <c r="G129" i="213"/>
  <c r="F129" i="213"/>
  <c r="G128" i="213"/>
  <c r="F128" i="213"/>
  <c r="G127" i="213"/>
  <c r="F127" i="213"/>
  <c r="G126" i="213"/>
  <c r="F126" i="213"/>
  <c r="G125" i="213"/>
  <c r="F125" i="213"/>
  <c r="G124" i="213"/>
  <c r="F124" i="213"/>
  <c r="G123" i="213"/>
  <c r="F123" i="213"/>
  <c r="G122" i="213"/>
  <c r="F122" i="213"/>
  <c r="G121" i="213"/>
  <c r="F121" i="213"/>
  <c r="G120" i="213"/>
  <c r="F120" i="213"/>
  <c r="G119" i="213"/>
  <c r="F119" i="213"/>
  <c r="G118" i="213"/>
  <c r="F118" i="213"/>
  <c r="G117" i="213"/>
  <c r="F117" i="213"/>
  <c r="G116" i="213"/>
  <c r="F116" i="213"/>
  <c r="G115" i="213"/>
  <c r="F115" i="213"/>
  <c r="G114" i="213"/>
  <c r="F114" i="213"/>
  <c r="G111" i="213"/>
  <c r="F111" i="213"/>
  <c r="G110" i="213"/>
  <c r="F110" i="213"/>
  <c r="G109" i="213"/>
  <c r="F109" i="213"/>
  <c r="G108" i="213"/>
  <c r="F108" i="213"/>
  <c r="G107" i="213"/>
  <c r="F107" i="213"/>
  <c r="G106" i="213"/>
  <c r="F106" i="213"/>
  <c r="G105" i="213"/>
  <c r="F105" i="213"/>
  <c r="G104" i="213"/>
  <c r="F104" i="213"/>
  <c r="G103" i="213"/>
  <c r="F103" i="213"/>
  <c r="G102" i="213"/>
  <c r="F102" i="213"/>
  <c r="G101" i="213"/>
  <c r="F101" i="213"/>
  <c r="G100" i="213"/>
  <c r="F100" i="213"/>
  <c r="G99" i="213"/>
  <c r="F99" i="213"/>
  <c r="G98" i="213"/>
  <c r="F98" i="213"/>
  <c r="G97" i="213"/>
  <c r="F97" i="213"/>
  <c r="G96" i="213"/>
  <c r="F96" i="213"/>
  <c r="G93" i="213"/>
  <c r="F93" i="213"/>
  <c r="G92" i="213"/>
  <c r="F92" i="213"/>
  <c r="G91" i="213"/>
  <c r="F91" i="213"/>
  <c r="G90" i="213"/>
  <c r="F90" i="213"/>
  <c r="G89" i="213"/>
  <c r="F89" i="213"/>
  <c r="G88" i="213"/>
  <c r="F88" i="213"/>
  <c r="G87" i="213"/>
  <c r="F87" i="213"/>
  <c r="G86" i="213"/>
  <c r="F86" i="213"/>
  <c r="G85" i="213"/>
  <c r="F85" i="213"/>
  <c r="G84" i="213"/>
  <c r="F84" i="213"/>
  <c r="G83" i="213"/>
  <c r="F83" i="213"/>
  <c r="G82" i="213"/>
  <c r="F82" i="213"/>
  <c r="G81" i="213"/>
  <c r="F81" i="213"/>
  <c r="G80" i="213"/>
  <c r="F80" i="213"/>
  <c r="G79" i="213"/>
  <c r="F79" i="213"/>
  <c r="G78" i="213"/>
  <c r="F78" i="213"/>
  <c r="G75" i="213"/>
  <c r="F75" i="213"/>
  <c r="G74" i="213"/>
  <c r="F74" i="213"/>
  <c r="G73" i="213"/>
  <c r="F73" i="213"/>
  <c r="G72" i="213"/>
  <c r="F72" i="213"/>
  <c r="G71" i="213"/>
  <c r="F71" i="213"/>
  <c r="G70" i="213"/>
  <c r="F70" i="213"/>
  <c r="G69" i="213"/>
  <c r="F69" i="213"/>
  <c r="G68" i="213"/>
  <c r="F68" i="213"/>
  <c r="G67" i="213"/>
  <c r="F67" i="213"/>
  <c r="G66" i="213"/>
  <c r="F66" i="213"/>
  <c r="G65" i="213"/>
  <c r="F65" i="213"/>
  <c r="G64" i="213"/>
  <c r="F64" i="213"/>
  <c r="G63" i="213"/>
  <c r="F63" i="213"/>
  <c r="G62" i="213"/>
  <c r="F62" i="213"/>
  <c r="G61" i="213"/>
  <c r="F61" i="213"/>
  <c r="G60" i="213"/>
  <c r="F60" i="213"/>
  <c r="G57" i="213"/>
  <c r="F57" i="213"/>
  <c r="G56" i="213"/>
  <c r="F56" i="213"/>
  <c r="G55" i="213"/>
  <c r="F55" i="213"/>
  <c r="G54" i="213"/>
  <c r="F54" i="213"/>
  <c r="G53" i="213"/>
  <c r="F53" i="213"/>
  <c r="G52" i="213"/>
  <c r="F52" i="213"/>
  <c r="G51" i="213"/>
  <c r="F51" i="213"/>
  <c r="G50" i="213"/>
  <c r="F50" i="213"/>
  <c r="G49" i="213"/>
  <c r="F49" i="213"/>
  <c r="G48" i="213"/>
  <c r="F48" i="213"/>
  <c r="G47" i="213"/>
  <c r="F47" i="213"/>
  <c r="G46" i="213"/>
  <c r="F46" i="213"/>
  <c r="G45" i="213"/>
  <c r="F45" i="213"/>
  <c r="G44" i="213"/>
  <c r="F44" i="213"/>
  <c r="G43" i="213"/>
  <c r="F43" i="213"/>
  <c r="G42" i="213"/>
  <c r="F42" i="213"/>
  <c r="G39" i="213"/>
  <c r="F39" i="213"/>
  <c r="G38" i="213"/>
  <c r="F38" i="213"/>
  <c r="G37" i="213"/>
  <c r="F37" i="213"/>
  <c r="G36" i="213"/>
  <c r="F36" i="213"/>
  <c r="G35" i="213"/>
  <c r="F35" i="213"/>
  <c r="G34" i="213"/>
  <c r="F34" i="213"/>
  <c r="G33" i="213"/>
  <c r="F33" i="213"/>
  <c r="G32" i="213"/>
  <c r="F32" i="213"/>
  <c r="G31" i="213"/>
  <c r="F31" i="213"/>
  <c r="G30" i="213"/>
  <c r="F30" i="213"/>
  <c r="G29" i="213"/>
  <c r="F29" i="213"/>
  <c r="G28" i="213"/>
  <c r="F28" i="213"/>
  <c r="G27" i="213"/>
  <c r="F27" i="213"/>
  <c r="G26" i="213"/>
  <c r="F26" i="213"/>
  <c r="G25" i="213"/>
  <c r="F25" i="213"/>
  <c r="G24" i="213"/>
  <c r="F24" i="213"/>
  <c r="G21" i="213"/>
  <c r="F21" i="213"/>
  <c r="G20" i="213"/>
  <c r="F20" i="213"/>
  <c r="G19" i="213"/>
  <c r="F19" i="213"/>
  <c r="G18" i="213"/>
  <c r="F18" i="213"/>
  <c r="G17" i="213"/>
  <c r="F17" i="213"/>
  <c r="G16" i="213"/>
  <c r="F16" i="213"/>
  <c r="G15" i="213"/>
  <c r="F15" i="213"/>
  <c r="G14" i="213"/>
  <c r="F14" i="213"/>
  <c r="G13" i="213"/>
  <c r="F13" i="213"/>
  <c r="G12" i="213"/>
  <c r="F12" i="213"/>
  <c r="G11" i="213"/>
  <c r="F11" i="213"/>
  <c r="G10" i="213"/>
  <c r="F10" i="213"/>
  <c r="G9" i="213"/>
  <c r="F9" i="213"/>
  <c r="G8" i="213"/>
  <c r="F8" i="213"/>
  <c r="G7" i="213"/>
  <c r="F7" i="213"/>
  <c r="G6" i="213"/>
  <c r="F6" i="213"/>
  <c r="J46" i="181" l="1"/>
  <c r="J28" i="181"/>
  <c r="J46" i="178"/>
  <c r="J28" i="178"/>
  <c r="J64" i="183"/>
  <c r="J28" i="205"/>
  <c r="J64" i="177"/>
  <c r="J28" i="177"/>
  <c r="J28" i="183"/>
  <c r="J46" i="177"/>
  <c r="I48" i="226"/>
  <c r="I30" i="226"/>
  <c r="I12" i="226"/>
  <c r="I13" i="226"/>
  <c r="I49" i="226"/>
  <c r="I31" i="226"/>
  <c r="I14" i="226"/>
  <c r="I32" i="226"/>
  <c r="I50" i="226"/>
  <c r="I15" i="226"/>
  <c r="I51" i="226"/>
  <c r="I33" i="226"/>
  <c r="I16" i="226"/>
  <c r="I34" i="226"/>
  <c r="I52" i="226"/>
  <c r="I17" i="226"/>
  <c r="I53" i="226"/>
  <c r="I35" i="226"/>
  <c r="I18" i="226"/>
  <c r="I36" i="226"/>
  <c r="I54" i="226"/>
  <c r="I19" i="226"/>
  <c r="I55" i="226"/>
  <c r="I37" i="226"/>
  <c r="I20" i="226"/>
  <c r="I38" i="226"/>
  <c r="I56" i="226"/>
  <c r="I21" i="226"/>
  <c r="I57" i="226"/>
  <c r="I39" i="226"/>
  <c r="I22" i="226"/>
  <c r="I40" i="226"/>
  <c r="I58" i="226"/>
  <c r="I23" i="226"/>
  <c r="I59" i="226"/>
  <c r="I41" i="226"/>
  <c r="I24" i="226"/>
  <c r="I42" i="226"/>
  <c r="I60" i="226"/>
  <c r="I25" i="226"/>
  <c r="I61" i="226"/>
  <c r="I43" i="226"/>
  <c r="I26" i="226"/>
  <c r="I44" i="226"/>
  <c r="I62" i="226"/>
  <c r="I27" i="226"/>
  <c r="I63" i="226"/>
  <c r="I45" i="226"/>
  <c r="I30" i="223"/>
  <c r="I48" i="223"/>
  <c r="I31" i="223"/>
  <c r="I49" i="223"/>
  <c r="I32" i="223"/>
  <c r="I50" i="223"/>
  <c r="I33" i="223"/>
  <c r="I51" i="223"/>
  <c r="I34" i="223"/>
  <c r="I52" i="223"/>
  <c r="I35" i="223"/>
  <c r="I53" i="223"/>
  <c r="I36" i="223"/>
  <c r="I54" i="223"/>
  <c r="I37" i="223"/>
  <c r="I55" i="223"/>
  <c r="I38" i="223"/>
  <c r="I56" i="223"/>
  <c r="I39" i="223"/>
  <c r="I57" i="223"/>
  <c r="I40" i="223"/>
  <c r="I58" i="223"/>
  <c r="I41" i="223"/>
  <c r="I59" i="223"/>
  <c r="I42" i="223"/>
  <c r="I60" i="223"/>
  <c r="I43" i="223"/>
  <c r="I61" i="223"/>
  <c r="I44" i="223"/>
  <c r="I62" i="223"/>
  <c r="I45" i="223"/>
  <c r="I63" i="223"/>
  <c r="I30" i="225"/>
  <c r="I48" i="225"/>
  <c r="I12" i="225"/>
  <c r="I13" i="225"/>
  <c r="I31" i="225"/>
  <c r="I49" i="225"/>
  <c r="I50" i="225"/>
  <c r="I32" i="225"/>
  <c r="I14" i="225"/>
  <c r="I33" i="225"/>
  <c r="I15" i="225"/>
  <c r="I51" i="225"/>
  <c r="I16" i="225"/>
  <c r="I52" i="225"/>
  <c r="I34" i="225"/>
  <c r="I35" i="225"/>
  <c r="I53" i="225"/>
  <c r="I17" i="225"/>
  <c r="I54" i="225"/>
  <c r="I36" i="225"/>
  <c r="I18" i="225"/>
  <c r="I37" i="225"/>
  <c r="I19" i="225"/>
  <c r="I55" i="225"/>
  <c r="I56" i="225"/>
  <c r="I38" i="225"/>
  <c r="I20" i="225"/>
  <c r="I21" i="225"/>
  <c r="I39" i="225"/>
  <c r="I57" i="225"/>
  <c r="I58" i="225"/>
  <c r="I22" i="225"/>
  <c r="I40" i="225"/>
  <c r="I23" i="225"/>
  <c r="I41" i="225"/>
  <c r="I59" i="225"/>
  <c r="I60" i="225"/>
  <c r="I24" i="225"/>
  <c r="I42" i="225"/>
  <c r="I62" i="225"/>
  <c r="I26" i="225"/>
  <c r="I44" i="225"/>
  <c r="I45" i="225"/>
  <c r="I63" i="225"/>
  <c r="I27" i="225"/>
  <c r="I48" i="222"/>
  <c r="I30" i="222"/>
  <c r="I49" i="222"/>
  <c r="I31" i="222"/>
  <c r="I13" i="222"/>
  <c r="I50" i="222"/>
  <c r="I32" i="222"/>
  <c r="I51" i="222"/>
  <c r="I33" i="222"/>
  <c r="I52" i="222"/>
  <c r="I34" i="222"/>
  <c r="I16" i="222"/>
  <c r="I53" i="222"/>
  <c r="I35" i="222"/>
  <c r="I55" i="222"/>
  <c r="I37" i="222"/>
  <c r="I19" i="222"/>
  <c r="I57" i="222"/>
  <c r="I39" i="222"/>
  <c r="I58" i="222"/>
  <c r="I40" i="222"/>
  <c r="I22" i="222"/>
  <c r="I59" i="222"/>
  <c r="I41" i="222"/>
  <c r="I23" i="222"/>
  <c r="I60" i="222"/>
  <c r="I42" i="222"/>
  <c r="I24" i="222"/>
  <c r="I62" i="222"/>
  <c r="I44" i="222"/>
  <c r="I26" i="222"/>
  <c r="I63" i="222"/>
  <c r="I45" i="222"/>
  <c r="J64" i="222"/>
  <c r="J46" i="222"/>
  <c r="J28" i="222"/>
  <c r="J46" i="205"/>
  <c r="J64" i="205"/>
  <c r="J64" i="175"/>
  <c r="J46" i="175"/>
  <c r="J28" i="175"/>
  <c r="J64" i="182"/>
  <c r="J46" i="182"/>
  <c r="J28" i="182"/>
  <c r="F22" i="213"/>
  <c r="F40" i="213"/>
  <c r="F58" i="213"/>
  <c r="F76" i="213"/>
  <c r="F94" i="213"/>
  <c r="F112" i="213"/>
  <c r="F130" i="213"/>
  <c r="F166" i="213"/>
  <c r="F202" i="213"/>
  <c r="F28" i="215"/>
  <c r="I28" i="136" s="1"/>
  <c r="F27" i="215"/>
  <c r="I28" i="135" s="1"/>
  <c r="E26" i="215"/>
  <c r="I16" i="174"/>
  <c r="I34" i="174"/>
  <c r="I52" i="174"/>
  <c r="I19" i="174"/>
  <c r="I37" i="174"/>
  <c r="I55" i="174"/>
  <c r="I20" i="174"/>
  <c r="I38" i="174"/>
  <c r="I56" i="174"/>
  <c r="I21" i="174"/>
  <c r="I39" i="174"/>
  <c r="I57" i="174"/>
  <c r="I22" i="174"/>
  <c r="I40" i="174"/>
  <c r="I58" i="174"/>
  <c r="I23" i="174"/>
  <c r="I41" i="174"/>
  <c r="I59" i="174"/>
  <c r="I24" i="174"/>
  <c r="I42" i="174"/>
  <c r="I60" i="174"/>
  <c r="I25" i="174"/>
  <c r="I43" i="174"/>
  <c r="I61" i="174"/>
  <c r="I26" i="174"/>
  <c r="I44" i="174"/>
  <c r="I62" i="174"/>
  <c r="I27" i="174"/>
  <c r="I45" i="174"/>
  <c r="I63" i="174"/>
  <c r="I51" i="175"/>
  <c r="I33" i="175"/>
  <c r="I15" i="175"/>
  <c r="I16" i="175"/>
  <c r="I52" i="175"/>
  <c r="I34" i="175"/>
  <c r="I53" i="175"/>
  <c r="I35" i="175"/>
  <c r="I17" i="175"/>
  <c r="I19" i="175"/>
  <c r="I55" i="175"/>
  <c r="I37" i="175"/>
  <c r="I24" i="175"/>
  <c r="I60" i="175"/>
  <c r="I42" i="175"/>
  <c r="I61" i="175"/>
  <c r="I43" i="175"/>
  <c r="I25" i="175"/>
  <c r="I63" i="175"/>
  <c r="I45" i="175"/>
  <c r="I27" i="175"/>
  <c r="I48" i="176"/>
  <c r="I30" i="176"/>
  <c r="I12" i="176"/>
  <c r="I49" i="176"/>
  <c r="I31" i="176"/>
  <c r="I13" i="176"/>
  <c r="I50" i="176"/>
  <c r="I32" i="176"/>
  <c r="I14" i="176"/>
  <c r="I53" i="176"/>
  <c r="I35" i="176"/>
  <c r="I17" i="176"/>
  <c r="I51" i="177"/>
  <c r="I15" i="177"/>
  <c r="I33" i="177"/>
  <c r="I34" i="177"/>
  <c r="I52" i="177"/>
  <c r="I16" i="177"/>
  <c r="I53" i="177"/>
  <c r="I17" i="177"/>
  <c r="I35" i="177"/>
  <c r="I37" i="177"/>
  <c r="I55" i="177"/>
  <c r="I19" i="177"/>
  <c r="I42" i="177"/>
  <c r="I60" i="177"/>
  <c r="I24" i="177"/>
  <c r="I61" i="177"/>
  <c r="I25" i="177"/>
  <c r="I43" i="177"/>
  <c r="I63" i="177"/>
  <c r="I27" i="177"/>
  <c r="I45" i="177"/>
  <c r="I60" i="183"/>
  <c r="I42" i="183"/>
  <c r="I24" i="183"/>
  <c r="I30" i="195"/>
  <c r="I12" i="195"/>
  <c r="I48" i="195"/>
  <c r="I13" i="195"/>
  <c r="I49" i="195"/>
  <c r="I31" i="195"/>
  <c r="I34" i="195"/>
  <c r="I16" i="195"/>
  <c r="I52" i="195"/>
  <c r="I19" i="195"/>
  <c r="I55" i="195"/>
  <c r="I37" i="195"/>
  <c r="I38" i="195"/>
  <c r="I20" i="195"/>
  <c r="I56" i="195"/>
  <c r="I21" i="195"/>
  <c r="I57" i="195"/>
  <c r="I39" i="195"/>
  <c r="I40" i="195"/>
  <c r="I22" i="195"/>
  <c r="I58" i="195"/>
  <c r="I23" i="195"/>
  <c r="I59" i="195"/>
  <c r="I41" i="195"/>
  <c r="I42" i="195"/>
  <c r="I24" i="195"/>
  <c r="I60" i="195"/>
  <c r="I25" i="195"/>
  <c r="I61" i="195"/>
  <c r="I43" i="195"/>
  <c r="I44" i="195"/>
  <c r="I26" i="195"/>
  <c r="I62" i="195"/>
  <c r="I27" i="195"/>
  <c r="I63" i="195"/>
  <c r="I45" i="195"/>
  <c r="I33" i="196"/>
  <c r="I15" i="196"/>
  <c r="I51" i="196"/>
  <c r="I16" i="196"/>
  <c r="I52" i="196"/>
  <c r="I34" i="196"/>
  <c r="I35" i="196"/>
  <c r="I17" i="196"/>
  <c r="I53" i="196"/>
  <c r="I37" i="196"/>
  <c r="I19" i="196"/>
  <c r="I55" i="196"/>
  <c r="I24" i="196"/>
  <c r="I60" i="196"/>
  <c r="I42" i="196"/>
  <c r="I43" i="196"/>
  <c r="I25" i="196"/>
  <c r="I61" i="196"/>
  <c r="I26" i="196"/>
  <c r="I62" i="196"/>
  <c r="I44" i="196"/>
  <c r="I45" i="196"/>
  <c r="I27" i="196"/>
  <c r="I63" i="196"/>
  <c r="I30" i="197"/>
  <c r="I12" i="197"/>
  <c r="I48" i="197"/>
  <c r="I13" i="197"/>
  <c r="I49" i="197"/>
  <c r="I31" i="197"/>
  <c r="I32" i="197"/>
  <c r="I14" i="197"/>
  <c r="I50" i="197"/>
  <c r="I17" i="197"/>
  <c r="I53" i="197"/>
  <c r="I35" i="197"/>
  <c r="I36" i="197"/>
  <c r="I18" i="197"/>
  <c r="I54" i="197"/>
  <c r="I33" i="198"/>
  <c r="I15" i="198"/>
  <c r="I51" i="198"/>
  <c r="I16" i="198"/>
  <c r="I52" i="198"/>
  <c r="I34" i="198"/>
  <c r="I35" i="198"/>
  <c r="I17" i="198"/>
  <c r="I53" i="198"/>
  <c r="I37" i="198"/>
  <c r="I19" i="198"/>
  <c r="I55" i="198"/>
  <c r="I24" i="198"/>
  <c r="I60" i="198"/>
  <c r="I42" i="198"/>
  <c r="I43" i="198"/>
  <c r="I25" i="198"/>
  <c r="I61" i="198"/>
  <c r="I45" i="198"/>
  <c r="I27" i="198"/>
  <c r="I63" i="198"/>
  <c r="I31" i="200"/>
  <c r="I13" i="200"/>
  <c r="I49" i="200"/>
  <c r="I24" i="200"/>
  <c r="I60" i="200"/>
  <c r="I42" i="200"/>
  <c r="F26" i="215"/>
  <c r="I28" i="134" s="1"/>
  <c r="E6" i="213"/>
  <c r="E7" i="213"/>
  <c r="E8" i="213"/>
  <c r="E9" i="213"/>
  <c r="E10" i="213"/>
  <c r="E11" i="213"/>
  <c r="E12" i="213"/>
  <c r="E13" i="213"/>
  <c r="E14" i="213"/>
  <c r="E15" i="213"/>
  <c r="E16" i="213"/>
  <c r="E17" i="213"/>
  <c r="E18" i="213"/>
  <c r="E19" i="213"/>
  <c r="E20" i="213"/>
  <c r="E21" i="213"/>
  <c r="E24" i="213"/>
  <c r="E25" i="213"/>
  <c r="E26" i="213"/>
  <c r="E27" i="213"/>
  <c r="E28" i="213"/>
  <c r="E29" i="213"/>
  <c r="E30" i="213"/>
  <c r="E31" i="213"/>
  <c r="E32" i="213"/>
  <c r="E33" i="213"/>
  <c r="E34" i="213"/>
  <c r="E35" i="213"/>
  <c r="E36" i="213"/>
  <c r="E37" i="213"/>
  <c r="E38" i="213"/>
  <c r="E39" i="213"/>
  <c r="E42" i="213"/>
  <c r="E43" i="213"/>
  <c r="E44" i="213"/>
  <c r="E45" i="213"/>
  <c r="E46" i="213"/>
  <c r="E47" i="213"/>
  <c r="E48" i="213"/>
  <c r="E49" i="213"/>
  <c r="E50" i="213"/>
  <c r="E51" i="213"/>
  <c r="E52" i="213"/>
  <c r="E53" i="213"/>
  <c r="E54" i="213"/>
  <c r="E55" i="213"/>
  <c r="E56" i="213"/>
  <c r="E57" i="213"/>
  <c r="E60" i="213"/>
  <c r="E61" i="213"/>
  <c r="E62" i="213"/>
  <c r="E63" i="213"/>
  <c r="E64" i="213"/>
  <c r="E65" i="213"/>
  <c r="E66" i="213"/>
  <c r="E67" i="213"/>
  <c r="E68" i="213"/>
  <c r="E69" i="213"/>
  <c r="E70" i="213"/>
  <c r="E71" i="213"/>
  <c r="E72" i="213"/>
  <c r="E73" i="213"/>
  <c r="E74" i="213"/>
  <c r="E75" i="213"/>
  <c r="E78" i="213"/>
  <c r="E79" i="213"/>
  <c r="E80" i="213"/>
  <c r="E81" i="213"/>
  <c r="E82" i="213"/>
  <c r="E83" i="213"/>
  <c r="E84" i="213"/>
  <c r="E85" i="213"/>
  <c r="E86" i="213"/>
  <c r="E87" i="213"/>
  <c r="E88" i="213"/>
  <c r="E89" i="213"/>
  <c r="E90" i="213"/>
  <c r="E91" i="213"/>
  <c r="E92" i="213"/>
  <c r="E93" i="213"/>
  <c r="E96" i="213"/>
  <c r="E97" i="213"/>
  <c r="E98" i="213"/>
  <c r="E99" i="213"/>
  <c r="E100" i="213"/>
  <c r="E101" i="213"/>
  <c r="E102" i="213"/>
  <c r="E103" i="213"/>
  <c r="E104" i="213"/>
  <c r="E105" i="213"/>
  <c r="E106" i="213"/>
  <c r="E107" i="213"/>
  <c r="E108" i="213"/>
  <c r="E109" i="213"/>
  <c r="E110" i="213"/>
  <c r="E111" i="213"/>
  <c r="E114" i="213"/>
  <c r="E115" i="213"/>
  <c r="E116" i="213"/>
  <c r="E117" i="213"/>
  <c r="E118" i="213"/>
  <c r="E119" i="213"/>
  <c r="E120" i="213"/>
  <c r="E121" i="213"/>
  <c r="E122" i="213"/>
  <c r="E123" i="213"/>
  <c r="E124" i="213"/>
  <c r="E125" i="213"/>
  <c r="E126" i="213"/>
  <c r="E127" i="213"/>
  <c r="E128" i="213"/>
  <c r="E129" i="213"/>
  <c r="E150" i="213"/>
  <c r="E151" i="213"/>
  <c r="E152" i="213"/>
  <c r="E153" i="213"/>
  <c r="E154" i="213"/>
  <c r="E155" i="213"/>
  <c r="E156" i="213"/>
  <c r="E157" i="213"/>
  <c r="E158" i="213"/>
  <c r="E159" i="213"/>
  <c r="E160" i="213"/>
  <c r="E161" i="213"/>
  <c r="E162" i="213"/>
  <c r="E163" i="213"/>
  <c r="E164" i="213"/>
  <c r="E165" i="213"/>
  <c r="E187" i="213"/>
  <c r="E188" i="213"/>
  <c r="E189" i="213"/>
  <c r="E190" i="213"/>
  <c r="E191" i="213"/>
  <c r="E192" i="213"/>
  <c r="E193" i="213"/>
  <c r="E194" i="213"/>
  <c r="E195" i="213"/>
  <c r="E196" i="213"/>
  <c r="E197" i="213"/>
  <c r="E198" i="213"/>
  <c r="E199" i="213"/>
  <c r="E200" i="213"/>
  <c r="E201" i="213"/>
  <c r="F204" i="213"/>
  <c r="G204" i="213"/>
  <c r="F205" i="213"/>
  <c r="G205" i="213"/>
  <c r="F206" i="213"/>
  <c r="G206" i="213"/>
  <c r="F207" i="213"/>
  <c r="G207" i="213"/>
  <c r="F208" i="213"/>
  <c r="G208" i="213"/>
  <c r="F209" i="213"/>
  <c r="G209" i="213"/>
  <c r="F210" i="213"/>
  <c r="G210" i="213"/>
  <c r="F211" i="213"/>
  <c r="G211" i="213"/>
  <c r="F212" i="213"/>
  <c r="G212" i="213"/>
  <c r="F213" i="213"/>
  <c r="G213" i="213"/>
  <c r="F214" i="213"/>
  <c r="G214" i="213"/>
  <c r="F215" i="213"/>
  <c r="G215" i="213"/>
  <c r="F216" i="213"/>
  <c r="G216" i="213"/>
  <c r="F217" i="213"/>
  <c r="G217" i="213"/>
  <c r="F218" i="213"/>
  <c r="G218" i="213"/>
  <c r="F219" i="213"/>
  <c r="G219" i="213"/>
  <c r="I28" i="226" l="1"/>
  <c r="I46" i="226"/>
  <c r="I64" i="226"/>
  <c r="I62" i="224"/>
  <c r="I26" i="224"/>
  <c r="I44" i="224"/>
  <c r="I60" i="224"/>
  <c r="I42" i="224"/>
  <c r="I24" i="224"/>
  <c r="I40" i="224"/>
  <c r="I58" i="224"/>
  <c r="I22" i="224"/>
  <c r="I38" i="224"/>
  <c r="I56" i="224"/>
  <c r="I20" i="224"/>
  <c r="I36" i="224"/>
  <c r="I54" i="224"/>
  <c r="I18" i="224"/>
  <c r="I34" i="224"/>
  <c r="I16" i="224"/>
  <c r="I52" i="224"/>
  <c r="I32" i="224"/>
  <c r="I50" i="224"/>
  <c r="I14" i="224"/>
  <c r="I12" i="224"/>
  <c r="I30" i="224"/>
  <c r="I48" i="224"/>
  <c r="I46" i="225"/>
  <c r="I64" i="225"/>
  <c r="I28" i="225"/>
  <c r="I63" i="224"/>
  <c r="I45" i="224"/>
  <c r="I27" i="224"/>
  <c r="I61" i="224"/>
  <c r="I43" i="224"/>
  <c r="I25" i="224"/>
  <c r="I59" i="224"/>
  <c r="I41" i="224"/>
  <c r="I23" i="224"/>
  <c r="I57" i="224"/>
  <c r="I39" i="224"/>
  <c r="I21" i="224"/>
  <c r="I55" i="224"/>
  <c r="I37" i="224"/>
  <c r="I19" i="224"/>
  <c r="I53" i="224"/>
  <c r="I35" i="224"/>
  <c r="I17" i="224"/>
  <c r="I51" i="224"/>
  <c r="I33" i="224"/>
  <c r="I15" i="224"/>
  <c r="I49" i="224"/>
  <c r="I31" i="224"/>
  <c r="I13" i="224"/>
  <c r="F220" i="213"/>
  <c r="E202" i="213"/>
  <c r="G202" i="213" s="1"/>
  <c r="E166" i="213"/>
  <c r="G166" i="213" s="1"/>
  <c r="E130" i="213"/>
  <c r="E112" i="213"/>
  <c r="G112" i="213" s="1"/>
  <c r="E94" i="213"/>
  <c r="G94" i="213" s="1"/>
  <c r="E76" i="213"/>
  <c r="G76" i="213" s="1"/>
  <c r="E58" i="213"/>
  <c r="G58" i="213" s="1"/>
  <c r="E40" i="213"/>
  <c r="G40" i="213" s="1"/>
  <c r="E22" i="213"/>
  <c r="G22" i="213" s="1"/>
  <c r="I24" i="191"/>
  <c r="I60" i="191"/>
  <c r="I42" i="191"/>
  <c r="I24" i="189"/>
  <c r="I60" i="189"/>
  <c r="I42" i="189"/>
  <c r="I22" i="189"/>
  <c r="I58" i="189"/>
  <c r="I40" i="189"/>
  <c r="I16" i="189"/>
  <c r="I52" i="189"/>
  <c r="I34" i="189"/>
  <c r="I32" i="188"/>
  <c r="I14" i="188"/>
  <c r="I50" i="188"/>
  <c r="I30" i="188"/>
  <c r="I12" i="188"/>
  <c r="I48" i="188"/>
  <c r="I24" i="187"/>
  <c r="I60" i="187"/>
  <c r="I42" i="187"/>
  <c r="I22" i="187"/>
  <c r="I58" i="187"/>
  <c r="I40" i="187"/>
  <c r="I16" i="187"/>
  <c r="I52" i="187"/>
  <c r="I34" i="187"/>
  <c r="I14" i="187"/>
  <c r="I50" i="187"/>
  <c r="I32" i="187"/>
  <c r="I44" i="186"/>
  <c r="I26" i="186"/>
  <c r="I62" i="186"/>
  <c r="I42" i="186"/>
  <c r="I24" i="186"/>
  <c r="I60" i="186"/>
  <c r="I40" i="186"/>
  <c r="I22" i="186"/>
  <c r="I58" i="186"/>
  <c r="I38" i="186"/>
  <c r="I20" i="186"/>
  <c r="I56" i="186"/>
  <c r="I16" i="186"/>
  <c r="I34" i="186"/>
  <c r="I52" i="186"/>
  <c r="I45" i="189"/>
  <c r="I27" i="189"/>
  <c r="I63" i="189"/>
  <c r="I43" i="189"/>
  <c r="I25" i="189"/>
  <c r="I61" i="189"/>
  <c r="I41" i="189"/>
  <c r="I23" i="189"/>
  <c r="I59" i="189"/>
  <c r="I37" i="189"/>
  <c r="I19" i="189"/>
  <c r="I55" i="189"/>
  <c r="I35" i="189"/>
  <c r="I17" i="189"/>
  <c r="I53" i="189"/>
  <c r="I33" i="189"/>
  <c r="I15" i="189"/>
  <c r="I51" i="189"/>
  <c r="I17" i="188"/>
  <c r="I53" i="188"/>
  <c r="I35" i="188"/>
  <c r="I13" i="188"/>
  <c r="I49" i="188"/>
  <c r="I31" i="188"/>
  <c r="I45" i="187"/>
  <c r="I27" i="187"/>
  <c r="I63" i="187"/>
  <c r="I43" i="187"/>
  <c r="I25" i="187"/>
  <c r="I61" i="187"/>
  <c r="I41" i="187"/>
  <c r="I23" i="187"/>
  <c r="I59" i="187"/>
  <c r="I37" i="187"/>
  <c r="I19" i="187"/>
  <c r="I55" i="187"/>
  <c r="I35" i="187"/>
  <c r="I17" i="187"/>
  <c r="I53" i="187"/>
  <c r="I33" i="187"/>
  <c r="I15" i="187"/>
  <c r="I51" i="187"/>
  <c r="I27" i="186"/>
  <c r="I45" i="186"/>
  <c r="I63" i="186"/>
  <c r="I25" i="186"/>
  <c r="I43" i="186"/>
  <c r="I61" i="186"/>
  <c r="I23" i="186"/>
  <c r="I41" i="186"/>
  <c r="I59" i="186"/>
  <c r="I21" i="186"/>
  <c r="I39" i="186"/>
  <c r="I57" i="186"/>
  <c r="I19" i="186"/>
  <c r="I37" i="186"/>
  <c r="I55" i="186"/>
  <c r="E218" i="213"/>
  <c r="E216" i="213"/>
  <c r="E214" i="213"/>
  <c r="E212" i="213"/>
  <c r="E211" i="213"/>
  <c r="E210" i="213"/>
  <c r="E209" i="213"/>
  <c r="E207" i="213"/>
  <c r="E206" i="213"/>
  <c r="E205" i="213"/>
  <c r="E204" i="213"/>
  <c r="E219" i="213"/>
  <c r="E217" i="213"/>
  <c r="E215" i="213"/>
  <c r="E213" i="213"/>
  <c r="E208" i="213"/>
  <c r="F201" i="211"/>
  <c r="E201" i="211"/>
  <c r="F200" i="211"/>
  <c r="E200" i="211"/>
  <c r="F199" i="211"/>
  <c r="I25" i="171" s="1"/>
  <c r="E199" i="211"/>
  <c r="F198" i="211"/>
  <c r="E198" i="211"/>
  <c r="F197" i="211"/>
  <c r="E197" i="211"/>
  <c r="F196" i="211"/>
  <c r="E196" i="211"/>
  <c r="F195" i="211"/>
  <c r="E195" i="211"/>
  <c r="F194" i="211"/>
  <c r="E194" i="211"/>
  <c r="F193" i="211"/>
  <c r="E193" i="211"/>
  <c r="F192" i="211"/>
  <c r="E192" i="211"/>
  <c r="F191" i="211"/>
  <c r="E191" i="211"/>
  <c r="F190" i="211"/>
  <c r="E190" i="211"/>
  <c r="F189" i="211"/>
  <c r="E189" i="211"/>
  <c r="F188" i="211"/>
  <c r="E188" i="211"/>
  <c r="F187" i="211"/>
  <c r="E187" i="211"/>
  <c r="F186" i="211"/>
  <c r="E186" i="211"/>
  <c r="F165" i="211"/>
  <c r="E165" i="211"/>
  <c r="F164" i="211"/>
  <c r="E164" i="211"/>
  <c r="F163" i="211"/>
  <c r="E163" i="211"/>
  <c r="F162" i="211"/>
  <c r="E162" i="211"/>
  <c r="F161" i="211"/>
  <c r="E161" i="211"/>
  <c r="F160" i="211"/>
  <c r="E160" i="211"/>
  <c r="F159" i="211"/>
  <c r="E159" i="211"/>
  <c r="F158" i="211"/>
  <c r="I20" i="220" s="1"/>
  <c r="E158" i="211"/>
  <c r="F157" i="211"/>
  <c r="E157" i="211"/>
  <c r="F156" i="211"/>
  <c r="E156" i="211"/>
  <c r="F155" i="211"/>
  <c r="E155" i="211"/>
  <c r="F154" i="211"/>
  <c r="E154" i="211"/>
  <c r="F153" i="211"/>
  <c r="E153" i="211"/>
  <c r="F152" i="211"/>
  <c r="E152" i="211"/>
  <c r="F151" i="211"/>
  <c r="E151" i="211"/>
  <c r="F150" i="211"/>
  <c r="E150" i="211"/>
  <c r="F111" i="211"/>
  <c r="E111" i="211"/>
  <c r="F110" i="211"/>
  <c r="E110" i="211"/>
  <c r="F109" i="211"/>
  <c r="I25" i="168" s="1"/>
  <c r="E109" i="211"/>
  <c r="F108" i="211"/>
  <c r="E108" i="211"/>
  <c r="F107" i="211"/>
  <c r="E107" i="211"/>
  <c r="F106" i="211"/>
  <c r="E106" i="211"/>
  <c r="F105" i="211"/>
  <c r="E105" i="211"/>
  <c r="F104" i="211"/>
  <c r="E104" i="211"/>
  <c r="F103" i="211"/>
  <c r="E103" i="211"/>
  <c r="I18" i="168"/>
  <c r="E102" i="211"/>
  <c r="F101" i="211"/>
  <c r="E101" i="211"/>
  <c r="F100" i="211"/>
  <c r="E100" i="211"/>
  <c r="F99" i="211"/>
  <c r="E99" i="211"/>
  <c r="F98" i="211"/>
  <c r="E98" i="211"/>
  <c r="F97" i="211"/>
  <c r="E97" i="211"/>
  <c r="F96" i="211"/>
  <c r="E96" i="211"/>
  <c r="F93" i="211"/>
  <c r="E93" i="211"/>
  <c r="F92" i="211"/>
  <c r="E92" i="211"/>
  <c r="F91" i="211"/>
  <c r="E91" i="211"/>
  <c r="F90" i="211"/>
  <c r="E90" i="211"/>
  <c r="F89" i="211"/>
  <c r="E89" i="211"/>
  <c r="F88" i="211"/>
  <c r="E88" i="211"/>
  <c r="F87" i="211"/>
  <c r="E87" i="211"/>
  <c r="F86" i="211"/>
  <c r="E86" i="211"/>
  <c r="F85" i="211"/>
  <c r="E85" i="211"/>
  <c r="E84" i="211"/>
  <c r="F83" i="211"/>
  <c r="E83" i="211"/>
  <c r="F82" i="211"/>
  <c r="E82" i="211"/>
  <c r="F81" i="211"/>
  <c r="E81" i="211"/>
  <c r="F80" i="211"/>
  <c r="E80" i="211"/>
  <c r="F79" i="211"/>
  <c r="E79" i="211"/>
  <c r="F78" i="211"/>
  <c r="E78" i="211"/>
  <c r="F75" i="211"/>
  <c r="E75" i="211"/>
  <c r="F74" i="211"/>
  <c r="E74" i="211"/>
  <c r="F73" i="211"/>
  <c r="E73" i="211"/>
  <c r="F72" i="211"/>
  <c r="E72" i="211"/>
  <c r="F71" i="211"/>
  <c r="E71" i="211"/>
  <c r="F70" i="211"/>
  <c r="E70" i="211"/>
  <c r="F69" i="211"/>
  <c r="E69" i="211"/>
  <c r="F68" i="211"/>
  <c r="E68" i="211"/>
  <c r="F67" i="211"/>
  <c r="E67" i="211"/>
  <c r="E66" i="211"/>
  <c r="F65" i="211"/>
  <c r="E65" i="211"/>
  <c r="F64" i="211"/>
  <c r="E64" i="211"/>
  <c r="F63" i="211"/>
  <c r="E63" i="211"/>
  <c r="F62" i="211"/>
  <c r="E62" i="211"/>
  <c r="F61" i="211"/>
  <c r="E61" i="211"/>
  <c r="F60" i="211"/>
  <c r="I66" i="166" s="1"/>
  <c r="E60" i="211"/>
  <c r="F57" i="211"/>
  <c r="E57" i="211"/>
  <c r="F56" i="211"/>
  <c r="E56" i="211"/>
  <c r="F55" i="211"/>
  <c r="E55" i="211"/>
  <c r="F54" i="211"/>
  <c r="E54" i="211"/>
  <c r="F53" i="211"/>
  <c r="E53" i="211"/>
  <c r="F52" i="211"/>
  <c r="E52" i="211"/>
  <c r="F51" i="211"/>
  <c r="E51" i="211"/>
  <c r="F50" i="211"/>
  <c r="E50" i="211"/>
  <c r="F49" i="211"/>
  <c r="E49" i="211"/>
  <c r="E48" i="211"/>
  <c r="F47" i="211"/>
  <c r="E47" i="211"/>
  <c r="F46" i="211"/>
  <c r="E46" i="211"/>
  <c r="F45" i="211"/>
  <c r="E45" i="211"/>
  <c r="F44" i="211"/>
  <c r="E44" i="211"/>
  <c r="F43" i="211"/>
  <c r="E43" i="211"/>
  <c r="F42" i="211"/>
  <c r="E42" i="211"/>
  <c r="F39" i="211"/>
  <c r="E39" i="211"/>
  <c r="F38" i="211"/>
  <c r="E38" i="211"/>
  <c r="F37" i="211"/>
  <c r="E37" i="211"/>
  <c r="F36" i="211"/>
  <c r="E36" i="211"/>
  <c r="F35" i="211"/>
  <c r="E35" i="211"/>
  <c r="F34" i="211"/>
  <c r="E34" i="211"/>
  <c r="F33" i="211"/>
  <c r="E33" i="211"/>
  <c r="F32" i="211"/>
  <c r="E32" i="211"/>
  <c r="F31" i="211"/>
  <c r="E31" i="211"/>
  <c r="E30" i="211"/>
  <c r="F29" i="211"/>
  <c r="E29" i="211"/>
  <c r="F28" i="211"/>
  <c r="E28" i="211"/>
  <c r="F27" i="211"/>
  <c r="E27" i="211"/>
  <c r="F26" i="211"/>
  <c r="E26" i="211"/>
  <c r="F25" i="211"/>
  <c r="E25" i="211"/>
  <c r="F24" i="211"/>
  <c r="I66" i="164" s="1"/>
  <c r="E24" i="211"/>
  <c r="F21" i="211"/>
  <c r="E21" i="211"/>
  <c r="F20" i="211"/>
  <c r="E20" i="211"/>
  <c r="F19" i="211"/>
  <c r="E19" i="211"/>
  <c r="F18" i="211"/>
  <c r="E18" i="211"/>
  <c r="F17" i="211"/>
  <c r="E17" i="211"/>
  <c r="F16" i="211"/>
  <c r="E16" i="211"/>
  <c r="F15" i="211"/>
  <c r="E15" i="211"/>
  <c r="F14" i="211"/>
  <c r="E14" i="211"/>
  <c r="F13" i="211"/>
  <c r="E13" i="211"/>
  <c r="E12" i="211"/>
  <c r="F11" i="211"/>
  <c r="E11" i="211"/>
  <c r="F10" i="211"/>
  <c r="E10" i="211"/>
  <c r="F9" i="211"/>
  <c r="E9" i="211"/>
  <c r="F8" i="211"/>
  <c r="E8" i="211"/>
  <c r="F7" i="211"/>
  <c r="E7" i="211"/>
  <c r="F6" i="211"/>
  <c r="E6" i="211"/>
  <c r="G102" i="211"/>
  <c r="L54" i="151" s="1"/>
  <c r="E112" i="211" l="1"/>
  <c r="E166" i="211"/>
  <c r="E202" i="211"/>
  <c r="J54" i="151"/>
  <c r="K54" i="151"/>
  <c r="G88" i="211"/>
  <c r="I60" i="220"/>
  <c r="I42" i="220"/>
  <c r="I64" i="224"/>
  <c r="I46" i="224"/>
  <c r="I28" i="224"/>
  <c r="I12" i="220"/>
  <c r="I66" i="220"/>
  <c r="I30" i="220"/>
  <c r="I48" i="220"/>
  <c r="I13" i="220"/>
  <c r="I67" i="220"/>
  <c r="I49" i="220"/>
  <c r="I31" i="220"/>
  <c r="I14" i="220"/>
  <c r="I68" i="220"/>
  <c r="I50" i="220"/>
  <c r="I32" i="220"/>
  <c r="I15" i="220"/>
  <c r="I69" i="220"/>
  <c r="I51" i="220"/>
  <c r="I33" i="220"/>
  <c r="I16" i="220"/>
  <c r="I70" i="220"/>
  <c r="I52" i="220"/>
  <c r="I34" i="220"/>
  <c r="I17" i="220"/>
  <c r="I71" i="220"/>
  <c r="I53" i="220"/>
  <c r="I35" i="220"/>
  <c r="I21" i="220"/>
  <c r="I75" i="220"/>
  <c r="I57" i="220"/>
  <c r="I39" i="220"/>
  <c r="I22" i="220"/>
  <c r="I76" i="220"/>
  <c r="I58" i="220"/>
  <c r="I40" i="220"/>
  <c r="I23" i="220"/>
  <c r="I77" i="220"/>
  <c r="I59" i="220"/>
  <c r="I41" i="220"/>
  <c r="I26" i="220"/>
  <c r="I80" i="220"/>
  <c r="I62" i="220"/>
  <c r="I44" i="220"/>
  <c r="I27" i="220"/>
  <c r="I81" i="220"/>
  <c r="I63" i="220"/>
  <c r="I45" i="220"/>
  <c r="E22" i="211"/>
  <c r="E58" i="211"/>
  <c r="E94" i="211"/>
  <c r="G130" i="213"/>
  <c r="I25" i="170"/>
  <c r="G158" i="211"/>
  <c r="E40" i="211"/>
  <c r="E76" i="211"/>
  <c r="E148" i="211"/>
  <c r="J56" i="153"/>
  <c r="F22" i="211"/>
  <c r="F58" i="211"/>
  <c r="F94" i="211"/>
  <c r="F112" i="211"/>
  <c r="G112" i="211" s="1"/>
  <c r="F40" i="211"/>
  <c r="F76" i="211"/>
  <c r="F148" i="211"/>
  <c r="F166" i="211"/>
  <c r="F202" i="211"/>
  <c r="E220" i="213"/>
  <c r="G220" i="213" s="1"/>
  <c r="G52" i="211"/>
  <c r="G65" i="211"/>
  <c r="I35" i="149" s="1"/>
  <c r="G144" i="211"/>
  <c r="G192" i="211"/>
  <c r="L54" i="154" s="1"/>
  <c r="G7" i="211"/>
  <c r="G16" i="211"/>
  <c r="G29" i="211"/>
  <c r="G38" i="211"/>
  <c r="I80" i="147" s="1"/>
  <c r="G43" i="211"/>
  <c r="G74" i="211"/>
  <c r="G79" i="211"/>
  <c r="G110" i="211"/>
  <c r="G200" i="211"/>
  <c r="G8" i="211"/>
  <c r="G9" i="211"/>
  <c r="G10" i="211"/>
  <c r="G11" i="211"/>
  <c r="G12" i="211"/>
  <c r="G13" i="211"/>
  <c r="G15" i="211"/>
  <c r="G17" i="211"/>
  <c r="G18" i="211"/>
  <c r="G19" i="211"/>
  <c r="G20" i="211"/>
  <c r="G21" i="211"/>
  <c r="G25" i="211"/>
  <c r="G26" i="211"/>
  <c r="G27" i="211"/>
  <c r="G28" i="211"/>
  <c r="I16" i="147" s="1"/>
  <c r="G30" i="211"/>
  <c r="L54" i="147" s="1"/>
  <c r="G31" i="211"/>
  <c r="I37" i="147" s="1"/>
  <c r="G33" i="211"/>
  <c r="I57" i="147" s="1"/>
  <c r="G34" i="211"/>
  <c r="I40" i="147" s="1"/>
  <c r="G35" i="211"/>
  <c r="I59" i="147" s="1"/>
  <c r="G36" i="211"/>
  <c r="I78" i="147" s="1"/>
  <c r="G37" i="211"/>
  <c r="G39" i="211"/>
  <c r="I27" i="147" s="1"/>
  <c r="G44" i="211"/>
  <c r="I68" i="148" s="1"/>
  <c r="G45" i="211"/>
  <c r="I51" i="148" s="1"/>
  <c r="G46" i="211"/>
  <c r="I70" i="148" s="1"/>
  <c r="G47" i="211"/>
  <c r="I53" i="148" s="1"/>
  <c r="G48" i="211"/>
  <c r="L54" i="148" s="1"/>
  <c r="G49" i="211"/>
  <c r="I55" i="148" s="1"/>
  <c r="G51" i="211"/>
  <c r="G53" i="211"/>
  <c r="G54" i="211"/>
  <c r="I78" i="148" s="1"/>
  <c r="G55" i="211"/>
  <c r="I43" i="148" s="1"/>
  <c r="G56" i="211"/>
  <c r="G57" i="211"/>
  <c r="I63" i="148" s="1"/>
  <c r="G61" i="211"/>
  <c r="I67" i="149" s="1"/>
  <c r="G62" i="211"/>
  <c r="I50" i="149" s="1"/>
  <c r="G63" i="211"/>
  <c r="G64" i="211"/>
  <c r="G66" i="211"/>
  <c r="G67" i="211"/>
  <c r="G69" i="211"/>
  <c r="G70" i="211"/>
  <c r="G71" i="211"/>
  <c r="G72" i="211"/>
  <c r="G73" i="211"/>
  <c r="G75" i="211"/>
  <c r="G80" i="211"/>
  <c r="I68" i="150" s="1"/>
  <c r="G81" i="211"/>
  <c r="I51" i="150" s="1"/>
  <c r="G82" i="211"/>
  <c r="I70" i="150" s="1"/>
  <c r="G83" i="211"/>
  <c r="I53" i="150" s="1"/>
  <c r="G84" i="211"/>
  <c r="L54" i="150" s="1"/>
  <c r="G85" i="211"/>
  <c r="I55" i="150" s="1"/>
  <c r="G87" i="211"/>
  <c r="G89" i="211"/>
  <c r="G90" i="211"/>
  <c r="I78" i="150" s="1"/>
  <c r="G91" i="211"/>
  <c r="I25" i="150" s="1"/>
  <c r="G92" i="211"/>
  <c r="G93" i="211"/>
  <c r="I81" i="150" s="1"/>
  <c r="G97" i="211"/>
  <c r="G98" i="211"/>
  <c r="G99" i="211"/>
  <c r="G100" i="211"/>
  <c r="G101" i="211"/>
  <c r="G103" i="211"/>
  <c r="G104" i="211"/>
  <c r="G105" i="211"/>
  <c r="G106" i="211"/>
  <c r="G107" i="211"/>
  <c r="G108" i="211"/>
  <c r="G109" i="211"/>
  <c r="G111" i="211"/>
  <c r="G133" i="211"/>
  <c r="G134" i="211"/>
  <c r="G135" i="211"/>
  <c r="G136" i="211"/>
  <c r="G137" i="211"/>
  <c r="G138" i="211"/>
  <c r="G139" i="211"/>
  <c r="I19" i="216" s="1"/>
  <c r="G140" i="211"/>
  <c r="G142" i="211"/>
  <c r="G143" i="211"/>
  <c r="G146" i="211"/>
  <c r="G147" i="211"/>
  <c r="G150" i="211"/>
  <c r="G151" i="211"/>
  <c r="G152" i="211"/>
  <c r="G153" i="211"/>
  <c r="G154" i="211"/>
  <c r="G162" i="211"/>
  <c r="G164" i="211"/>
  <c r="G165" i="211"/>
  <c r="G188" i="211"/>
  <c r="G196" i="211"/>
  <c r="G201" i="211"/>
  <c r="G190" i="211"/>
  <c r="G191" i="211"/>
  <c r="I18" i="167"/>
  <c r="I18" i="165"/>
  <c r="I36" i="167"/>
  <c r="I36" i="165"/>
  <c r="I54" i="167"/>
  <c r="I54" i="165"/>
  <c r="I72" i="167"/>
  <c r="I72" i="165"/>
  <c r="I18" i="170"/>
  <c r="I36" i="170"/>
  <c r="I18" i="171"/>
  <c r="I54" i="170"/>
  <c r="G155" i="211"/>
  <c r="G156" i="211"/>
  <c r="L18" i="153" s="1"/>
  <c r="G193" i="211"/>
  <c r="G145" i="211"/>
  <c r="G163" i="211"/>
  <c r="G199" i="211"/>
  <c r="G141" i="211"/>
  <c r="G189" i="211"/>
  <c r="G187" i="211"/>
  <c r="I48" i="166"/>
  <c r="I48" i="164"/>
  <c r="G157" i="211"/>
  <c r="G159" i="211"/>
  <c r="I12" i="166"/>
  <c r="I12" i="164"/>
  <c r="G160" i="211"/>
  <c r="G161" i="211"/>
  <c r="G194" i="211"/>
  <c r="G195" i="211"/>
  <c r="G197" i="211"/>
  <c r="G198" i="211"/>
  <c r="I66" i="158"/>
  <c r="I30" i="158"/>
  <c r="G132" i="211"/>
  <c r="G186" i="211"/>
  <c r="I12" i="158"/>
  <c r="G6" i="211"/>
  <c r="G24" i="211"/>
  <c r="G42" i="211"/>
  <c r="G60" i="211"/>
  <c r="G78" i="211"/>
  <c r="G96" i="211"/>
  <c r="I48" i="158"/>
  <c r="I30" i="166"/>
  <c r="I30" i="164"/>
  <c r="I42" i="147"/>
  <c r="I14" i="148"/>
  <c r="I79" i="163"/>
  <c r="I61" i="163"/>
  <c r="I43" i="163"/>
  <c r="I25" i="163"/>
  <c r="I67" i="164"/>
  <c r="I49" i="164"/>
  <c r="I31" i="164"/>
  <c r="I13" i="164"/>
  <c r="I70" i="164"/>
  <c r="I52" i="164"/>
  <c r="I34" i="164"/>
  <c r="I16" i="164"/>
  <c r="I73" i="164"/>
  <c r="I55" i="164"/>
  <c r="I37" i="164"/>
  <c r="I19" i="164"/>
  <c r="I75" i="164"/>
  <c r="I57" i="164"/>
  <c r="I39" i="164"/>
  <c r="I21" i="164"/>
  <c r="I76" i="164"/>
  <c r="I58" i="164"/>
  <c r="I40" i="164"/>
  <c r="I22" i="164"/>
  <c r="I77" i="164"/>
  <c r="I59" i="164"/>
  <c r="I41" i="164"/>
  <c r="I23" i="164"/>
  <c r="I78" i="164"/>
  <c r="I60" i="164"/>
  <c r="I42" i="164"/>
  <c r="I24" i="164"/>
  <c r="I79" i="164"/>
  <c r="I61" i="164"/>
  <c r="I43" i="164"/>
  <c r="I25" i="164"/>
  <c r="I80" i="164"/>
  <c r="I62" i="164"/>
  <c r="I44" i="164"/>
  <c r="I26" i="164"/>
  <c r="I81" i="164"/>
  <c r="I63" i="164"/>
  <c r="I45" i="164"/>
  <c r="I27" i="164"/>
  <c r="I68" i="165"/>
  <c r="I50" i="165"/>
  <c r="I32" i="165"/>
  <c r="I14" i="165"/>
  <c r="I69" i="165"/>
  <c r="I51" i="165"/>
  <c r="I33" i="165"/>
  <c r="I15" i="165"/>
  <c r="I70" i="165"/>
  <c r="I52" i="165"/>
  <c r="I34" i="165"/>
  <c r="I16" i="165"/>
  <c r="I71" i="165"/>
  <c r="I53" i="165"/>
  <c r="I35" i="165"/>
  <c r="I17" i="165"/>
  <c r="I73" i="165"/>
  <c r="I55" i="165"/>
  <c r="I37" i="165"/>
  <c r="I19" i="165"/>
  <c r="I78" i="165"/>
  <c r="I60" i="165"/>
  <c r="I42" i="165"/>
  <c r="I24" i="165"/>
  <c r="I79" i="165"/>
  <c r="I61" i="165"/>
  <c r="I43" i="165"/>
  <c r="I25" i="165"/>
  <c r="I80" i="165"/>
  <c r="I62" i="165"/>
  <c r="I44" i="165"/>
  <c r="I26" i="165"/>
  <c r="I81" i="165"/>
  <c r="I63" i="165"/>
  <c r="I45" i="165"/>
  <c r="I27" i="165"/>
  <c r="I67" i="166"/>
  <c r="I49" i="166"/>
  <c r="I31" i="166"/>
  <c r="I13" i="166"/>
  <c r="I68" i="166"/>
  <c r="I50" i="166"/>
  <c r="I32" i="166"/>
  <c r="I14" i="166"/>
  <c r="I71" i="166"/>
  <c r="I53" i="166"/>
  <c r="I35" i="166"/>
  <c r="I17" i="166"/>
  <c r="I79" i="166"/>
  <c r="I61" i="166"/>
  <c r="I43" i="166"/>
  <c r="I25" i="166"/>
  <c r="I68" i="167"/>
  <c r="I50" i="167"/>
  <c r="I32" i="167"/>
  <c r="I14" i="167"/>
  <c r="I69" i="167"/>
  <c r="I51" i="167"/>
  <c r="I33" i="167"/>
  <c r="I15" i="167"/>
  <c r="I70" i="167"/>
  <c r="I52" i="167"/>
  <c r="I34" i="167"/>
  <c r="I16" i="167"/>
  <c r="I71" i="167"/>
  <c r="I53" i="167"/>
  <c r="I35" i="167"/>
  <c r="I17" i="167"/>
  <c r="I73" i="167"/>
  <c r="I55" i="167"/>
  <c r="I37" i="167"/>
  <c r="I19" i="167"/>
  <c r="I78" i="167"/>
  <c r="I60" i="167"/>
  <c r="I42" i="167"/>
  <c r="I24" i="167"/>
  <c r="I79" i="167"/>
  <c r="I61" i="167"/>
  <c r="I43" i="167"/>
  <c r="I25" i="167"/>
  <c r="I81" i="167"/>
  <c r="I63" i="167"/>
  <c r="I45" i="167"/>
  <c r="I27" i="167"/>
  <c r="I37" i="150"/>
  <c r="I70" i="156"/>
  <c r="I52" i="156"/>
  <c r="I34" i="156"/>
  <c r="I16" i="156"/>
  <c r="I73" i="156"/>
  <c r="I55" i="156"/>
  <c r="I37" i="156"/>
  <c r="I19" i="156"/>
  <c r="I75" i="156"/>
  <c r="I57" i="156"/>
  <c r="I39" i="156"/>
  <c r="I21" i="156"/>
  <c r="I76" i="156"/>
  <c r="I58" i="156"/>
  <c r="I40" i="156"/>
  <c r="I22" i="156"/>
  <c r="I77" i="156"/>
  <c r="I59" i="156"/>
  <c r="I41" i="156"/>
  <c r="I23" i="156"/>
  <c r="I78" i="156"/>
  <c r="I60" i="156"/>
  <c r="I42" i="156"/>
  <c r="I24" i="156"/>
  <c r="I79" i="156"/>
  <c r="I61" i="156"/>
  <c r="I43" i="156"/>
  <c r="I25" i="156"/>
  <c r="I80" i="156"/>
  <c r="I62" i="156"/>
  <c r="I44" i="156"/>
  <c r="I26" i="156"/>
  <c r="I81" i="156"/>
  <c r="I63" i="156"/>
  <c r="I45" i="156"/>
  <c r="I27" i="156"/>
  <c r="I68" i="157"/>
  <c r="I50" i="157"/>
  <c r="I32" i="157"/>
  <c r="I14" i="157"/>
  <c r="I69" i="157"/>
  <c r="I51" i="157"/>
  <c r="I33" i="157"/>
  <c r="I15" i="157"/>
  <c r="I70" i="157"/>
  <c r="I52" i="157"/>
  <c r="I34" i="157"/>
  <c r="I16" i="157"/>
  <c r="I71" i="157"/>
  <c r="I53" i="157"/>
  <c r="I35" i="157"/>
  <c r="I17" i="157"/>
  <c r="I73" i="157"/>
  <c r="I55" i="157"/>
  <c r="I37" i="157"/>
  <c r="I19" i="157"/>
  <c r="I76" i="157"/>
  <c r="I58" i="157"/>
  <c r="I40" i="157"/>
  <c r="I22" i="157"/>
  <c r="I77" i="157"/>
  <c r="I59" i="157"/>
  <c r="I41" i="157"/>
  <c r="I23" i="157"/>
  <c r="I78" i="157"/>
  <c r="I60" i="157"/>
  <c r="I42" i="157"/>
  <c r="I24" i="157"/>
  <c r="I79" i="157"/>
  <c r="I61" i="157"/>
  <c r="I43" i="157"/>
  <c r="I25" i="157"/>
  <c r="I81" i="157"/>
  <c r="I63" i="157"/>
  <c r="I45" i="157"/>
  <c r="I27" i="157"/>
  <c r="I67" i="158"/>
  <c r="I49" i="158"/>
  <c r="I31" i="158"/>
  <c r="I13" i="158"/>
  <c r="I68" i="158"/>
  <c r="I50" i="158"/>
  <c r="I32" i="158"/>
  <c r="I14" i="158"/>
  <c r="I71" i="158"/>
  <c r="I53" i="158"/>
  <c r="I35" i="158"/>
  <c r="I17" i="158"/>
  <c r="I68" i="159"/>
  <c r="I50" i="159"/>
  <c r="I32" i="159"/>
  <c r="I14" i="159"/>
  <c r="I69" i="159"/>
  <c r="I51" i="159"/>
  <c r="I33" i="159"/>
  <c r="I15" i="159"/>
  <c r="I70" i="159"/>
  <c r="I52" i="159"/>
  <c r="I34" i="159"/>
  <c r="I16" i="159"/>
  <c r="I71" i="159"/>
  <c r="I53" i="159"/>
  <c r="I35" i="159"/>
  <c r="I17" i="159"/>
  <c r="I73" i="159"/>
  <c r="I55" i="159"/>
  <c r="I37" i="159"/>
  <c r="I19" i="159"/>
  <c r="I76" i="159"/>
  <c r="I58" i="159"/>
  <c r="I40" i="159"/>
  <c r="I22" i="159"/>
  <c r="I77" i="159"/>
  <c r="I59" i="159"/>
  <c r="I41" i="159"/>
  <c r="I23" i="159"/>
  <c r="I78" i="159"/>
  <c r="I60" i="159"/>
  <c r="I42" i="159"/>
  <c r="I24" i="159"/>
  <c r="I79" i="159"/>
  <c r="I61" i="159"/>
  <c r="I43" i="159"/>
  <c r="I25" i="159"/>
  <c r="I81" i="159"/>
  <c r="I63" i="159"/>
  <c r="I45" i="159"/>
  <c r="I27" i="159"/>
  <c r="I56" i="156"/>
  <c r="I20" i="156"/>
  <c r="I38" i="156"/>
  <c r="I74" i="156"/>
  <c r="G14" i="211"/>
  <c r="G32" i="211"/>
  <c r="G50" i="211"/>
  <c r="G68" i="211"/>
  <c r="G86" i="211"/>
  <c r="D63" i="192"/>
  <c r="I63" i="192" s="1"/>
  <c r="D62" i="192"/>
  <c r="I62" i="192" s="1"/>
  <c r="D61" i="192"/>
  <c r="I61" i="192" s="1"/>
  <c r="D60" i="192"/>
  <c r="I60" i="192" s="1"/>
  <c r="D59" i="192"/>
  <c r="I59" i="192" s="1"/>
  <c r="D58" i="192"/>
  <c r="I58" i="192" s="1"/>
  <c r="D57" i="192"/>
  <c r="I57" i="192" s="1"/>
  <c r="D56" i="192"/>
  <c r="I56" i="192" s="1"/>
  <c r="D55" i="192"/>
  <c r="I55" i="192" s="1"/>
  <c r="D54" i="192"/>
  <c r="I54" i="192" s="1"/>
  <c r="D53" i="192"/>
  <c r="I53" i="192" s="1"/>
  <c r="D52" i="192"/>
  <c r="I52" i="192" s="1"/>
  <c r="D51" i="192"/>
  <c r="I51" i="192" s="1"/>
  <c r="D50" i="192"/>
  <c r="I50" i="192" s="1"/>
  <c r="D49" i="192"/>
  <c r="I49" i="192" s="1"/>
  <c r="D48" i="192"/>
  <c r="I48" i="192" s="1"/>
  <c r="D45" i="192"/>
  <c r="I45" i="192" s="1"/>
  <c r="D44" i="192"/>
  <c r="I44" i="192" s="1"/>
  <c r="D43" i="192"/>
  <c r="I43" i="192" s="1"/>
  <c r="D42" i="192"/>
  <c r="I42" i="192" s="1"/>
  <c r="D41" i="192"/>
  <c r="I41" i="192" s="1"/>
  <c r="D40" i="192"/>
  <c r="I40" i="192" s="1"/>
  <c r="D39" i="192"/>
  <c r="I39" i="192" s="1"/>
  <c r="D38" i="192"/>
  <c r="I38" i="192" s="1"/>
  <c r="D37" i="192"/>
  <c r="I37" i="192" s="1"/>
  <c r="D36" i="192"/>
  <c r="I36" i="192" s="1"/>
  <c r="D35" i="192"/>
  <c r="I35" i="192" s="1"/>
  <c r="D34" i="192"/>
  <c r="I34" i="192" s="1"/>
  <c r="D33" i="192"/>
  <c r="I33" i="192" s="1"/>
  <c r="D32" i="192"/>
  <c r="I32" i="192" s="1"/>
  <c r="D31" i="192"/>
  <c r="I31" i="192" s="1"/>
  <c r="D30" i="192"/>
  <c r="I30" i="192" s="1"/>
  <c r="D63" i="191"/>
  <c r="D62" i="191"/>
  <c r="D61" i="191"/>
  <c r="D60" i="191"/>
  <c r="D59" i="191"/>
  <c r="D58" i="191"/>
  <c r="D57" i="191"/>
  <c r="D56" i="191"/>
  <c r="D55" i="191"/>
  <c r="D54" i="191"/>
  <c r="D53" i="191"/>
  <c r="D52" i="191"/>
  <c r="D51" i="191"/>
  <c r="D50" i="191"/>
  <c r="D49" i="191"/>
  <c r="D48" i="191"/>
  <c r="D45" i="191"/>
  <c r="D44" i="191"/>
  <c r="D43" i="191"/>
  <c r="D42" i="191"/>
  <c r="D41" i="191"/>
  <c r="D40" i="191"/>
  <c r="D39" i="191"/>
  <c r="D38" i="191"/>
  <c r="D37" i="191"/>
  <c r="D36" i="191"/>
  <c r="D35" i="191"/>
  <c r="D34" i="191"/>
  <c r="D33" i="191"/>
  <c r="D32" i="191"/>
  <c r="D31" i="191"/>
  <c r="D30" i="191"/>
  <c r="D63" i="190"/>
  <c r="I63" i="190" s="1"/>
  <c r="D62" i="190"/>
  <c r="I62" i="190" s="1"/>
  <c r="D61" i="190"/>
  <c r="I61" i="190" s="1"/>
  <c r="D60" i="190"/>
  <c r="I60" i="190" s="1"/>
  <c r="D59" i="190"/>
  <c r="I59" i="190" s="1"/>
  <c r="D58" i="190"/>
  <c r="I58" i="190" s="1"/>
  <c r="D57" i="190"/>
  <c r="I57" i="190" s="1"/>
  <c r="D56" i="190"/>
  <c r="I56" i="190" s="1"/>
  <c r="D55" i="190"/>
  <c r="I55" i="190" s="1"/>
  <c r="D54" i="190"/>
  <c r="I54" i="190" s="1"/>
  <c r="D53" i="190"/>
  <c r="I53" i="190" s="1"/>
  <c r="D52" i="190"/>
  <c r="I52" i="190" s="1"/>
  <c r="D51" i="190"/>
  <c r="I51" i="190" s="1"/>
  <c r="D50" i="190"/>
  <c r="I50" i="190" s="1"/>
  <c r="D49" i="190"/>
  <c r="I49" i="190" s="1"/>
  <c r="D48" i="190"/>
  <c r="I48" i="190" s="1"/>
  <c r="D45" i="190"/>
  <c r="I45" i="190" s="1"/>
  <c r="D44" i="190"/>
  <c r="I44" i="190" s="1"/>
  <c r="D43" i="190"/>
  <c r="I43" i="190" s="1"/>
  <c r="D42" i="190"/>
  <c r="I42" i="190" s="1"/>
  <c r="D41" i="190"/>
  <c r="I41" i="190" s="1"/>
  <c r="D40" i="190"/>
  <c r="I40" i="190" s="1"/>
  <c r="D39" i="190"/>
  <c r="I39" i="190" s="1"/>
  <c r="D38" i="190"/>
  <c r="I38" i="190" s="1"/>
  <c r="D37" i="190"/>
  <c r="I37" i="190" s="1"/>
  <c r="D36" i="190"/>
  <c r="I36" i="190" s="1"/>
  <c r="D35" i="190"/>
  <c r="I35" i="190" s="1"/>
  <c r="D34" i="190"/>
  <c r="I34" i="190" s="1"/>
  <c r="D33" i="190"/>
  <c r="I33" i="190" s="1"/>
  <c r="D32" i="190"/>
  <c r="I32" i="190" s="1"/>
  <c r="D31" i="190"/>
  <c r="I31" i="190" s="1"/>
  <c r="D30" i="190"/>
  <c r="I30" i="190" s="1"/>
  <c r="D45" i="189"/>
  <c r="D44" i="189"/>
  <c r="I44" i="189" s="1"/>
  <c r="D43" i="189"/>
  <c r="D42" i="189"/>
  <c r="D41" i="189"/>
  <c r="D40" i="189"/>
  <c r="D39" i="189"/>
  <c r="I39" i="189" s="1"/>
  <c r="D38" i="189"/>
  <c r="I38" i="189" s="1"/>
  <c r="D37" i="189"/>
  <c r="D36" i="189"/>
  <c r="I36" i="189" s="1"/>
  <c r="D35" i="189"/>
  <c r="D34" i="189"/>
  <c r="D33" i="189"/>
  <c r="D32" i="189"/>
  <c r="I32" i="189" s="1"/>
  <c r="D31" i="189"/>
  <c r="I31" i="189" s="1"/>
  <c r="D30" i="189"/>
  <c r="I30" i="189" s="1"/>
  <c r="D63" i="189"/>
  <c r="D62" i="189"/>
  <c r="I62" i="189" s="1"/>
  <c r="D61" i="189"/>
  <c r="D60" i="189"/>
  <c r="D59" i="189"/>
  <c r="D58" i="189"/>
  <c r="D57" i="189"/>
  <c r="I57" i="189" s="1"/>
  <c r="D56" i="189"/>
  <c r="I56" i="189" s="1"/>
  <c r="D55" i="189"/>
  <c r="D54" i="189"/>
  <c r="I54" i="189" s="1"/>
  <c r="D53" i="189"/>
  <c r="D52" i="189"/>
  <c r="D51" i="189"/>
  <c r="D50" i="189"/>
  <c r="I50" i="189" s="1"/>
  <c r="D49" i="189"/>
  <c r="I49" i="189" s="1"/>
  <c r="D48" i="189"/>
  <c r="I48" i="189" s="1"/>
  <c r="D63" i="188"/>
  <c r="I63" i="188" s="1"/>
  <c r="D62" i="188"/>
  <c r="I62" i="188" s="1"/>
  <c r="D61" i="188"/>
  <c r="I61" i="188" s="1"/>
  <c r="D60" i="188"/>
  <c r="I60" i="188" s="1"/>
  <c r="D59" i="188"/>
  <c r="I59" i="188" s="1"/>
  <c r="D58" i="188"/>
  <c r="I58" i="188" s="1"/>
  <c r="D57" i="188"/>
  <c r="I57" i="188" s="1"/>
  <c r="D56" i="188"/>
  <c r="I56" i="188" s="1"/>
  <c r="D55" i="188"/>
  <c r="I55" i="188" s="1"/>
  <c r="D54" i="188"/>
  <c r="I54" i="188" s="1"/>
  <c r="D53" i="188"/>
  <c r="D52" i="188"/>
  <c r="I52" i="188" s="1"/>
  <c r="D51" i="188"/>
  <c r="I51" i="188" s="1"/>
  <c r="D50" i="188"/>
  <c r="D49" i="188"/>
  <c r="D48" i="188"/>
  <c r="D45" i="188"/>
  <c r="I45" i="188" s="1"/>
  <c r="D44" i="188"/>
  <c r="I44" i="188" s="1"/>
  <c r="D43" i="188"/>
  <c r="I43" i="188" s="1"/>
  <c r="D42" i="188"/>
  <c r="I42" i="188" s="1"/>
  <c r="D41" i="188"/>
  <c r="I41" i="188" s="1"/>
  <c r="D40" i="188"/>
  <c r="I40" i="188" s="1"/>
  <c r="D39" i="188"/>
  <c r="I39" i="188" s="1"/>
  <c r="D38" i="188"/>
  <c r="I38" i="188" s="1"/>
  <c r="D37" i="188"/>
  <c r="I37" i="188" s="1"/>
  <c r="D36" i="188"/>
  <c r="I36" i="188" s="1"/>
  <c r="D35" i="188"/>
  <c r="D34" i="188"/>
  <c r="I34" i="188" s="1"/>
  <c r="D33" i="188"/>
  <c r="I33" i="188" s="1"/>
  <c r="D32" i="188"/>
  <c r="D31" i="188"/>
  <c r="D30" i="188"/>
  <c r="D45" i="187"/>
  <c r="D44" i="187"/>
  <c r="I44" i="187" s="1"/>
  <c r="D43" i="187"/>
  <c r="D42" i="187"/>
  <c r="D41" i="187"/>
  <c r="D40" i="187"/>
  <c r="D39" i="187"/>
  <c r="I39" i="187" s="1"/>
  <c r="D38" i="187"/>
  <c r="I38" i="187" s="1"/>
  <c r="D37" i="187"/>
  <c r="D36" i="187"/>
  <c r="I36" i="187" s="1"/>
  <c r="D35" i="187"/>
  <c r="D34" i="187"/>
  <c r="D33" i="187"/>
  <c r="D32" i="187"/>
  <c r="D31" i="187"/>
  <c r="I31" i="187" s="1"/>
  <c r="D30" i="187"/>
  <c r="I30" i="187" s="1"/>
  <c r="D63" i="187"/>
  <c r="D62" i="187"/>
  <c r="I62" i="187" s="1"/>
  <c r="D61" i="187"/>
  <c r="D60" i="187"/>
  <c r="D59" i="187"/>
  <c r="D58" i="187"/>
  <c r="D57" i="187"/>
  <c r="I57" i="187" s="1"/>
  <c r="D56" i="187"/>
  <c r="I56" i="187" s="1"/>
  <c r="D55" i="187"/>
  <c r="D54" i="187"/>
  <c r="I54" i="187" s="1"/>
  <c r="D53" i="187"/>
  <c r="D52" i="187"/>
  <c r="D51" i="187"/>
  <c r="D50" i="187"/>
  <c r="D49" i="187"/>
  <c r="I49" i="187" s="1"/>
  <c r="D48" i="187"/>
  <c r="I48" i="187" s="1"/>
  <c r="D63" i="186"/>
  <c r="D62" i="186"/>
  <c r="D61" i="186"/>
  <c r="D60" i="186"/>
  <c r="D59" i="186"/>
  <c r="D58" i="186"/>
  <c r="D57" i="186"/>
  <c r="D56" i="186"/>
  <c r="D55" i="186"/>
  <c r="D54" i="186"/>
  <c r="I54" i="186" s="1"/>
  <c r="D53" i="186"/>
  <c r="I53" i="186" s="1"/>
  <c r="D52" i="186"/>
  <c r="D51" i="186"/>
  <c r="I51" i="186" s="1"/>
  <c r="D50" i="186"/>
  <c r="I50" i="186" s="1"/>
  <c r="D49" i="186"/>
  <c r="I49" i="186" s="1"/>
  <c r="D48" i="186"/>
  <c r="I48" i="186" s="1"/>
  <c r="D45" i="186"/>
  <c r="D44" i="186"/>
  <c r="D43" i="186"/>
  <c r="D42" i="186"/>
  <c r="D41" i="186"/>
  <c r="D40" i="186"/>
  <c r="D39" i="186"/>
  <c r="D38" i="186"/>
  <c r="D37" i="186"/>
  <c r="D36" i="186"/>
  <c r="I36" i="186" s="1"/>
  <c r="D35" i="186"/>
  <c r="I35" i="186" s="1"/>
  <c r="D34" i="186"/>
  <c r="D33" i="186"/>
  <c r="I33" i="186" s="1"/>
  <c r="D32" i="186"/>
  <c r="I32" i="186" s="1"/>
  <c r="D31" i="186"/>
  <c r="I31" i="186" s="1"/>
  <c r="D30" i="186"/>
  <c r="I30" i="186" s="1"/>
  <c r="D63" i="185"/>
  <c r="D62" i="185"/>
  <c r="I62" i="185" s="1"/>
  <c r="D61" i="185"/>
  <c r="D60" i="185"/>
  <c r="I60" i="185" s="1"/>
  <c r="D59" i="185"/>
  <c r="D58" i="185"/>
  <c r="I58" i="185" s="1"/>
  <c r="D57" i="185"/>
  <c r="I57" i="185" s="1"/>
  <c r="D56" i="185"/>
  <c r="I56" i="185" s="1"/>
  <c r="D55" i="185"/>
  <c r="D54" i="185"/>
  <c r="I54" i="185" s="1"/>
  <c r="D53" i="185"/>
  <c r="D52" i="185"/>
  <c r="I52" i="185" s="1"/>
  <c r="D51" i="185"/>
  <c r="D50" i="185"/>
  <c r="I50" i="185" s="1"/>
  <c r="D49" i="185"/>
  <c r="I49" i="185" s="1"/>
  <c r="D48" i="185"/>
  <c r="I48" i="185" s="1"/>
  <c r="D45" i="185"/>
  <c r="I45" i="185" s="1"/>
  <c r="D44" i="185"/>
  <c r="I44" i="185" s="1"/>
  <c r="D43" i="185"/>
  <c r="I43" i="185" s="1"/>
  <c r="D42" i="185"/>
  <c r="I42" i="185" s="1"/>
  <c r="D41" i="185"/>
  <c r="I41" i="185" s="1"/>
  <c r="D40" i="185"/>
  <c r="I40" i="185" s="1"/>
  <c r="D39" i="185"/>
  <c r="I39" i="185" s="1"/>
  <c r="D38" i="185"/>
  <c r="I38" i="185" s="1"/>
  <c r="D37" i="185"/>
  <c r="I37" i="185" s="1"/>
  <c r="D36" i="185"/>
  <c r="I36" i="185" s="1"/>
  <c r="D35" i="185"/>
  <c r="I35" i="185" s="1"/>
  <c r="D34" i="185"/>
  <c r="I34" i="185" s="1"/>
  <c r="D33" i="185"/>
  <c r="I33" i="185" s="1"/>
  <c r="D32" i="185"/>
  <c r="I32" i="185" s="1"/>
  <c r="D31" i="185"/>
  <c r="I31" i="185" s="1"/>
  <c r="D30" i="185"/>
  <c r="I30" i="185" s="1"/>
  <c r="D63" i="203"/>
  <c r="I63" i="203" s="1"/>
  <c r="D62" i="203"/>
  <c r="I62" i="203" s="1"/>
  <c r="D61" i="203"/>
  <c r="I61" i="203" s="1"/>
  <c r="D60" i="203"/>
  <c r="I60" i="203" s="1"/>
  <c r="D59" i="203"/>
  <c r="I59" i="203" s="1"/>
  <c r="D58" i="203"/>
  <c r="I58" i="203" s="1"/>
  <c r="D57" i="203"/>
  <c r="I57" i="203" s="1"/>
  <c r="D56" i="203"/>
  <c r="I56" i="203" s="1"/>
  <c r="D55" i="203"/>
  <c r="I55" i="203" s="1"/>
  <c r="D54" i="203"/>
  <c r="I54" i="203" s="1"/>
  <c r="D53" i="203"/>
  <c r="I53" i="203" s="1"/>
  <c r="D52" i="203"/>
  <c r="I52" i="203" s="1"/>
  <c r="D51" i="203"/>
  <c r="I51" i="203" s="1"/>
  <c r="D50" i="203"/>
  <c r="I50" i="203" s="1"/>
  <c r="D49" i="203"/>
  <c r="I49" i="203" s="1"/>
  <c r="D48" i="203"/>
  <c r="I48" i="203" s="1"/>
  <c r="D45" i="203"/>
  <c r="I45" i="203" s="1"/>
  <c r="D44" i="203"/>
  <c r="I44" i="203" s="1"/>
  <c r="D43" i="203"/>
  <c r="I43" i="203" s="1"/>
  <c r="D42" i="203"/>
  <c r="I42" i="203" s="1"/>
  <c r="D41" i="203"/>
  <c r="I41" i="203" s="1"/>
  <c r="D40" i="203"/>
  <c r="I40" i="203" s="1"/>
  <c r="D39" i="203"/>
  <c r="I39" i="203" s="1"/>
  <c r="D38" i="203"/>
  <c r="I38" i="203" s="1"/>
  <c r="D37" i="203"/>
  <c r="I37" i="203" s="1"/>
  <c r="D36" i="203"/>
  <c r="I36" i="203" s="1"/>
  <c r="D35" i="203"/>
  <c r="I35" i="203" s="1"/>
  <c r="D34" i="203"/>
  <c r="I34" i="203" s="1"/>
  <c r="D33" i="203"/>
  <c r="I33" i="203" s="1"/>
  <c r="D32" i="203"/>
  <c r="I32" i="203" s="1"/>
  <c r="D31" i="203"/>
  <c r="I31" i="203" s="1"/>
  <c r="D30" i="203"/>
  <c r="I30" i="203" s="1"/>
  <c r="D63" i="202"/>
  <c r="D62" i="202"/>
  <c r="D61" i="202"/>
  <c r="D60" i="202"/>
  <c r="D59" i="202"/>
  <c r="D58" i="202"/>
  <c r="D57" i="202"/>
  <c r="D56" i="202"/>
  <c r="D55" i="202"/>
  <c r="D54" i="202"/>
  <c r="D53" i="202"/>
  <c r="D52" i="202"/>
  <c r="D51" i="202"/>
  <c r="D50" i="202"/>
  <c r="D49" i="202"/>
  <c r="D48" i="202"/>
  <c r="D45" i="202"/>
  <c r="D44" i="202"/>
  <c r="D43" i="202"/>
  <c r="D42" i="202"/>
  <c r="D41" i="202"/>
  <c r="D40" i="202"/>
  <c r="D39" i="202"/>
  <c r="D38" i="202"/>
  <c r="D37" i="202"/>
  <c r="D36" i="202"/>
  <c r="D35" i="202"/>
  <c r="D34" i="202"/>
  <c r="D33" i="202"/>
  <c r="D32" i="202"/>
  <c r="D31" i="202"/>
  <c r="D30" i="202"/>
  <c r="D63" i="200"/>
  <c r="I63" i="200" s="1"/>
  <c r="D62" i="200"/>
  <c r="I62" i="200" s="1"/>
  <c r="D61" i="200"/>
  <c r="I61" i="200" s="1"/>
  <c r="D60" i="200"/>
  <c r="D59" i="200"/>
  <c r="I59" i="200" s="1"/>
  <c r="D58" i="200"/>
  <c r="I58" i="200" s="1"/>
  <c r="D57" i="200"/>
  <c r="I57" i="200" s="1"/>
  <c r="D56" i="200"/>
  <c r="I56" i="200" s="1"/>
  <c r="D55" i="200"/>
  <c r="I55" i="200" s="1"/>
  <c r="D54" i="200"/>
  <c r="I54" i="200" s="1"/>
  <c r="D53" i="200"/>
  <c r="I53" i="200" s="1"/>
  <c r="D52" i="200"/>
  <c r="I52" i="200" s="1"/>
  <c r="D51" i="200"/>
  <c r="I51" i="200" s="1"/>
  <c r="D50" i="200"/>
  <c r="I50" i="200" s="1"/>
  <c r="D49" i="200"/>
  <c r="D48" i="200"/>
  <c r="I48" i="200" s="1"/>
  <c r="D45" i="200"/>
  <c r="I45" i="200" s="1"/>
  <c r="D44" i="200"/>
  <c r="I44" i="200" s="1"/>
  <c r="D43" i="200"/>
  <c r="I43" i="200" s="1"/>
  <c r="D42" i="200"/>
  <c r="D41" i="200"/>
  <c r="I41" i="200" s="1"/>
  <c r="D40" i="200"/>
  <c r="I40" i="200" s="1"/>
  <c r="D39" i="200"/>
  <c r="I39" i="200" s="1"/>
  <c r="D38" i="200"/>
  <c r="I38" i="200" s="1"/>
  <c r="D37" i="200"/>
  <c r="I37" i="200" s="1"/>
  <c r="D36" i="200"/>
  <c r="I36" i="200" s="1"/>
  <c r="D35" i="200"/>
  <c r="I35" i="200" s="1"/>
  <c r="D34" i="200"/>
  <c r="I34" i="200" s="1"/>
  <c r="D33" i="200"/>
  <c r="I33" i="200" s="1"/>
  <c r="D32" i="200"/>
  <c r="I32" i="200" s="1"/>
  <c r="D31" i="200"/>
  <c r="D30" i="200"/>
  <c r="I30" i="200" s="1"/>
  <c r="D63" i="199"/>
  <c r="I63" i="199" s="1"/>
  <c r="D62" i="199"/>
  <c r="I62" i="199" s="1"/>
  <c r="D61" i="199"/>
  <c r="I61" i="199" s="1"/>
  <c r="D60" i="199"/>
  <c r="I60" i="199" s="1"/>
  <c r="D59" i="199"/>
  <c r="I59" i="199" s="1"/>
  <c r="D58" i="199"/>
  <c r="I58" i="199" s="1"/>
  <c r="D57" i="199"/>
  <c r="I57" i="199" s="1"/>
  <c r="D56" i="199"/>
  <c r="I56" i="199" s="1"/>
  <c r="D55" i="199"/>
  <c r="I55" i="199" s="1"/>
  <c r="D54" i="199"/>
  <c r="I54" i="199" s="1"/>
  <c r="D53" i="199"/>
  <c r="I53" i="199" s="1"/>
  <c r="D52" i="199"/>
  <c r="I52" i="199" s="1"/>
  <c r="D51" i="199"/>
  <c r="I51" i="199" s="1"/>
  <c r="D50" i="199"/>
  <c r="I50" i="199" s="1"/>
  <c r="D49" i="199"/>
  <c r="I49" i="199" s="1"/>
  <c r="D48" i="199"/>
  <c r="I48" i="199" s="1"/>
  <c r="D45" i="199"/>
  <c r="I45" i="199" s="1"/>
  <c r="D44" i="199"/>
  <c r="I44" i="199" s="1"/>
  <c r="D43" i="199"/>
  <c r="I43" i="199" s="1"/>
  <c r="D42" i="199"/>
  <c r="I42" i="199" s="1"/>
  <c r="D41" i="199"/>
  <c r="I41" i="199" s="1"/>
  <c r="D40" i="199"/>
  <c r="I40" i="199" s="1"/>
  <c r="D39" i="199"/>
  <c r="I39" i="199" s="1"/>
  <c r="D38" i="199"/>
  <c r="I38" i="199" s="1"/>
  <c r="D37" i="199"/>
  <c r="I37" i="199" s="1"/>
  <c r="D36" i="199"/>
  <c r="I36" i="199" s="1"/>
  <c r="D35" i="199"/>
  <c r="I35" i="199" s="1"/>
  <c r="D34" i="199"/>
  <c r="I34" i="199" s="1"/>
  <c r="D33" i="199"/>
  <c r="I33" i="199" s="1"/>
  <c r="D32" i="199"/>
  <c r="I32" i="199" s="1"/>
  <c r="D31" i="199"/>
  <c r="I31" i="199" s="1"/>
  <c r="D30" i="199"/>
  <c r="I30" i="199" s="1"/>
  <c r="D63" i="198"/>
  <c r="D62" i="198"/>
  <c r="I62" i="198" s="1"/>
  <c r="D61" i="198"/>
  <c r="D60" i="198"/>
  <c r="D59" i="198"/>
  <c r="I59" i="198" s="1"/>
  <c r="D58" i="198"/>
  <c r="I58" i="198" s="1"/>
  <c r="D57" i="198"/>
  <c r="I57" i="198" s="1"/>
  <c r="D56" i="198"/>
  <c r="I56" i="198" s="1"/>
  <c r="D55" i="198"/>
  <c r="D54" i="198"/>
  <c r="I54" i="198" s="1"/>
  <c r="D53" i="198"/>
  <c r="D52" i="198"/>
  <c r="D51" i="198"/>
  <c r="D50" i="198"/>
  <c r="I50" i="198" s="1"/>
  <c r="D49" i="198"/>
  <c r="I49" i="198" s="1"/>
  <c r="D48" i="198"/>
  <c r="I48" i="198" s="1"/>
  <c r="D45" i="198"/>
  <c r="D44" i="198"/>
  <c r="I44" i="198" s="1"/>
  <c r="D43" i="198"/>
  <c r="D42" i="198"/>
  <c r="D41" i="198"/>
  <c r="I41" i="198" s="1"/>
  <c r="D40" i="198"/>
  <c r="I40" i="198" s="1"/>
  <c r="D39" i="198"/>
  <c r="I39" i="198" s="1"/>
  <c r="D38" i="198"/>
  <c r="I38" i="198" s="1"/>
  <c r="D37" i="198"/>
  <c r="D36" i="198"/>
  <c r="I36" i="198" s="1"/>
  <c r="D35" i="198"/>
  <c r="D34" i="198"/>
  <c r="D33" i="198"/>
  <c r="D32" i="198"/>
  <c r="I32" i="198" s="1"/>
  <c r="D31" i="198"/>
  <c r="I31" i="198" s="1"/>
  <c r="D30" i="198"/>
  <c r="I30" i="198" s="1"/>
  <c r="D63" i="197"/>
  <c r="I63" i="197" s="1"/>
  <c r="D62" i="197"/>
  <c r="I62" i="197" s="1"/>
  <c r="D61" i="197"/>
  <c r="I61" i="197" s="1"/>
  <c r="D60" i="197"/>
  <c r="I60" i="197" s="1"/>
  <c r="D59" i="197"/>
  <c r="I59" i="197" s="1"/>
  <c r="D58" i="197"/>
  <c r="I58" i="197" s="1"/>
  <c r="D57" i="197"/>
  <c r="I57" i="197" s="1"/>
  <c r="D56" i="197"/>
  <c r="I56" i="197" s="1"/>
  <c r="D55" i="197"/>
  <c r="I55" i="197" s="1"/>
  <c r="D54" i="197"/>
  <c r="D53" i="197"/>
  <c r="D51" i="197"/>
  <c r="I51" i="197" s="1"/>
  <c r="D50" i="197"/>
  <c r="D49" i="197"/>
  <c r="D48" i="197"/>
  <c r="D45" i="197"/>
  <c r="I45" i="197" s="1"/>
  <c r="D44" i="197"/>
  <c r="I44" i="197" s="1"/>
  <c r="D43" i="197"/>
  <c r="I43" i="197" s="1"/>
  <c r="D42" i="197"/>
  <c r="I42" i="197" s="1"/>
  <c r="D41" i="197"/>
  <c r="I41" i="197" s="1"/>
  <c r="D40" i="197"/>
  <c r="I40" i="197" s="1"/>
  <c r="D39" i="197"/>
  <c r="I39" i="197" s="1"/>
  <c r="D38" i="197"/>
  <c r="I38" i="197" s="1"/>
  <c r="D37" i="197"/>
  <c r="I37" i="197" s="1"/>
  <c r="D36" i="197"/>
  <c r="D35" i="197"/>
  <c r="D34" i="197"/>
  <c r="I34" i="197" s="1"/>
  <c r="D33" i="197"/>
  <c r="I33" i="197" s="1"/>
  <c r="D32" i="197"/>
  <c r="D31" i="197"/>
  <c r="D30" i="197"/>
  <c r="D63" i="196"/>
  <c r="D62" i="196"/>
  <c r="D61" i="196"/>
  <c r="D60" i="196"/>
  <c r="D59" i="196"/>
  <c r="I59" i="196" s="1"/>
  <c r="D58" i="196"/>
  <c r="I58" i="196" s="1"/>
  <c r="D57" i="196"/>
  <c r="I57" i="196" s="1"/>
  <c r="D56" i="196"/>
  <c r="I56" i="196" s="1"/>
  <c r="D55" i="196"/>
  <c r="D54" i="196"/>
  <c r="I54" i="196" s="1"/>
  <c r="D53" i="196"/>
  <c r="D52" i="196"/>
  <c r="D51" i="196"/>
  <c r="D50" i="196"/>
  <c r="I50" i="196" s="1"/>
  <c r="D49" i="196"/>
  <c r="I49" i="196" s="1"/>
  <c r="D48" i="196"/>
  <c r="I48" i="196" s="1"/>
  <c r="D45" i="196"/>
  <c r="D44" i="196"/>
  <c r="D43" i="196"/>
  <c r="D42" i="196"/>
  <c r="D41" i="196"/>
  <c r="I41" i="196" s="1"/>
  <c r="D40" i="196"/>
  <c r="I40" i="196" s="1"/>
  <c r="D39" i="196"/>
  <c r="I39" i="196" s="1"/>
  <c r="D38" i="196"/>
  <c r="I38" i="196" s="1"/>
  <c r="D37" i="196"/>
  <c r="D36" i="196"/>
  <c r="I36" i="196" s="1"/>
  <c r="D35" i="196"/>
  <c r="D34" i="196"/>
  <c r="D33" i="196"/>
  <c r="D32" i="196"/>
  <c r="I32" i="196" s="1"/>
  <c r="D31" i="196"/>
  <c r="I31" i="196" s="1"/>
  <c r="D30" i="196"/>
  <c r="I30" i="196" s="1"/>
  <c r="D63" i="195"/>
  <c r="D62" i="195"/>
  <c r="D61" i="195"/>
  <c r="D60" i="195"/>
  <c r="D59" i="195"/>
  <c r="D58" i="195"/>
  <c r="D57" i="195"/>
  <c r="D56" i="195"/>
  <c r="D55" i="195"/>
  <c r="D54" i="195"/>
  <c r="I54" i="195" s="1"/>
  <c r="D53" i="195"/>
  <c r="I53" i="195" s="1"/>
  <c r="D51" i="195"/>
  <c r="I51" i="195" s="1"/>
  <c r="D50" i="195"/>
  <c r="I50" i="195" s="1"/>
  <c r="D49" i="195"/>
  <c r="D48" i="195"/>
  <c r="D45" i="195"/>
  <c r="D44" i="195"/>
  <c r="D43" i="195"/>
  <c r="D42" i="195"/>
  <c r="D41" i="195"/>
  <c r="D40" i="195"/>
  <c r="D39" i="195"/>
  <c r="D38" i="195"/>
  <c r="D37" i="195"/>
  <c r="D36" i="195"/>
  <c r="I36" i="195" s="1"/>
  <c r="D35" i="195"/>
  <c r="I35" i="195" s="1"/>
  <c r="D34" i="195"/>
  <c r="D33" i="195"/>
  <c r="I33" i="195" s="1"/>
  <c r="D32" i="195"/>
  <c r="I32" i="195" s="1"/>
  <c r="D31" i="195"/>
  <c r="D30" i="195"/>
  <c r="D45" i="194"/>
  <c r="I45" i="194" s="1"/>
  <c r="D44" i="194"/>
  <c r="I44" i="194" s="1"/>
  <c r="D43" i="194"/>
  <c r="I43" i="194" s="1"/>
  <c r="D42" i="194"/>
  <c r="I42" i="194" s="1"/>
  <c r="D41" i="194"/>
  <c r="I41" i="194" s="1"/>
  <c r="D40" i="194"/>
  <c r="I40" i="194" s="1"/>
  <c r="D39" i="194"/>
  <c r="I39" i="194" s="1"/>
  <c r="D38" i="194"/>
  <c r="I38" i="194" s="1"/>
  <c r="D37" i="194"/>
  <c r="I37" i="194" s="1"/>
  <c r="D36" i="194"/>
  <c r="I36" i="194" s="1"/>
  <c r="D35" i="194"/>
  <c r="I35" i="194" s="1"/>
  <c r="D34" i="194"/>
  <c r="I34" i="194" s="1"/>
  <c r="D33" i="194"/>
  <c r="I33" i="194" s="1"/>
  <c r="D32" i="194"/>
  <c r="I32" i="194" s="1"/>
  <c r="D31" i="194"/>
  <c r="I31" i="194" s="1"/>
  <c r="D30" i="194"/>
  <c r="I30" i="194" s="1"/>
  <c r="D63" i="194"/>
  <c r="I63" i="194" s="1"/>
  <c r="D62" i="194"/>
  <c r="I62" i="194" s="1"/>
  <c r="D61" i="194"/>
  <c r="I61" i="194" s="1"/>
  <c r="D60" i="194"/>
  <c r="I60" i="194" s="1"/>
  <c r="D59" i="194"/>
  <c r="I59" i="194" s="1"/>
  <c r="D58" i="194"/>
  <c r="I58" i="194" s="1"/>
  <c r="D57" i="194"/>
  <c r="I57" i="194" s="1"/>
  <c r="D56" i="194"/>
  <c r="I56" i="194" s="1"/>
  <c r="D55" i="194"/>
  <c r="I55" i="194" s="1"/>
  <c r="D54" i="194"/>
  <c r="I54" i="194" s="1"/>
  <c r="D53" i="194"/>
  <c r="I53" i="194" s="1"/>
  <c r="D52" i="194"/>
  <c r="I52" i="194" s="1"/>
  <c r="D51" i="194"/>
  <c r="I51" i="194" s="1"/>
  <c r="D50" i="194"/>
  <c r="I50" i="194" s="1"/>
  <c r="D49" i="194"/>
  <c r="I49" i="194" s="1"/>
  <c r="D48" i="194"/>
  <c r="I48" i="194" s="1"/>
  <c r="D52" i="195"/>
  <c r="D52" i="197"/>
  <c r="I52" i="197" s="1"/>
  <c r="D49" i="205"/>
  <c r="I49" i="205" s="1"/>
  <c r="D56" i="180"/>
  <c r="I26" i="147" l="1"/>
  <c r="G202" i="211"/>
  <c r="I37" i="148"/>
  <c r="I32" i="149"/>
  <c r="I79" i="148"/>
  <c r="I69" i="150"/>
  <c r="I33" i="148"/>
  <c r="I55" i="147"/>
  <c r="I33" i="150"/>
  <c r="I35" i="150"/>
  <c r="I73" i="150"/>
  <c r="I69" i="148"/>
  <c r="I73" i="148"/>
  <c r="I61" i="150"/>
  <c r="I70" i="147"/>
  <c r="I73" i="147"/>
  <c r="I63" i="150"/>
  <c r="I14" i="149"/>
  <c r="L79" i="150"/>
  <c r="L43" i="150"/>
  <c r="L25" i="150"/>
  <c r="L25" i="148"/>
  <c r="L79" i="148"/>
  <c r="L43" i="148"/>
  <c r="L74" i="147"/>
  <c r="L38" i="147"/>
  <c r="L56" i="147"/>
  <c r="L20" i="147"/>
  <c r="L79" i="153"/>
  <c r="L43" i="153"/>
  <c r="L25" i="153"/>
  <c r="L25" i="147"/>
  <c r="L79" i="147"/>
  <c r="L43" i="147"/>
  <c r="L38" i="153"/>
  <c r="L56" i="153"/>
  <c r="L74" i="153"/>
  <c r="L20" i="153"/>
  <c r="I71" i="150"/>
  <c r="I52" i="147"/>
  <c r="I35" i="148"/>
  <c r="I58" i="147"/>
  <c r="I45" i="148"/>
  <c r="I81" i="147"/>
  <c r="I71" i="148"/>
  <c r="I76" i="147"/>
  <c r="I27" i="150"/>
  <c r="I81" i="148"/>
  <c r="I63" i="147"/>
  <c r="I79" i="153"/>
  <c r="K25" i="153"/>
  <c r="K79" i="153"/>
  <c r="K43" i="153"/>
  <c r="J54" i="150"/>
  <c r="K54" i="150"/>
  <c r="J54" i="148"/>
  <c r="K54" i="148"/>
  <c r="I43" i="147"/>
  <c r="K25" i="147"/>
  <c r="K79" i="147"/>
  <c r="K43" i="147"/>
  <c r="J54" i="147"/>
  <c r="K54" i="147"/>
  <c r="J54" i="154"/>
  <c r="K54" i="154"/>
  <c r="J74" i="153"/>
  <c r="K56" i="153"/>
  <c r="K38" i="153"/>
  <c r="K74" i="153"/>
  <c r="K20" i="153"/>
  <c r="K56" i="147"/>
  <c r="K74" i="147"/>
  <c r="K38" i="147"/>
  <c r="K20" i="147"/>
  <c r="K18" i="153"/>
  <c r="I79" i="150"/>
  <c r="K25" i="150"/>
  <c r="K79" i="150"/>
  <c r="K43" i="150"/>
  <c r="I61" i="148"/>
  <c r="K79" i="148"/>
  <c r="K43" i="148"/>
  <c r="K25" i="148"/>
  <c r="I15" i="150"/>
  <c r="I17" i="150"/>
  <c r="I19" i="150"/>
  <c r="I15" i="148"/>
  <c r="I17" i="148"/>
  <c r="I19" i="148"/>
  <c r="I22" i="147"/>
  <c r="I43" i="150"/>
  <c r="I45" i="150"/>
  <c r="I68" i="149"/>
  <c r="I25" i="148"/>
  <c r="I27" i="148"/>
  <c r="I34" i="147"/>
  <c r="I45" i="147"/>
  <c r="I19" i="147"/>
  <c r="I24" i="147"/>
  <c r="I53" i="149"/>
  <c r="I43" i="153"/>
  <c r="G94" i="211"/>
  <c r="G22" i="211"/>
  <c r="I77" i="217"/>
  <c r="I59" i="217"/>
  <c r="I41" i="217"/>
  <c r="I75" i="217"/>
  <c r="I57" i="217"/>
  <c r="I39" i="217"/>
  <c r="I57" i="216"/>
  <c r="I75" i="216"/>
  <c r="I39" i="216"/>
  <c r="I71" i="217"/>
  <c r="I53" i="217"/>
  <c r="I35" i="217"/>
  <c r="I81" i="217"/>
  <c r="I63" i="217"/>
  <c r="I45" i="217"/>
  <c r="I78" i="217"/>
  <c r="I60" i="217"/>
  <c r="I42" i="217"/>
  <c r="I24" i="217"/>
  <c r="I69" i="217"/>
  <c r="I51" i="217"/>
  <c r="I33" i="217"/>
  <c r="I67" i="217"/>
  <c r="I49" i="217"/>
  <c r="I31" i="217"/>
  <c r="I63" i="216"/>
  <c r="I81" i="216"/>
  <c r="I45" i="216"/>
  <c r="I59" i="216"/>
  <c r="I23" i="216"/>
  <c r="I77" i="216"/>
  <c r="I41" i="216"/>
  <c r="I52" i="216"/>
  <c r="I16" i="216"/>
  <c r="I70" i="216"/>
  <c r="I34" i="216"/>
  <c r="I50" i="216"/>
  <c r="I68" i="216"/>
  <c r="I32" i="216"/>
  <c r="I28" i="220"/>
  <c r="I82" i="220"/>
  <c r="I64" i="220"/>
  <c r="I46" i="220"/>
  <c r="I64" i="218"/>
  <c r="I28" i="218"/>
  <c r="I82" i="218"/>
  <c r="I46" i="218"/>
  <c r="I64" i="222"/>
  <c r="I46" i="222"/>
  <c r="I30" i="216"/>
  <c r="I66" i="216"/>
  <c r="I48" i="216"/>
  <c r="I76" i="217"/>
  <c r="I58" i="217"/>
  <c r="I40" i="217"/>
  <c r="I22" i="217"/>
  <c r="I80" i="217"/>
  <c r="I62" i="217"/>
  <c r="I44" i="217"/>
  <c r="I70" i="217"/>
  <c r="I52" i="217"/>
  <c r="I34" i="217"/>
  <c r="I68" i="217"/>
  <c r="I50" i="217"/>
  <c r="I32" i="217"/>
  <c r="I66" i="217"/>
  <c r="I48" i="217"/>
  <c r="I30" i="217"/>
  <c r="I62" i="216"/>
  <c r="I26" i="216"/>
  <c r="I80" i="216"/>
  <c r="I44" i="216"/>
  <c r="I58" i="216"/>
  <c r="I22" i="216"/>
  <c r="I76" i="216"/>
  <c r="I40" i="216"/>
  <c r="I73" i="216"/>
  <c r="I37" i="216"/>
  <c r="I55" i="216"/>
  <c r="I71" i="216"/>
  <c r="I35" i="216"/>
  <c r="I53" i="216"/>
  <c r="I33" i="216"/>
  <c r="I51" i="216"/>
  <c r="I69" i="216"/>
  <c r="I67" i="216"/>
  <c r="I31" i="216"/>
  <c r="I49" i="216"/>
  <c r="I13" i="216"/>
  <c r="I82" i="219"/>
  <c r="I64" i="219"/>
  <c r="I46" i="219"/>
  <c r="I28" i="219"/>
  <c r="J38" i="153"/>
  <c r="I20" i="217"/>
  <c r="I60" i="147"/>
  <c r="G58" i="211"/>
  <c r="G40" i="211"/>
  <c r="I13" i="149"/>
  <c r="I71" i="149"/>
  <c r="I14" i="150"/>
  <c r="I39" i="147"/>
  <c r="J20" i="153"/>
  <c r="I31" i="202"/>
  <c r="I33" i="202"/>
  <c r="I35" i="202"/>
  <c r="I37" i="202"/>
  <c r="I39" i="202"/>
  <c r="I41" i="202"/>
  <c r="I43" i="202"/>
  <c r="D25" i="223"/>
  <c r="I25" i="223" s="1"/>
  <c r="I45" i="202"/>
  <c r="I31" i="191"/>
  <c r="I33" i="191"/>
  <c r="I35" i="191"/>
  <c r="I37" i="191"/>
  <c r="I39" i="191"/>
  <c r="I41" i="191"/>
  <c r="I43" i="191"/>
  <c r="I45" i="191"/>
  <c r="I49" i="191"/>
  <c r="I51" i="191"/>
  <c r="I53" i="191"/>
  <c r="I55" i="191"/>
  <c r="I57" i="191"/>
  <c r="I59" i="191"/>
  <c r="I61" i="191"/>
  <c r="I63" i="191"/>
  <c r="G148" i="211"/>
  <c r="I30" i="202"/>
  <c r="I32" i="202"/>
  <c r="I34" i="202"/>
  <c r="I36" i="202"/>
  <c r="D18" i="223"/>
  <c r="I18" i="223" s="1"/>
  <c r="I38" i="202"/>
  <c r="I40" i="202"/>
  <c r="I42" i="202"/>
  <c r="I44" i="202"/>
  <c r="I48" i="202"/>
  <c r="I52" i="202"/>
  <c r="I56" i="202"/>
  <c r="I60" i="202"/>
  <c r="I30" i="191"/>
  <c r="I32" i="191"/>
  <c r="I34" i="191"/>
  <c r="I36" i="191"/>
  <c r="I38" i="191"/>
  <c r="I40" i="191"/>
  <c r="I44" i="191"/>
  <c r="I48" i="191"/>
  <c r="I50" i="191"/>
  <c r="I52" i="191"/>
  <c r="I54" i="191"/>
  <c r="I56" i="191"/>
  <c r="I58" i="191"/>
  <c r="I62" i="191"/>
  <c r="G166" i="211"/>
  <c r="I24" i="150"/>
  <c r="I17" i="149"/>
  <c r="I24" i="148"/>
  <c r="I44" i="147"/>
  <c r="I16" i="150"/>
  <c r="I16" i="148"/>
  <c r="I41" i="147"/>
  <c r="G76" i="211"/>
  <c r="J38" i="147"/>
  <c r="J56" i="147"/>
  <c r="J20" i="147"/>
  <c r="J74" i="147"/>
  <c r="I61" i="153"/>
  <c r="J79" i="153"/>
  <c r="J25" i="153"/>
  <c r="J43" i="153"/>
  <c r="J25" i="150"/>
  <c r="J43" i="150"/>
  <c r="J79" i="150"/>
  <c r="J43" i="148"/>
  <c r="J79" i="148"/>
  <c r="J25" i="148"/>
  <c r="J18" i="153"/>
  <c r="I61" i="147"/>
  <c r="J25" i="147"/>
  <c r="J43" i="147"/>
  <c r="J79" i="147"/>
  <c r="D57" i="205"/>
  <c r="I57" i="205" s="1"/>
  <c r="I60" i="150"/>
  <c r="I31" i="149"/>
  <c r="I60" i="148"/>
  <c r="I62" i="147"/>
  <c r="I50" i="150"/>
  <c r="I52" i="150"/>
  <c r="I50" i="148"/>
  <c r="I52" i="148"/>
  <c r="I21" i="147"/>
  <c r="I23" i="147"/>
  <c r="I25" i="147"/>
  <c r="D64" i="202"/>
  <c r="D48" i="180"/>
  <c r="I48" i="180" s="1"/>
  <c r="I42" i="150"/>
  <c r="I49" i="149"/>
  <c r="I42" i="148"/>
  <c r="I32" i="150"/>
  <c r="I34" i="150"/>
  <c r="I32" i="148"/>
  <c r="I34" i="148"/>
  <c r="I75" i="147"/>
  <c r="I77" i="147"/>
  <c r="I79" i="147"/>
  <c r="D60" i="180"/>
  <c r="I60" i="180" s="1"/>
  <c r="D52" i="180"/>
  <c r="I52" i="180" s="1"/>
  <c r="D64" i="190"/>
  <c r="I64" i="190" s="1"/>
  <c r="I25" i="153"/>
  <c r="D49" i="180"/>
  <c r="I49" i="180" s="1"/>
  <c r="I49" i="202"/>
  <c r="D51" i="180"/>
  <c r="I51" i="180" s="1"/>
  <c r="I51" i="202"/>
  <c r="D53" i="180"/>
  <c r="I53" i="180" s="1"/>
  <c r="I53" i="202"/>
  <c r="D55" i="180"/>
  <c r="I55" i="180" s="1"/>
  <c r="I55" i="202"/>
  <c r="D57" i="180"/>
  <c r="I57" i="180" s="1"/>
  <c r="I57" i="202"/>
  <c r="D59" i="180"/>
  <c r="I59" i="180" s="1"/>
  <c r="I59" i="202"/>
  <c r="D61" i="180"/>
  <c r="I61" i="202"/>
  <c r="D63" i="180"/>
  <c r="I63" i="180" s="1"/>
  <c r="I63" i="202"/>
  <c r="D51" i="205"/>
  <c r="I51" i="205" s="1"/>
  <c r="I51" i="185"/>
  <c r="D53" i="205"/>
  <c r="I53" i="205" s="1"/>
  <c r="I53" i="185"/>
  <c r="D55" i="205"/>
  <c r="I55" i="205" s="1"/>
  <c r="I55" i="185"/>
  <c r="D59" i="205"/>
  <c r="I59" i="205" s="1"/>
  <c r="I59" i="185"/>
  <c r="D61" i="205"/>
  <c r="I61" i="205" s="1"/>
  <c r="I61" i="185"/>
  <c r="D63" i="205"/>
  <c r="I63" i="205" s="1"/>
  <c r="I63" i="185"/>
  <c r="D50" i="180"/>
  <c r="I50" i="180" s="1"/>
  <c r="I50" i="202"/>
  <c r="D54" i="180"/>
  <c r="I54" i="202"/>
  <c r="D58" i="180"/>
  <c r="I58" i="180" s="1"/>
  <c r="I58" i="202"/>
  <c r="D62" i="180"/>
  <c r="I62" i="180" s="1"/>
  <c r="I62" i="202"/>
  <c r="D63" i="206"/>
  <c r="I63" i="206" s="1"/>
  <c r="D64" i="185"/>
  <c r="I64" i="185" s="1"/>
  <c r="D64" i="194"/>
  <c r="I64" i="194" s="1"/>
  <c r="D64" i="196"/>
  <c r="I64" i="196" s="1"/>
  <c r="D64" i="197"/>
  <c r="I64" i="197" s="1"/>
  <c r="D64" i="198"/>
  <c r="I64" i="198" s="1"/>
  <c r="D64" i="199"/>
  <c r="D64" i="200"/>
  <c r="I64" i="200" s="1"/>
  <c r="D64" i="203"/>
  <c r="D64" i="186"/>
  <c r="I64" i="186" s="1"/>
  <c r="D64" i="187"/>
  <c r="I64" i="187" s="1"/>
  <c r="D64" i="189"/>
  <c r="I64" i="189" s="1"/>
  <c r="D64" i="191"/>
  <c r="D64" i="192"/>
  <c r="I64" i="192" s="1"/>
  <c r="I66" i="149"/>
  <c r="I30" i="149"/>
  <c r="I48" i="149"/>
  <c r="I12" i="149"/>
  <c r="D64" i="195"/>
  <c r="I56" i="147"/>
  <c r="I38" i="147"/>
  <c r="I74" i="147"/>
  <c r="I20" i="147"/>
  <c r="D30" i="174"/>
  <c r="I30" i="174" s="1"/>
  <c r="D32" i="174"/>
  <c r="I32" i="174" s="1"/>
  <c r="D34" i="174"/>
  <c r="D36" i="174"/>
  <c r="D38" i="174"/>
  <c r="D40" i="174"/>
  <c r="D42" i="174"/>
  <c r="D44" i="174"/>
  <c r="D48" i="174"/>
  <c r="I48" i="174" s="1"/>
  <c r="D50" i="174"/>
  <c r="I50" i="174" s="1"/>
  <c r="D52" i="174"/>
  <c r="D54" i="174"/>
  <c r="D56" i="174"/>
  <c r="D58" i="174"/>
  <c r="D60" i="174"/>
  <c r="D62" i="174"/>
  <c r="D31" i="174"/>
  <c r="I31" i="174" s="1"/>
  <c r="D33" i="174"/>
  <c r="I33" i="174" s="1"/>
  <c r="D35" i="174"/>
  <c r="I35" i="174" s="1"/>
  <c r="D37" i="174"/>
  <c r="D39" i="174"/>
  <c r="D41" i="174"/>
  <c r="D43" i="174"/>
  <c r="D45" i="174"/>
  <c r="D49" i="174"/>
  <c r="I49" i="174" s="1"/>
  <c r="D51" i="174"/>
  <c r="I51" i="174" s="1"/>
  <c r="D53" i="174"/>
  <c r="I53" i="174" s="1"/>
  <c r="D55" i="174"/>
  <c r="D57" i="174"/>
  <c r="D59" i="174"/>
  <c r="D61" i="174"/>
  <c r="D63" i="174"/>
  <c r="D27" i="174" s="1"/>
  <c r="D25" i="174"/>
  <c r="D23" i="174"/>
  <c r="D21" i="174"/>
  <c r="D19" i="174"/>
  <c r="D17" i="174"/>
  <c r="D15" i="174"/>
  <c r="D13" i="174"/>
  <c r="D62" i="206"/>
  <c r="I62" i="206" s="1"/>
  <c r="D60" i="206"/>
  <c r="I60" i="206" s="1"/>
  <c r="D58" i="206"/>
  <c r="I58" i="206" s="1"/>
  <c r="D56" i="206"/>
  <c r="I56" i="206" s="1"/>
  <c r="D54" i="206"/>
  <c r="I54" i="206" s="1"/>
  <c r="D52" i="206"/>
  <c r="I52" i="206" s="1"/>
  <c r="D50" i="206"/>
  <c r="I50" i="206" s="1"/>
  <c r="D48" i="206"/>
  <c r="I48" i="206" s="1"/>
  <c r="D63" i="181"/>
  <c r="I63" i="181" s="1"/>
  <c r="D61" i="181"/>
  <c r="D59" i="181"/>
  <c r="I59" i="181" s="1"/>
  <c r="D57" i="181"/>
  <c r="I57" i="181" s="1"/>
  <c r="D55" i="181"/>
  <c r="I55" i="181" s="1"/>
  <c r="D53" i="181"/>
  <c r="I53" i="181" s="1"/>
  <c r="D51" i="181"/>
  <c r="I51" i="181" s="1"/>
  <c r="D49" i="181"/>
  <c r="I49" i="181" s="1"/>
  <c r="D62" i="183"/>
  <c r="I62" i="183" s="1"/>
  <c r="D60" i="183"/>
  <c r="D58" i="183"/>
  <c r="I58" i="183" s="1"/>
  <c r="D56" i="183"/>
  <c r="D54" i="183"/>
  <c r="D52" i="183"/>
  <c r="I52" i="183" s="1"/>
  <c r="D50" i="183"/>
  <c r="I50" i="183" s="1"/>
  <c r="D48" i="183"/>
  <c r="I48" i="183" s="1"/>
  <c r="D63" i="178"/>
  <c r="I63" i="178" s="1"/>
  <c r="D61" i="178"/>
  <c r="D59" i="178"/>
  <c r="I59" i="178" s="1"/>
  <c r="D57" i="178"/>
  <c r="I57" i="178" s="1"/>
  <c r="D55" i="178"/>
  <c r="I55" i="178" s="1"/>
  <c r="D53" i="178"/>
  <c r="I53" i="178" s="1"/>
  <c r="D51" i="178"/>
  <c r="I51" i="178" s="1"/>
  <c r="D49" i="178"/>
  <c r="I49" i="178" s="1"/>
  <c r="D62" i="177"/>
  <c r="I62" i="177" s="1"/>
  <c r="D60" i="177"/>
  <c r="D58" i="177"/>
  <c r="I58" i="177" s="1"/>
  <c r="D56" i="177"/>
  <c r="D54" i="177"/>
  <c r="D52" i="177"/>
  <c r="D50" i="177"/>
  <c r="I50" i="177" s="1"/>
  <c r="D48" i="177"/>
  <c r="I48" i="177" s="1"/>
  <c r="D62" i="176"/>
  <c r="I62" i="176" s="1"/>
  <c r="D60" i="176"/>
  <c r="D58" i="176"/>
  <c r="I58" i="176" s="1"/>
  <c r="D56" i="176"/>
  <c r="I56" i="176" s="1"/>
  <c r="D54" i="176"/>
  <c r="I54" i="176" s="1"/>
  <c r="D52" i="176"/>
  <c r="D50" i="176"/>
  <c r="D48" i="176"/>
  <c r="D63" i="175"/>
  <c r="D61" i="175"/>
  <c r="D59" i="175"/>
  <c r="I59" i="175" s="1"/>
  <c r="D57" i="175"/>
  <c r="D55" i="175"/>
  <c r="D53" i="175"/>
  <c r="D51" i="175"/>
  <c r="D49" i="175"/>
  <c r="I49" i="175" s="1"/>
  <c r="D62" i="173"/>
  <c r="I62" i="173" s="1"/>
  <c r="D60" i="173"/>
  <c r="I60" i="173" s="1"/>
  <c r="D58" i="173"/>
  <c r="I58" i="173" s="1"/>
  <c r="D56" i="173"/>
  <c r="D54" i="173"/>
  <c r="D52" i="173"/>
  <c r="I52" i="173" s="1"/>
  <c r="D50" i="173"/>
  <c r="I50" i="173" s="1"/>
  <c r="D48" i="173"/>
  <c r="D61" i="206"/>
  <c r="I61" i="206" s="1"/>
  <c r="D59" i="206"/>
  <c r="I59" i="206" s="1"/>
  <c r="D57" i="206"/>
  <c r="I57" i="206" s="1"/>
  <c r="D55" i="206"/>
  <c r="I55" i="206" s="1"/>
  <c r="D53" i="206"/>
  <c r="I53" i="206" s="1"/>
  <c r="D51" i="206"/>
  <c r="I51" i="206" s="1"/>
  <c r="D49" i="206"/>
  <c r="I49" i="206" s="1"/>
  <c r="D62" i="181"/>
  <c r="I62" i="181" s="1"/>
  <c r="D60" i="181"/>
  <c r="I60" i="181" s="1"/>
  <c r="D58" i="181"/>
  <c r="I58" i="181" s="1"/>
  <c r="D56" i="181"/>
  <c r="D54" i="181"/>
  <c r="D52" i="181"/>
  <c r="I52" i="181" s="1"/>
  <c r="D50" i="181"/>
  <c r="I50" i="181" s="1"/>
  <c r="D48" i="181"/>
  <c r="I48" i="181" s="1"/>
  <c r="D63" i="183"/>
  <c r="D61" i="183"/>
  <c r="D59" i="183"/>
  <c r="I59" i="183" s="1"/>
  <c r="D57" i="183"/>
  <c r="I57" i="183" s="1"/>
  <c r="D55" i="183"/>
  <c r="D53" i="183"/>
  <c r="I53" i="183" s="1"/>
  <c r="D51" i="183"/>
  <c r="I51" i="183" s="1"/>
  <c r="D49" i="183"/>
  <c r="I49" i="183" s="1"/>
  <c r="D62" i="178"/>
  <c r="I62" i="178" s="1"/>
  <c r="D60" i="178"/>
  <c r="I60" i="178" s="1"/>
  <c r="D58" i="178"/>
  <c r="I58" i="178" s="1"/>
  <c r="D56" i="178"/>
  <c r="D54" i="178"/>
  <c r="D52" i="178"/>
  <c r="I52" i="178" s="1"/>
  <c r="D50" i="178"/>
  <c r="I50" i="178" s="1"/>
  <c r="D48" i="178"/>
  <c r="I48" i="178" s="1"/>
  <c r="D63" i="177"/>
  <c r="D61" i="177"/>
  <c r="D59" i="177"/>
  <c r="I59" i="177" s="1"/>
  <c r="D57" i="177"/>
  <c r="I57" i="177" s="1"/>
  <c r="D55" i="177"/>
  <c r="D53" i="177"/>
  <c r="D51" i="177"/>
  <c r="D49" i="177"/>
  <c r="I49" i="177" s="1"/>
  <c r="D63" i="176"/>
  <c r="I63" i="176" s="1"/>
  <c r="D61" i="176"/>
  <c r="D59" i="176"/>
  <c r="I59" i="176" s="1"/>
  <c r="D57" i="176"/>
  <c r="I57" i="176" s="1"/>
  <c r="D55" i="176"/>
  <c r="I55" i="176" s="1"/>
  <c r="D53" i="176"/>
  <c r="D51" i="176"/>
  <c r="I51" i="176" s="1"/>
  <c r="D49" i="176"/>
  <c r="D62" i="175"/>
  <c r="I62" i="175" s="1"/>
  <c r="D60" i="175"/>
  <c r="D58" i="175"/>
  <c r="I58" i="175" s="1"/>
  <c r="D56" i="175"/>
  <c r="D54" i="175"/>
  <c r="D52" i="175"/>
  <c r="D50" i="175"/>
  <c r="D48" i="175"/>
  <c r="I48" i="175" s="1"/>
  <c r="D64" i="188"/>
  <c r="I64" i="188" s="1"/>
  <c r="D62" i="205"/>
  <c r="I62" i="205" s="1"/>
  <c r="D60" i="205"/>
  <c r="I60" i="205" s="1"/>
  <c r="D58" i="205"/>
  <c r="I58" i="205" s="1"/>
  <c r="D56" i="205"/>
  <c r="I56" i="205" s="1"/>
  <c r="D54" i="205"/>
  <c r="I54" i="205" s="1"/>
  <c r="D52" i="205"/>
  <c r="I52" i="205" s="1"/>
  <c r="D50" i="205"/>
  <c r="I50" i="205" s="1"/>
  <c r="D48" i="205"/>
  <c r="I48" i="205" s="1"/>
  <c r="D63" i="173"/>
  <c r="I63" i="173" s="1"/>
  <c r="D61" i="173"/>
  <c r="D59" i="173"/>
  <c r="I59" i="173" s="1"/>
  <c r="D57" i="173"/>
  <c r="I57" i="173" s="1"/>
  <c r="D55" i="173"/>
  <c r="I55" i="173" s="1"/>
  <c r="D53" i="173"/>
  <c r="I53" i="173" s="1"/>
  <c r="D51" i="173"/>
  <c r="I51" i="173" s="1"/>
  <c r="D49" i="173"/>
  <c r="I49" i="173" s="1"/>
  <c r="D46" i="186"/>
  <c r="D46" i="187"/>
  <c r="I46" i="187" s="1"/>
  <c r="D46" i="189"/>
  <c r="D46" i="191"/>
  <c r="D46" i="192"/>
  <c r="I46" i="192" s="1"/>
  <c r="D30" i="173"/>
  <c r="I30" i="173" s="1"/>
  <c r="D32" i="173"/>
  <c r="D34" i="173"/>
  <c r="I34" i="173" s="1"/>
  <c r="D36" i="173"/>
  <c r="D38" i="173"/>
  <c r="D40" i="173"/>
  <c r="D42" i="173"/>
  <c r="I42" i="173" s="1"/>
  <c r="D44" i="173"/>
  <c r="D46" i="195"/>
  <c r="I46" i="195" s="1"/>
  <c r="D33" i="175"/>
  <c r="D35" i="175"/>
  <c r="D37" i="175"/>
  <c r="D39" i="175"/>
  <c r="I39" i="175" s="1"/>
  <c r="D41" i="175"/>
  <c r="D43" i="175"/>
  <c r="D45" i="175"/>
  <c r="D30" i="176"/>
  <c r="D32" i="176"/>
  <c r="D34" i="176"/>
  <c r="I34" i="176" s="1"/>
  <c r="D36" i="176"/>
  <c r="D38" i="176"/>
  <c r="D40" i="176"/>
  <c r="I40" i="176" s="1"/>
  <c r="D42" i="176"/>
  <c r="I42" i="176" s="1"/>
  <c r="D44" i="176"/>
  <c r="I44" i="176" s="1"/>
  <c r="D33" i="177"/>
  <c r="D35" i="177"/>
  <c r="D37" i="177"/>
  <c r="D39" i="177"/>
  <c r="I39" i="177" s="1"/>
  <c r="D41" i="177"/>
  <c r="I41" i="177" s="1"/>
  <c r="D43" i="177"/>
  <c r="D45" i="177"/>
  <c r="D30" i="178"/>
  <c r="D46" i="199"/>
  <c r="I46" i="199" s="1"/>
  <c r="D32" i="178"/>
  <c r="D34" i="178"/>
  <c r="I34" i="178" s="1"/>
  <c r="D36" i="178"/>
  <c r="D38" i="178"/>
  <c r="D40" i="178"/>
  <c r="D42" i="178"/>
  <c r="I42" i="178" s="1"/>
  <c r="D44" i="178"/>
  <c r="D33" i="183"/>
  <c r="I33" i="183" s="1"/>
  <c r="D35" i="183"/>
  <c r="D37" i="183"/>
  <c r="I37" i="183" s="1"/>
  <c r="D39" i="183"/>
  <c r="D41" i="183"/>
  <c r="I41" i="183" s="1"/>
  <c r="D43" i="183"/>
  <c r="D45" i="183"/>
  <c r="I45" i="183" s="1"/>
  <c r="D30" i="180"/>
  <c r="D31" i="180"/>
  <c r="I31" i="180" s="1"/>
  <c r="D32" i="180"/>
  <c r="D33" i="180"/>
  <c r="I33" i="180" s="1"/>
  <c r="D34" i="180"/>
  <c r="D35" i="180"/>
  <c r="I35" i="180" s="1"/>
  <c r="D36" i="180"/>
  <c r="D37" i="180"/>
  <c r="I37" i="180" s="1"/>
  <c r="D38" i="180"/>
  <c r="D20" i="180" s="1"/>
  <c r="D39" i="180"/>
  <c r="I39" i="180" s="1"/>
  <c r="D40" i="180"/>
  <c r="D41" i="180"/>
  <c r="I41" i="180" s="1"/>
  <c r="D42" i="180"/>
  <c r="D43" i="180"/>
  <c r="D44" i="180"/>
  <c r="I44" i="180" s="1"/>
  <c r="D45" i="180"/>
  <c r="I45" i="180" s="1"/>
  <c r="D33" i="181"/>
  <c r="D35" i="181"/>
  <c r="I35" i="181" s="1"/>
  <c r="D37" i="181"/>
  <c r="D39" i="181"/>
  <c r="I39" i="181" s="1"/>
  <c r="D41" i="181"/>
  <c r="D43" i="181"/>
  <c r="D25" i="181" s="1"/>
  <c r="D45" i="181"/>
  <c r="D25" i="175"/>
  <c r="D12" i="185"/>
  <c r="D13" i="185"/>
  <c r="D14" i="185"/>
  <c r="D15" i="185"/>
  <c r="D16" i="185"/>
  <c r="D17" i="185"/>
  <c r="D18" i="185"/>
  <c r="D19" i="185"/>
  <c r="D20" i="185"/>
  <c r="D21" i="185"/>
  <c r="D22" i="185"/>
  <c r="D23" i="185"/>
  <c r="D24" i="185"/>
  <c r="D25" i="185"/>
  <c r="D26" i="185"/>
  <c r="D27" i="185"/>
  <c r="D12" i="186"/>
  <c r="D13" i="186"/>
  <c r="D14" i="186"/>
  <c r="D15" i="186"/>
  <c r="D16" i="186"/>
  <c r="D17" i="186"/>
  <c r="D18" i="186"/>
  <c r="D19" i="186"/>
  <c r="D20" i="186"/>
  <c r="D21" i="186"/>
  <c r="D22" i="186"/>
  <c r="D23" i="186"/>
  <c r="D24" i="186"/>
  <c r="D25" i="186"/>
  <c r="D26" i="186"/>
  <c r="D27" i="186"/>
  <c r="D12" i="187"/>
  <c r="D13" i="187"/>
  <c r="D14" i="187"/>
  <c r="D15" i="187"/>
  <c r="D16" i="187"/>
  <c r="D17" i="187"/>
  <c r="D18" i="187"/>
  <c r="D19" i="187"/>
  <c r="D20" i="187"/>
  <c r="D21" i="187"/>
  <c r="D22" i="187"/>
  <c r="D23" i="187"/>
  <c r="D24" i="187"/>
  <c r="D25" i="187"/>
  <c r="D26" i="187"/>
  <c r="D27" i="187"/>
  <c r="D12" i="188"/>
  <c r="D13" i="188"/>
  <c r="D14" i="188"/>
  <c r="D15" i="188"/>
  <c r="D16" i="188"/>
  <c r="D17" i="188"/>
  <c r="D18" i="188"/>
  <c r="D19" i="188"/>
  <c r="D20" i="188"/>
  <c r="D21" i="188"/>
  <c r="D22" i="188"/>
  <c r="D23" i="188"/>
  <c r="D24" i="188"/>
  <c r="D25" i="188"/>
  <c r="D26" i="188"/>
  <c r="D27" i="188"/>
  <c r="D12" i="189"/>
  <c r="D13" i="189"/>
  <c r="D14" i="189"/>
  <c r="D15" i="189"/>
  <c r="D16" i="189"/>
  <c r="D17" i="189"/>
  <c r="D18" i="189"/>
  <c r="D19" i="189"/>
  <c r="D20" i="189"/>
  <c r="D21" i="189"/>
  <c r="D22" i="189"/>
  <c r="D23" i="189"/>
  <c r="D24" i="189"/>
  <c r="D25" i="189"/>
  <c r="D26" i="189"/>
  <c r="D27" i="189"/>
  <c r="D12" i="190"/>
  <c r="D13" i="190"/>
  <c r="D14" i="190"/>
  <c r="D15" i="190"/>
  <c r="D16" i="190"/>
  <c r="D17" i="190"/>
  <c r="D18" i="190"/>
  <c r="D19" i="190"/>
  <c r="D20" i="190"/>
  <c r="D21" i="190"/>
  <c r="D22" i="190"/>
  <c r="D23" i="190"/>
  <c r="D24" i="190"/>
  <c r="D25" i="190"/>
  <c r="D26" i="190"/>
  <c r="D27" i="190"/>
  <c r="D12" i="191"/>
  <c r="D13" i="191"/>
  <c r="D14" i="191"/>
  <c r="D15" i="191"/>
  <c r="D16" i="191"/>
  <c r="D17" i="191"/>
  <c r="D18" i="191"/>
  <c r="D19" i="191"/>
  <c r="D20" i="191"/>
  <c r="D21" i="191"/>
  <c r="D22" i="191"/>
  <c r="D23" i="191"/>
  <c r="D24" i="191"/>
  <c r="D25" i="191"/>
  <c r="D26" i="191"/>
  <c r="D27" i="191"/>
  <c r="D12" i="192"/>
  <c r="D13" i="192"/>
  <c r="D14" i="192"/>
  <c r="D15" i="192"/>
  <c r="D16" i="192"/>
  <c r="D17" i="192"/>
  <c r="D18" i="192"/>
  <c r="D19" i="192"/>
  <c r="D20" i="192"/>
  <c r="D21" i="192"/>
  <c r="D22" i="192"/>
  <c r="D23" i="192"/>
  <c r="D24" i="192"/>
  <c r="D25" i="192"/>
  <c r="D26" i="192"/>
  <c r="D27" i="192"/>
  <c r="D12" i="194"/>
  <c r="D13" i="194"/>
  <c r="D14" i="194"/>
  <c r="D15" i="194"/>
  <c r="D16" i="194"/>
  <c r="D17" i="194"/>
  <c r="D18" i="194"/>
  <c r="D19" i="194"/>
  <c r="D20" i="194"/>
  <c r="D21" i="194"/>
  <c r="D22" i="194"/>
  <c r="D23" i="194"/>
  <c r="D24" i="194"/>
  <c r="D25" i="194"/>
  <c r="D26" i="194"/>
  <c r="D27" i="194"/>
  <c r="D12" i="195"/>
  <c r="D13" i="195"/>
  <c r="D14" i="195"/>
  <c r="D15" i="195"/>
  <c r="D16" i="195"/>
  <c r="D17" i="195"/>
  <c r="D18" i="195"/>
  <c r="D19" i="195"/>
  <c r="D20" i="195"/>
  <c r="D21" i="195"/>
  <c r="D22" i="195"/>
  <c r="D23" i="195"/>
  <c r="D24" i="195"/>
  <c r="D25" i="195"/>
  <c r="D26" i="195"/>
  <c r="D27" i="195"/>
  <c r="D12" i="196"/>
  <c r="D13" i="196"/>
  <c r="D14" i="196"/>
  <c r="D15" i="196"/>
  <c r="D16" i="196"/>
  <c r="D17" i="196"/>
  <c r="D18" i="196"/>
  <c r="D19" i="196"/>
  <c r="D20" i="196"/>
  <c r="D21" i="196"/>
  <c r="D22" i="196"/>
  <c r="D23" i="196"/>
  <c r="D24" i="196"/>
  <c r="D25" i="196"/>
  <c r="D26" i="196"/>
  <c r="D27" i="196"/>
  <c r="D12" i="197"/>
  <c r="D13" i="197"/>
  <c r="D14" i="197"/>
  <c r="D15" i="197"/>
  <c r="D16" i="197"/>
  <c r="D17" i="197"/>
  <c r="D18" i="197"/>
  <c r="D19" i="197"/>
  <c r="D20" i="197"/>
  <c r="D21" i="197"/>
  <c r="D22" i="197"/>
  <c r="D23" i="197"/>
  <c r="D24" i="197"/>
  <c r="D25" i="197"/>
  <c r="D26" i="197"/>
  <c r="I26" i="197" s="1"/>
  <c r="D27" i="197"/>
  <c r="D12" i="198"/>
  <c r="D13" i="198"/>
  <c r="D14" i="198"/>
  <c r="D15" i="198"/>
  <c r="D16" i="198"/>
  <c r="D17" i="198"/>
  <c r="D18" i="198"/>
  <c r="D19" i="198"/>
  <c r="D20" i="198"/>
  <c r="D21" i="198"/>
  <c r="D22" i="198"/>
  <c r="D23" i="198"/>
  <c r="D24" i="198"/>
  <c r="D25" i="198"/>
  <c r="D26" i="198"/>
  <c r="D27" i="198"/>
  <c r="D12" i="199"/>
  <c r="D13" i="199"/>
  <c r="D14" i="199"/>
  <c r="D15" i="199"/>
  <c r="D16" i="199"/>
  <c r="D17" i="199"/>
  <c r="D18" i="199"/>
  <c r="D19" i="199"/>
  <c r="D20" i="199"/>
  <c r="D21" i="199"/>
  <c r="D22" i="199"/>
  <c r="D23" i="199"/>
  <c r="D24" i="199"/>
  <c r="D25" i="199"/>
  <c r="D26" i="199"/>
  <c r="D27" i="199"/>
  <c r="D12" i="200"/>
  <c r="D13" i="200"/>
  <c r="D14" i="200"/>
  <c r="D15" i="200"/>
  <c r="D16" i="200"/>
  <c r="D17" i="200"/>
  <c r="D18" i="200"/>
  <c r="D19" i="200"/>
  <c r="D20" i="200"/>
  <c r="D21" i="200"/>
  <c r="D22" i="200"/>
  <c r="D23" i="200"/>
  <c r="D24" i="200"/>
  <c r="D25" i="200"/>
  <c r="D26" i="200"/>
  <c r="D27" i="200"/>
  <c r="D12" i="202"/>
  <c r="D13" i="202"/>
  <c r="D14" i="202"/>
  <c r="D15" i="202"/>
  <c r="D16" i="202"/>
  <c r="D17" i="202"/>
  <c r="D18" i="202"/>
  <c r="D19" i="202"/>
  <c r="D20" i="202"/>
  <c r="D21" i="202"/>
  <c r="D22" i="202"/>
  <c r="D23" i="202"/>
  <c r="D24" i="202"/>
  <c r="D25" i="202"/>
  <c r="D26" i="202"/>
  <c r="D27" i="202"/>
  <c r="D12" i="203"/>
  <c r="D13" i="203"/>
  <c r="D14" i="203"/>
  <c r="D15" i="203"/>
  <c r="D16" i="203"/>
  <c r="D17" i="203"/>
  <c r="D18" i="203"/>
  <c r="D19" i="203"/>
  <c r="D20" i="203"/>
  <c r="D21" i="203"/>
  <c r="D22" i="203"/>
  <c r="D23" i="203"/>
  <c r="D24" i="203"/>
  <c r="D25" i="203"/>
  <c r="D26" i="203"/>
  <c r="D27" i="203"/>
  <c r="D81" i="171"/>
  <c r="I81" i="171" s="1"/>
  <c r="D80" i="171"/>
  <c r="I80" i="171" s="1"/>
  <c r="D79" i="171"/>
  <c r="D78" i="171"/>
  <c r="I78" i="171" s="1"/>
  <c r="D77" i="171"/>
  <c r="I77" i="171" s="1"/>
  <c r="D76" i="171"/>
  <c r="I76" i="171" s="1"/>
  <c r="D75" i="171"/>
  <c r="I75" i="171" s="1"/>
  <c r="D74" i="171"/>
  <c r="I74" i="171" s="1"/>
  <c r="D73" i="171"/>
  <c r="I73" i="171" s="1"/>
  <c r="D72" i="171"/>
  <c r="D71" i="171"/>
  <c r="I71" i="171" s="1"/>
  <c r="D70" i="171"/>
  <c r="I70" i="171" s="1"/>
  <c r="D69" i="171"/>
  <c r="I69" i="171" s="1"/>
  <c r="D68" i="171"/>
  <c r="I68" i="171" s="1"/>
  <c r="D67" i="171"/>
  <c r="I67" i="171" s="1"/>
  <c r="D66" i="171"/>
  <c r="I66" i="171" s="1"/>
  <c r="D63" i="171"/>
  <c r="I63" i="171" s="1"/>
  <c r="D62" i="171"/>
  <c r="I62" i="171" s="1"/>
  <c r="D61" i="171"/>
  <c r="D60" i="171"/>
  <c r="I60" i="171" s="1"/>
  <c r="D59" i="171"/>
  <c r="I59" i="171" s="1"/>
  <c r="D58" i="171"/>
  <c r="I58" i="171" s="1"/>
  <c r="D57" i="171"/>
  <c r="I57" i="171" s="1"/>
  <c r="D56" i="171"/>
  <c r="D55" i="171"/>
  <c r="I55" i="171" s="1"/>
  <c r="D54" i="171"/>
  <c r="D53" i="171"/>
  <c r="I53" i="171" s="1"/>
  <c r="D52" i="171"/>
  <c r="I52" i="171" s="1"/>
  <c r="D51" i="171"/>
  <c r="I51" i="171" s="1"/>
  <c r="D50" i="171"/>
  <c r="I50" i="171" s="1"/>
  <c r="D49" i="171"/>
  <c r="I49" i="171" s="1"/>
  <c r="D48" i="171"/>
  <c r="D45" i="171"/>
  <c r="I45" i="171" s="1"/>
  <c r="D44" i="171"/>
  <c r="I44" i="171" s="1"/>
  <c r="D43" i="171"/>
  <c r="D25" i="171" s="1"/>
  <c r="D42" i="171"/>
  <c r="I42" i="171" s="1"/>
  <c r="D41" i="171"/>
  <c r="I41" i="171" s="1"/>
  <c r="D40" i="171"/>
  <c r="D39" i="171"/>
  <c r="I39" i="171" s="1"/>
  <c r="D38" i="171"/>
  <c r="D37" i="171"/>
  <c r="I37" i="171" s="1"/>
  <c r="D36" i="171"/>
  <c r="D35" i="171"/>
  <c r="I35" i="171" s="1"/>
  <c r="D34" i="171"/>
  <c r="D33" i="171"/>
  <c r="I33" i="171" s="1"/>
  <c r="D32" i="171"/>
  <c r="D31" i="171"/>
  <c r="I31" i="171" s="1"/>
  <c r="D30" i="171"/>
  <c r="D81" i="170"/>
  <c r="D80" i="170"/>
  <c r="D79" i="170"/>
  <c r="D78" i="170"/>
  <c r="D77" i="170"/>
  <c r="D77" i="153" s="1"/>
  <c r="I77" i="153" s="1"/>
  <c r="D76" i="170"/>
  <c r="D75" i="170"/>
  <c r="D74" i="170"/>
  <c r="D73" i="170"/>
  <c r="D72" i="170"/>
  <c r="D71" i="170"/>
  <c r="D70" i="170"/>
  <c r="D69" i="170"/>
  <c r="D69" i="153" s="1"/>
  <c r="I69" i="153" s="1"/>
  <c r="D68" i="170"/>
  <c r="D67" i="170"/>
  <c r="D66" i="170"/>
  <c r="D63" i="170"/>
  <c r="D63" i="153" s="1"/>
  <c r="I63" i="153" s="1"/>
  <c r="D62" i="170"/>
  <c r="D61" i="170"/>
  <c r="D60" i="170"/>
  <c r="D59" i="170"/>
  <c r="D58" i="170"/>
  <c r="D57" i="170"/>
  <c r="D56" i="170"/>
  <c r="D55" i="170"/>
  <c r="D55" i="153" s="1"/>
  <c r="I55" i="153" s="1"/>
  <c r="D54" i="170"/>
  <c r="D53" i="170"/>
  <c r="D52" i="170"/>
  <c r="D51" i="170"/>
  <c r="D50" i="170"/>
  <c r="D49" i="170"/>
  <c r="D48" i="170"/>
  <c r="D45" i="170"/>
  <c r="D44" i="170"/>
  <c r="D43" i="170"/>
  <c r="D42" i="170"/>
  <c r="D24" i="217" s="1"/>
  <c r="D41" i="170"/>
  <c r="D41" i="153" s="1"/>
  <c r="I41" i="153" s="1"/>
  <c r="D40" i="170"/>
  <c r="D22" i="217" s="1"/>
  <c r="D39" i="170"/>
  <c r="D38" i="170"/>
  <c r="D37" i="170"/>
  <c r="D36" i="170"/>
  <c r="D35" i="170"/>
  <c r="D34" i="170"/>
  <c r="D33" i="170"/>
  <c r="D33" i="153" s="1"/>
  <c r="I33" i="153" s="1"/>
  <c r="D32" i="170"/>
  <c r="D31" i="170"/>
  <c r="D30" i="170"/>
  <c r="D81" i="169"/>
  <c r="I81" i="169" s="1"/>
  <c r="D80" i="169"/>
  <c r="I80" i="169" s="1"/>
  <c r="D79" i="169"/>
  <c r="D78" i="169"/>
  <c r="D77" i="169"/>
  <c r="I77" i="169" s="1"/>
  <c r="D76" i="169"/>
  <c r="I76" i="169" s="1"/>
  <c r="D75" i="169"/>
  <c r="I75" i="169" s="1"/>
  <c r="D74" i="169"/>
  <c r="I74" i="169" s="1"/>
  <c r="D73" i="169"/>
  <c r="I73" i="169" s="1"/>
  <c r="D72" i="169"/>
  <c r="I72" i="169" s="1"/>
  <c r="D71" i="169"/>
  <c r="I71" i="169" s="1"/>
  <c r="D70" i="169"/>
  <c r="I70" i="169" s="1"/>
  <c r="D69" i="169"/>
  <c r="I69" i="169" s="1"/>
  <c r="D68" i="169"/>
  <c r="I68" i="169" s="1"/>
  <c r="D67" i="169"/>
  <c r="D66" i="169"/>
  <c r="I66" i="169" s="1"/>
  <c r="D63" i="169"/>
  <c r="I63" i="169" s="1"/>
  <c r="D62" i="169"/>
  <c r="I62" i="169" s="1"/>
  <c r="D61" i="169"/>
  <c r="D60" i="169"/>
  <c r="D59" i="169"/>
  <c r="I59" i="169" s="1"/>
  <c r="D58" i="169"/>
  <c r="I58" i="169" s="1"/>
  <c r="D57" i="169"/>
  <c r="I57" i="169" s="1"/>
  <c r="D56" i="169"/>
  <c r="I56" i="169" s="1"/>
  <c r="D55" i="169"/>
  <c r="I55" i="169" s="1"/>
  <c r="D54" i="169"/>
  <c r="D53" i="169"/>
  <c r="I53" i="169" s="1"/>
  <c r="D52" i="169"/>
  <c r="I52" i="169" s="1"/>
  <c r="D51" i="169"/>
  <c r="I51" i="169" s="1"/>
  <c r="D50" i="169"/>
  <c r="I50" i="169" s="1"/>
  <c r="D49" i="169"/>
  <c r="D45" i="169"/>
  <c r="I45" i="169" s="1"/>
  <c r="D44" i="169"/>
  <c r="I44" i="169" s="1"/>
  <c r="D43" i="169"/>
  <c r="D42" i="169"/>
  <c r="D41" i="169"/>
  <c r="I41" i="169" s="1"/>
  <c r="D40" i="169"/>
  <c r="I40" i="169" s="1"/>
  <c r="D39" i="169"/>
  <c r="I39" i="169" s="1"/>
  <c r="D38" i="169"/>
  <c r="I38" i="169" s="1"/>
  <c r="D37" i="169"/>
  <c r="I37" i="169" s="1"/>
  <c r="D36" i="169"/>
  <c r="I36" i="169" s="1"/>
  <c r="D35" i="169"/>
  <c r="I35" i="169" s="1"/>
  <c r="D34" i="169"/>
  <c r="I34" i="169" s="1"/>
  <c r="D33" i="169"/>
  <c r="I33" i="169" s="1"/>
  <c r="D32" i="169"/>
  <c r="I32" i="169" s="1"/>
  <c r="D31" i="169"/>
  <c r="D30" i="169"/>
  <c r="I30" i="169" s="1"/>
  <c r="D81" i="168"/>
  <c r="I81" i="168" s="1"/>
  <c r="D80" i="168"/>
  <c r="I80" i="168" s="1"/>
  <c r="D79" i="168"/>
  <c r="D78" i="168"/>
  <c r="I78" i="168" s="1"/>
  <c r="D77" i="168"/>
  <c r="I77" i="168" s="1"/>
  <c r="D76" i="168"/>
  <c r="I76" i="168" s="1"/>
  <c r="D75" i="168"/>
  <c r="I75" i="168" s="1"/>
  <c r="D74" i="168"/>
  <c r="I74" i="168" s="1"/>
  <c r="D73" i="168"/>
  <c r="I73" i="168" s="1"/>
  <c r="D72" i="168"/>
  <c r="I72" i="168" s="1"/>
  <c r="D71" i="168"/>
  <c r="I71" i="168" s="1"/>
  <c r="D70" i="168"/>
  <c r="I70" i="168" s="1"/>
  <c r="D69" i="168"/>
  <c r="I69" i="168" s="1"/>
  <c r="D68" i="168"/>
  <c r="I68" i="168" s="1"/>
  <c r="D67" i="168"/>
  <c r="D66" i="168"/>
  <c r="I66" i="168" s="1"/>
  <c r="D63" i="168"/>
  <c r="I63" i="168" s="1"/>
  <c r="D62" i="168"/>
  <c r="I62" i="168" s="1"/>
  <c r="D61" i="168"/>
  <c r="D60" i="168"/>
  <c r="I60" i="168" s="1"/>
  <c r="D59" i="168"/>
  <c r="I59" i="168" s="1"/>
  <c r="D58" i="168"/>
  <c r="I58" i="168" s="1"/>
  <c r="D57" i="168"/>
  <c r="I57" i="168" s="1"/>
  <c r="D56" i="168"/>
  <c r="I56" i="168" s="1"/>
  <c r="D55" i="168"/>
  <c r="I55" i="168" s="1"/>
  <c r="D54" i="168"/>
  <c r="I54" i="168" s="1"/>
  <c r="D53" i="168"/>
  <c r="I53" i="168" s="1"/>
  <c r="D52" i="168"/>
  <c r="I52" i="168" s="1"/>
  <c r="D51" i="168"/>
  <c r="I51" i="168" s="1"/>
  <c r="D50" i="168"/>
  <c r="I50" i="168" s="1"/>
  <c r="D49" i="168"/>
  <c r="I49" i="168" s="1"/>
  <c r="D48" i="168"/>
  <c r="I48" i="168" s="1"/>
  <c r="D45" i="168"/>
  <c r="I45" i="168" s="1"/>
  <c r="D44" i="168"/>
  <c r="I44" i="168" s="1"/>
  <c r="D43" i="168"/>
  <c r="D25" i="168" s="1"/>
  <c r="D42" i="168"/>
  <c r="I42" i="168" s="1"/>
  <c r="D41" i="168"/>
  <c r="I41" i="168" s="1"/>
  <c r="D40" i="168"/>
  <c r="I40" i="168" s="1"/>
  <c r="D39" i="168"/>
  <c r="I39" i="168" s="1"/>
  <c r="D38" i="168"/>
  <c r="I38" i="168" s="1"/>
  <c r="D37" i="168"/>
  <c r="I37" i="168" s="1"/>
  <c r="D36" i="168"/>
  <c r="D18" i="168" s="1"/>
  <c r="D35" i="168"/>
  <c r="I35" i="168" s="1"/>
  <c r="D34" i="168"/>
  <c r="I34" i="168" s="1"/>
  <c r="D33" i="168"/>
  <c r="I33" i="168" s="1"/>
  <c r="D32" i="168"/>
  <c r="I32" i="168" s="1"/>
  <c r="D31" i="168"/>
  <c r="I31" i="168" s="1"/>
  <c r="D30" i="168"/>
  <c r="I30" i="168" s="1"/>
  <c r="D81" i="167"/>
  <c r="D80" i="167"/>
  <c r="I80" i="167" s="1"/>
  <c r="D79" i="167"/>
  <c r="D78" i="167"/>
  <c r="D77" i="167"/>
  <c r="I77" i="167" s="1"/>
  <c r="D76" i="167"/>
  <c r="I76" i="167" s="1"/>
  <c r="D75" i="167"/>
  <c r="I75" i="167" s="1"/>
  <c r="D74" i="167"/>
  <c r="I74" i="167" s="1"/>
  <c r="D73" i="167"/>
  <c r="D72" i="167"/>
  <c r="D71" i="167"/>
  <c r="D70" i="167"/>
  <c r="D69" i="167"/>
  <c r="D68" i="167"/>
  <c r="D67" i="167"/>
  <c r="I67" i="167" s="1"/>
  <c r="D66" i="167"/>
  <c r="I66" i="167" s="1"/>
  <c r="D63" i="167"/>
  <c r="D62" i="167"/>
  <c r="I62" i="167" s="1"/>
  <c r="D61" i="167"/>
  <c r="D60" i="167"/>
  <c r="D59" i="167"/>
  <c r="I59" i="167" s="1"/>
  <c r="D58" i="167"/>
  <c r="I58" i="167" s="1"/>
  <c r="D57" i="167"/>
  <c r="I57" i="167" s="1"/>
  <c r="D56" i="167"/>
  <c r="I56" i="167" s="1"/>
  <c r="D55" i="167"/>
  <c r="D54" i="167"/>
  <c r="D53" i="167"/>
  <c r="D52" i="167"/>
  <c r="D51" i="167"/>
  <c r="D50" i="167"/>
  <c r="D49" i="167"/>
  <c r="D48" i="167"/>
  <c r="I48" i="167" s="1"/>
  <c r="D45" i="167"/>
  <c r="D44" i="167"/>
  <c r="I44" i="167" s="1"/>
  <c r="D43" i="167"/>
  <c r="D25" i="167" s="1"/>
  <c r="D42" i="167"/>
  <c r="D24" i="167" s="1"/>
  <c r="D41" i="167"/>
  <c r="I41" i="167" s="1"/>
  <c r="D40" i="167"/>
  <c r="I40" i="167" s="1"/>
  <c r="D39" i="167"/>
  <c r="I39" i="167" s="1"/>
  <c r="D38" i="167"/>
  <c r="I38" i="167" s="1"/>
  <c r="D37" i="167"/>
  <c r="D19" i="167" s="1"/>
  <c r="D36" i="167"/>
  <c r="D18" i="167" s="1"/>
  <c r="D35" i="167"/>
  <c r="D17" i="167" s="1"/>
  <c r="D34" i="167"/>
  <c r="D16" i="167" s="1"/>
  <c r="D33" i="167"/>
  <c r="D15" i="167" s="1"/>
  <c r="D32" i="167"/>
  <c r="D14" i="167" s="1"/>
  <c r="D31" i="167"/>
  <c r="I31" i="167" s="1"/>
  <c r="D30" i="167"/>
  <c r="I30" i="167" s="1"/>
  <c r="D81" i="166"/>
  <c r="I81" i="166" s="1"/>
  <c r="D80" i="166"/>
  <c r="I80" i="166" s="1"/>
  <c r="D79" i="166"/>
  <c r="D78" i="166"/>
  <c r="I78" i="166" s="1"/>
  <c r="D77" i="166"/>
  <c r="I77" i="166" s="1"/>
  <c r="D76" i="166"/>
  <c r="I76" i="166" s="1"/>
  <c r="D75" i="166"/>
  <c r="I75" i="166" s="1"/>
  <c r="D74" i="166"/>
  <c r="I74" i="166" s="1"/>
  <c r="D73" i="166"/>
  <c r="I73" i="166" s="1"/>
  <c r="D72" i="166"/>
  <c r="I72" i="166" s="1"/>
  <c r="D71" i="166"/>
  <c r="D70" i="166"/>
  <c r="I70" i="166" s="1"/>
  <c r="D69" i="166"/>
  <c r="I69" i="166" s="1"/>
  <c r="D68" i="166"/>
  <c r="D67" i="166"/>
  <c r="D66" i="166"/>
  <c r="D63" i="166"/>
  <c r="I63" i="166" s="1"/>
  <c r="D62" i="166"/>
  <c r="I62" i="166" s="1"/>
  <c r="D61" i="166"/>
  <c r="D60" i="166"/>
  <c r="I60" i="166" s="1"/>
  <c r="D59" i="166"/>
  <c r="I59" i="166" s="1"/>
  <c r="D58" i="166"/>
  <c r="I58" i="166" s="1"/>
  <c r="D57" i="166"/>
  <c r="I57" i="166" s="1"/>
  <c r="D56" i="166"/>
  <c r="I56" i="166" s="1"/>
  <c r="D55" i="166"/>
  <c r="I55" i="166" s="1"/>
  <c r="D54" i="166"/>
  <c r="I54" i="166" s="1"/>
  <c r="D53" i="166"/>
  <c r="D52" i="166"/>
  <c r="I52" i="166" s="1"/>
  <c r="D51" i="166"/>
  <c r="I51" i="166" s="1"/>
  <c r="D50" i="166"/>
  <c r="D49" i="166"/>
  <c r="D48" i="166"/>
  <c r="D45" i="166"/>
  <c r="I45" i="166" s="1"/>
  <c r="D44" i="166"/>
  <c r="I44" i="166" s="1"/>
  <c r="D43" i="166"/>
  <c r="D25" i="166" s="1"/>
  <c r="D42" i="166"/>
  <c r="I42" i="166" s="1"/>
  <c r="D41" i="166"/>
  <c r="I41" i="166" s="1"/>
  <c r="D40" i="166"/>
  <c r="I40" i="166" s="1"/>
  <c r="D39" i="166"/>
  <c r="I39" i="166" s="1"/>
  <c r="D38" i="166"/>
  <c r="I38" i="166" s="1"/>
  <c r="D37" i="166"/>
  <c r="I37" i="166" s="1"/>
  <c r="D36" i="166"/>
  <c r="I36" i="166" s="1"/>
  <c r="D35" i="166"/>
  <c r="D17" i="166" s="1"/>
  <c r="D34" i="166"/>
  <c r="I34" i="166" s="1"/>
  <c r="D33" i="166"/>
  <c r="I33" i="166" s="1"/>
  <c r="D32" i="166"/>
  <c r="D14" i="166" s="1"/>
  <c r="D31" i="166"/>
  <c r="D13" i="166" s="1"/>
  <c r="D30" i="166"/>
  <c r="D12" i="166" s="1"/>
  <c r="D81" i="165"/>
  <c r="D80" i="165"/>
  <c r="D79" i="165"/>
  <c r="D78" i="165"/>
  <c r="D77" i="165"/>
  <c r="I77" i="165" s="1"/>
  <c r="D76" i="165"/>
  <c r="I76" i="165" s="1"/>
  <c r="D75" i="165"/>
  <c r="I75" i="165" s="1"/>
  <c r="D74" i="165"/>
  <c r="I74" i="165" s="1"/>
  <c r="D73" i="165"/>
  <c r="D72" i="165"/>
  <c r="D71" i="165"/>
  <c r="D70" i="165"/>
  <c r="D69" i="165"/>
  <c r="D68" i="165"/>
  <c r="D67" i="165"/>
  <c r="I67" i="165" s="1"/>
  <c r="D66" i="165"/>
  <c r="I66" i="165" s="1"/>
  <c r="D63" i="165"/>
  <c r="D62" i="165"/>
  <c r="D61" i="165"/>
  <c r="D60" i="165"/>
  <c r="D59" i="165"/>
  <c r="I59" i="165" s="1"/>
  <c r="D58" i="165"/>
  <c r="I58" i="165" s="1"/>
  <c r="D57" i="165"/>
  <c r="I57" i="165" s="1"/>
  <c r="D56" i="165"/>
  <c r="I56" i="165" s="1"/>
  <c r="D55" i="165"/>
  <c r="D54" i="165"/>
  <c r="D53" i="165"/>
  <c r="D52" i="165"/>
  <c r="D51" i="165"/>
  <c r="D50" i="165"/>
  <c r="D49" i="165"/>
  <c r="I49" i="165" s="1"/>
  <c r="D48" i="165"/>
  <c r="I48" i="165" s="1"/>
  <c r="D45" i="165"/>
  <c r="D44" i="165"/>
  <c r="D26" i="165" s="1"/>
  <c r="D43" i="165"/>
  <c r="D25" i="165" s="1"/>
  <c r="D42" i="165"/>
  <c r="D24" i="165" s="1"/>
  <c r="D41" i="165"/>
  <c r="I41" i="165" s="1"/>
  <c r="D40" i="165"/>
  <c r="I40" i="165" s="1"/>
  <c r="D39" i="165"/>
  <c r="I39" i="165" s="1"/>
  <c r="D38" i="165"/>
  <c r="I38" i="165" s="1"/>
  <c r="D37" i="165"/>
  <c r="D19" i="165" s="1"/>
  <c r="D36" i="165"/>
  <c r="D18" i="165" s="1"/>
  <c r="D35" i="165"/>
  <c r="D17" i="165" s="1"/>
  <c r="D34" i="165"/>
  <c r="D16" i="165" s="1"/>
  <c r="D33" i="165"/>
  <c r="D15" i="165" s="1"/>
  <c r="D32" i="165"/>
  <c r="D14" i="165" s="1"/>
  <c r="D31" i="165"/>
  <c r="I31" i="165" s="1"/>
  <c r="D30" i="165"/>
  <c r="I30" i="165" s="1"/>
  <c r="D81" i="164"/>
  <c r="D80" i="164"/>
  <c r="D79" i="164"/>
  <c r="D78" i="164"/>
  <c r="D77" i="164"/>
  <c r="D76" i="164"/>
  <c r="D75" i="164"/>
  <c r="D74" i="164"/>
  <c r="I74" i="164" s="1"/>
  <c r="D73" i="164"/>
  <c r="D72" i="164"/>
  <c r="I72" i="164" s="1"/>
  <c r="D71" i="164"/>
  <c r="I71" i="164" s="1"/>
  <c r="D70" i="164"/>
  <c r="D69" i="164"/>
  <c r="I69" i="164" s="1"/>
  <c r="D68" i="164"/>
  <c r="I68" i="164" s="1"/>
  <c r="D67" i="164"/>
  <c r="D66" i="164"/>
  <c r="D63" i="164"/>
  <c r="D62" i="164"/>
  <c r="D61" i="164"/>
  <c r="D60" i="164"/>
  <c r="D59" i="164"/>
  <c r="D58" i="164"/>
  <c r="D57" i="164"/>
  <c r="D56" i="164"/>
  <c r="I56" i="164" s="1"/>
  <c r="D55" i="164"/>
  <c r="D54" i="164"/>
  <c r="I54" i="164" s="1"/>
  <c r="D53" i="164"/>
  <c r="I53" i="164" s="1"/>
  <c r="D52" i="164"/>
  <c r="D51" i="164"/>
  <c r="I51" i="164" s="1"/>
  <c r="D50" i="164"/>
  <c r="I50" i="164" s="1"/>
  <c r="D49" i="164"/>
  <c r="D48" i="164"/>
  <c r="D45" i="164"/>
  <c r="D44" i="164"/>
  <c r="D26" i="164" s="1"/>
  <c r="D43" i="164"/>
  <c r="D25" i="164" s="1"/>
  <c r="D42" i="164"/>
  <c r="D24" i="164" s="1"/>
  <c r="D41" i="164"/>
  <c r="D23" i="164" s="1"/>
  <c r="D40" i="164"/>
  <c r="D22" i="164" s="1"/>
  <c r="D39" i="164"/>
  <c r="D21" i="164" s="1"/>
  <c r="D38" i="164"/>
  <c r="I38" i="164" s="1"/>
  <c r="D37" i="164"/>
  <c r="D19" i="164" s="1"/>
  <c r="D36" i="164"/>
  <c r="I36" i="164" s="1"/>
  <c r="D35" i="164"/>
  <c r="I35" i="164" s="1"/>
  <c r="D34" i="164"/>
  <c r="D16" i="164" s="1"/>
  <c r="D33" i="164"/>
  <c r="I33" i="164" s="1"/>
  <c r="D32" i="164"/>
  <c r="I32" i="164" s="1"/>
  <c r="D31" i="164"/>
  <c r="D13" i="164" s="1"/>
  <c r="D30" i="164"/>
  <c r="D45" i="163"/>
  <c r="I45" i="163" s="1"/>
  <c r="D44" i="163"/>
  <c r="I44" i="163" s="1"/>
  <c r="D43" i="163"/>
  <c r="D42" i="163"/>
  <c r="I42" i="163" s="1"/>
  <c r="D41" i="163"/>
  <c r="I41" i="163" s="1"/>
  <c r="D40" i="163"/>
  <c r="I40" i="163" s="1"/>
  <c r="D39" i="163"/>
  <c r="I39" i="163" s="1"/>
  <c r="D38" i="163"/>
  <c r="I38" i="163" s="1"/>
  <c r="D37" i="163"/>
  <c r="I37" i="163" s="1"/>
  <c r="D36" i="163"/>
  <c r="I36" i="163" s="1"/>
  <c r="D35" i="163"/>
  <c r="I35" i="163" s="1"/>
  <c r="D34" i="163"/>
  <c r="I34" i="163" s="1"/>
  <c r="D33" i="163"/>
  <c r="I33" i="163" s="1"/>
  <c r="D32" i="163"/>
  <c r="I32" i="163" s="1"/>
  <c r="D31" i="163"/>
  <c r="I31" i="163" s="1"/>
  <c r="D30" i="163"/>
  <c r="I30" i="163" s="1"/>
  <c r="D81" i="163"/>
  <c r="D80" i="163"/>
  <c r="I80" i="163" s="1"/>
  <c r="D79" i="163"/>
  <c r="D78" i="163"/>
  <c r="I78" i="163" s="1"/>
  <c r="D77" i="163"/>
  <c r="I77" i="163" s="1"/>
  <c r="D76" i="163"/>
  <c r="I76" i="163" s="1"/>
  <c r="D75" i="163"/>
  <c r="I75" i="163" s="1"/>
  <c r="D74" i="163"/>
  <c r="I74" i="163" s="1"/>
  <c r="D73" i="163"/>
  <c r="I73" i="163" s="1"/>
  <c r="D72" i="163"/>
  <c r="I72" i="163" s="1"/>
  <c r="D71" i="163"/>
  <c r="I71" i="163" s="1"/>
  <c r="D70" i="163"/>
  <c r="I70" i="163" s="1"/>
  <c r="D69" i="163"/>
  <c r="I69" i="163" s="1"/>
  <c r="D68" i="163"/>
  <c r="I68" i="163" s="1"/>
  <c r="D67" i="163"/>
  <c r="D66" i="163"/>
  <c r="I66" i="163" s="1"/>
  <c r="D63" i="163"/>
  <c r="D62" i="163"/>
  <c r="I62" i="163" s="1"/>
  <c r="D61" i="163"/>
  <c r="D60" i="163"/>
  <c r="I60" i="163" s="1"/>
  <c r="D59" i="163"/>
  <c r="D58" i="163"/>
  <c r="I58" i="163" s="1"/>
  <c r="D57" i="163"/>
  <c r="D56" i="163"/>
  <c r="I56" i="163" s="1"/>
  <c r="D55" i="163"/>
  <c r="D54" i="163"/>
  <c r="I54" i="163" s="1"/>
  <c r="D53" i="163"/>
  <c r="D52" i="163"/>
  <c r="I52" i="163" s="1"/>
  <c r="D51" i="163"/>
  <c r="D50" i="163"/>
  <c r="I50" i="163" s="1"/>
  <c r="D49" i="163"/>
  <c r="D48" i="163"/>
  <c r="I48" i="163" s="1"/>
  <c r="D66" i="162"/>
  <c r="D81" i="162"/>
  <c r="I81" i="162" s="1"/>
  <c r="D80" i="162"/>
  <c r="D79" i="162"/>
  <c r="I79" i="162" s="1"/>
  <c r="D78" i="162"/>
  <c r="D77" i="162"/>
  <c r="I77" i="162" s="1"/>
  <c r="D76" i="162"/>
  <c r="D75" i="162"/>
  <c r="I75" i="162" s="1"/>
  <c r="D74" i="162"/>
  <c r="D73" i="162"/>
  <c r="I73" i="162" s="1"/>
  <c r="D72" i="162"/>
  <c r="D71" i="162"/>
  <c r="I71" i="162" s="1"/>
  <c r="D70" i="162"/>
  <c r="D69" i="162"/>
  <c r="I69" i="162" s="1"/>
  <c r="D68" i="162"/>
  <c r="D67" i="162"/>
  <c r="I67" i="162" s="1"/>
  <c r="D63" i="162"/>
  <c r="D62" i="162"/>
  <c r="I62" i="162" s="1"/>
  <c r="D61" i="162"/>
  <c r="D60" i="162"/>
  <c r="I60" i="162" s="1"/>
  <c r="D59" i="162"/>
  <c r="D58" i="162"/>
  <c r="I58" i="162" s="1"/>
  <c r="D57" i="162"/>
  <c r="D56" i="162"/>
  <c r="I56" i="162" s="1"/>
  <c r="D55" i="162"/>
  <c r="D54" i="162"/>
  <c r="I54" i="162" s="1"/>
  <c r="D53" i="162"/>
  <c r="D52" i="162"/>
  <c r="I52" i="162" s="1"/>
  <c r="D51" i="162"/>
  <c r="D50" i="162"/>
  <c r="I50" i="162" s="1"/>
  <c r="D49" i="162"/>
  <c r="D48" i="162"/>
  <c r="I48" i="162" s="1"/>
  <c r="D45" i="162"/>
  <c r="I45" i="162" s="1"/>
  <c r="D44" i="162"/>
  <c r="I44" i="162" s="1"/>
  <c r="D43" i="162"/>
  <c r="D42" i="162"/>
  <c r="I42" i="162" s="1"/>
  <c r="D41" i="162"/>
  <c r="I41" i="162" s="1"/>
  <c r="D40" i="162"/>
  <c r="I40" i="162" s="1"/>
  <c r="D39" i="162"/>
  <c r="I39" i="162" s="1"/>
  <c r="D38" i="162"/>
  <c r="I38" i="162" s="1"/>
  <c r="D37" i="162"/>
  <c r="D36" i="162"/>
  <c r="I36" i="162" s="1"/>
  <c r="D35" i="162"/>
  <c r="I35" i="162" s="1"/>
  <c r="D34" i="162"/>
  <c r="I34" i="162" s="1"/>
  <c r="D33" i="162"/>
  <c r="I33" i="162" s="1"/>
  <c r="D32" i="162"/>
  <c r="I32" i="162" s="1"/>
  <c r="D31" i="162"/>
  <c r="I31" i="162" s="1"/>
  <c r="D30" i="162"/>
  <c r="I30" i="162" s="1"/>
  <c r="D81" i="156"/>
  <c r="D81" i="147" s="1"/>
  <c r="D80" i="156"/>
  <c r="D80" i="147" s="1"/>
  <c r="D79" i="156"/>
  <c r="D79" i="147" s="1"/>
  <c r="D78" i="156"/>
  <c r="D78" i="147" s="1"/>
  <c r="D77" i="156"/>
  <c r="D77" i="147" s="1"/>
  <c r="D76" i="156"/>
  <c r="D76" i="147" s="1"/>
  <c r="D75" i="156"/>
  <c r="D75" i="147" s="1"/>
  <c r="D74" i="156"/>
  <c r="D74" i="147" s="1"/>
  <c r="D73" i="156"/>
  <c r="D73" i="147" s="1"/>
  <c r="D72" i="156"/>
  <c r="I72" i="156" s="1"/>
  <c r="D71" i="156"/>
  <c r="D70" i="156"/>
  <c r="D70" i="147" s="1"/>
  <c r="D69" i="156"/>
  <c r="D68" i="156"/>
  <c r="I68" i="156" s="1"/>
  <c r="D67" i="156"/>
  <c r="D66" i="156"/>
  <c r="I66" i="156" s="1"/>
  <c r="D63" i="156"/>
  <c r="D63" i="147" s="1"/>
  <c r="D62" i="156"/>
  <c r="D62" i="147" s="1"/>
  <c r="D61" i="156"/>
  <c r="D61" i="147" s="1"/>
  <c r="D60" i="156"/>
  <c r="D60" i="147" s="1"/>
  <c r="D59" i="156"/>
  <c r="D59" i="147" s="1"/>
  <c r="D58" i="156"/>
  <c r="D58" i="147" s="1"/>
  <c r="D57" i="156"/>
  <c r="D57" i="147" s="1"/>
  <c r="D56" i="156"/>
  <c r="D56" i="147" s="1"/>
  <c r="D55" i="156"/>
  <c r="D55" i="147" s="1"/>
  <c r="D54" i="156"/>
  <c r="I54" i="156" s="1"/>
  <c r="D53" i="156"/>
  <c r="D52" i="156"/>
  <c r="D52" i="147" s="1"/>
  <c r="D51" i="156"/>
  <c r="D50" i="156"/>
  <c r="I50" i="156" s="1"/>
  <c r="D49" i="156"/>
  <c r="D48" i="156"/>
  <c r="I48" i="156" s="1"/>
  <c r="D45" i="156"/>
  <c r="D45" i="147" s="1"/>
  <c r="D44" i="156"/>
  <c r="D44" i="147" s="1"/>
  <c r="D43" i="156"/>
  <c r="D43" i="147" s="1"/>
  <c r="D42" i="156"/>
  <c r="D42" i="147" s="1"/>
  <c r="D41" i="156"/>
  <c r="D41" i="147" s="1"/>
  <c r="D40" i="156"/>
  <c r="D40" i="147" s="1"/>
  <c r="D39" i="156"/>
  <c r="D39" i="147" s="1"/>
  <c r="D38" i="156"/>
  <c r="D38" i="147" s="1"/>
  <c r="D37" i="156"/>
  <c r="D37" i="147" s="1"/>
  <c r="D19" i="147" s="1"/>
  <c r="D36" i="156"/>
  <c r="I36" i="156" s="1"/>
  <c r="D35" i="156"/>
  <c r="D17" i="156" s="1"/>
  <c r="D34" i="156"/>
  <c r="D34" i="147" s="1"/>
  <c r="D33" i="156"/>
  <c r="D15" i="156" s="1"/>
  <c r="D32" i="156"/>
  <c r="I32" i="156" s="1"/>
  <c r="D31" i="156"/>
  <c r="D13" i="156" s="1"/>
  <c r="D30" i="156"/>
  <c r="I30" i="156" s="1"/>
  <c r="D81" i="157"/>
  <c r="D81" i="148" s="1"/>
  <c r="D80" i="157"/>
  <c r="I80" i="157" s="1"/>
  <c r="D79" i="157"/>
  <c r="D79" i="148" s="1"/>
  <c r="D78" i="157"/>
  <c r="D78" i="148" s="1"/>
  <c r="D77" i="157"/>
  <c r="D77" i="148" s="1"/>
  <c r="I77" i="148" s="1"/>
  <c r="D76" i="157"/>
  <c r="D76" i="148" s="1"/>
  <c r="I76" i="148" s="1"/>
  <c r="D75" i="157"/>
  <c r="I75" i="157" s="1"/>
  <c r="D74" i="157"/>
  <c r="I74" i="157" s="1"/>
  <c r="D73" i="157"/>
  <c r="D73" i="148" s="1"/>
  <c r="D72" i="157"/>
  <c r="I72" i="157" s="1"/>
  <c r="D71" i="157"/>
  <c r="D71" i="148" s="1"/>
  <c r="D70" i="157"/>
  <c r="D70" i="148" s="1"/>
  <c r="D69" i="157"/>
  <c r="D69" i="148" s="1"/>
  <c r="D68" i="157"/>
  <c r="D68" i="148" s="1"/>
  <c r="D67" i="157"/>
  <c r="D66" i="157"/>
  <c r="I66" i="157" s="1"/>
  <c r="D63" i="157"/>
  <c r="D63" i="148" s="1"/>
  <c r="D62" i="157"/>
  <c r="I62" i="157" s="1"/>
  <c r="D61" i="157"/>
  <c r="D61" i="148" s="1"/>
  <c r="D60" i="157"/>
  <c r="D60" i="148" s="1"/>
  <c r="D59" i="157"/>
  <c r="D59" i="148" s="1"/>
  <c r="I59" i="148" s="1"/>
  <c r="D58" i="157"/>
  <c r="D58" i="148" s="1"/>
  <c r="I58" i="148" s="1"/>
  <c r="D57" i="157"/>
  <c r="D56" i="157"/>
  <c r="I56" i="157" s="1"/>
  <c r="D55" i="157"/>
  <c r="D55" i="148" s="1"/>
  <c r="D54" i="157"/>
  <c r="I54" i="157" s="1"/>
  <c r="D53" i="157"/>
  <c r="D53" i="148" s="1"/>
  <c r="D52" i="157"/>
  <c r="D52" i="148" s="1"/>
  <c r="D51" i="157"/>
  <c r="D51" i="148" s="1"/>
  <c r="D50" i="157"/>
  <c r="D50" i="148" s="1"/>
  <c r="D49" i="157"/>
  <c r="I49" i="157" s="1"/>
  <c r="D48" i="157"/>
  <c r="I48" i="157" s="1"/>
  <c r="D45" i="157"/>
  <c r="D45" i="148" s="1"/>
  <c r="D27" i="148" s="1"/>
  <c r="D44" i="157"/>
  <c r="I44" i="157" s="1"/>
  <c r="D43" i="157"/>
  <c r="D43" i="148" s="1"/>
  <c r="D25" i="148" s="1"/>
  <c r="D42" i="157"/>
  <c r="D42" i="148" s="1"/>
  <c r="D41" i="157"/>
  <c r="D41" i="148" s="1"/>
  <c r="D40" i="157"/>
  <c r="D22" i="157" s="1"/>
  <c r="D39" i="157"/>
  <c r="D21" i="157" s="1"/>
  <c r="D38" i="157"/>
  <c r="I38" i="157" s="1"/>
  <c r="D37" i="157"/>
  <c r="D37" i="148" s="1"/>
  <c r="D36" i="157"/>
  <c r="I36" i="157" s="1"/>
  <c r="D35" i="157"/>
  <c r="D35" i="148" s="1"/>
  <c r="D34" i="157"/>
  <c r="D34" i="148" s="1"/>
  <c r="D16" i="148" s="1"/>
  <c r="D33" i="157"/>
  <c r="D33" i="148" s="1"/>
  <c r="D32" i="157"/>
  <c r="D32" i="148" s="1"/>
  <c r="D31" i="157"/>
  <c r="D30" i="157"/>
  <c r="I30" i="157" s="1"/>
  <c r="D81" i="158"/>
  <c r="I81" i="158" s="1"/>
  <c r="D80" i="158"/>
  <c r="I80" i="158" s="1"/>
  <c r="D79" i="158"/>
  <c r="I79" i="158" s="1"/>
  <c r="D78" i="158"/>
  <c r="I78" i="158" s="1"/>
  <c r="D77" i="158"/>
  <c r="I77" i="158" s="1"/>
  <c r="D76" i="158"/>
  <c r="I76" i="158" s="1"/>
  <c r="D75" i="158"/>
  <c r="D74" i="158"/>
  <c r="I74" i="158" s="1"/>
  <c r="D73" i="158"/>
  <c r="I73" i="158" s="1"/>
  <c r="D72" i="158"/>
  <c r="I72" i="158" s="1"/>
  <c r="D71" i="158"/>
  <c r="D71" i="149" s="1"/>
  <c r="D70" i="158"/>
  <c r="I70" i="158" s="1"/>
  <c r="D69" i="158"/>
  <c r="D68" i="158"/>
  <c r="D68" i="149" s="1"/>
  <c r="D67" i="158"/>
  <c r="D67" i="149" s="1"/>
  <c r="D66" i="158"/>
  <c r="D66" i="149" s="1"/>
  <c r="D63" i="158"/>
  <c r="I63" i="158" s="1"/>
  <c r="D62" i="158"/>
  <c r="I62" i="158" s="1"/>
  <c r="D61" i="158"/>
  <c r="I61" i="158" s="1"/>
  <c r="D60" i="158"/>
  <c r="I60" i="158" s="1"/>
  <c r="D59" i="158"/>
  <c r="I59" i="158" s="1"/>
  <c r="D58" i="158"/>
  <c r="I58" i="158" s="1"/>
  <c r="D57" i="158"/>
  <c r="I57" i="158" s="1"/>
  <c r="D56" i="158"/>
  <c r="I56" i="158" s="1"/>
  <c r="D55" i="158"/>
  <c r="D54" i="158"/>
  <c r="I54" i="158" s="1"/>
  <c r="D53" i="158"/>
  <c r="D53" i="149" s="1"/>
  <c r="D52" i="158"/>
  <c r="I52" i="158" s="1"/>
  <c r="D51" i="158"/>
  <c r="D50" i="158"/>
  <c r="D50" i="149" s="1"/>
  <c r="D49" i="158"/>
  <c r="D49" i="149" s="1"/>
  <c r="D48" i="158"/>
  <c r="D48" i="149" s="1"/>
  <c r="D45" i="158"/>
  <c r="D27" i="158" s="1"/>
  <c r="D44" i="158"/>
  <c r="I44" i="158" s="1"/>
  <c r="D43" i="158"/>
  <c r="D25" i="158" s="1"/>
  <c r="D42" i="158"/>
  <c r="I42" i="158" s="1"/>
  <c r="D41" i="158"/>
  <c r="D23" i="158" s="1"/>
  <c r="D40" i="158"/>
  <c r="I40" i="158" s="1"/>
  <c r="D39" i="158"/>
  <c r="D21" i="158" s="1"/>
  <c r="D38" i="158"/>
  <c r="I38" i="158" s="1"/>
  <c r="D37" i="158"/>
  <c r="D19" i="158" s="1"/>
  <c r="D36" i="158"/>
  <c r="I36" i="158" s="1"/>
  <c r="D35" i="158"/>
  <c r="D35" i="149" s="1"/>
  <c r="D34" i="158"/>
  <c r="I34" i="158" s="1"/>
  <c r="D33" i="158"/>
  <c r="D15" i="158" s="1"/>
  <c r="D32" i="158"/>
  <c r="D32" i="149" s="1"/>
  <c r="D14" i="149" s="1"/>
  <c r="D31" i="158"/>
  <c r="D31" i="149" s="1"/>
  <c r="D13" i="149" s="1"/>
  <c r="D30" i="158"/>
  <c r="D30" i="149" s="1"/>
  <c r="D81" i="159"/>
  <c r="D81" i="150" s="1"/>
  <c r="D80" i="159"/>
  <c r="I80" i="159" s="1"/>
  <c r="D79" i="159"/>
  <c r="D79" i="150" s="1"/>
  <c r="D78" i="159"/>
  <c r="D78" i="150" s="1"/>
  <c r="D77" i="159"/>
  <c r="D77" i="150" s="1"/>
  <c r="I77" i="150" s="1"/>
  <c r="D76" i="159"/>
  <c r="D76" i="150" s="1"/>
  <c r="I76" i="150" s="1"/>
  <c r="D75" i="159"/>
  <c r="D74" i="159"/>
  <c r="I74" i="159" s="1"/>
  <c r="D73" i="159"/>
  <c r="D73" i="150" s="1"/>
  <c r="D72" i="159"/>
  <c r="I72" i="159" s="1"/>
  <c r="D71" i="159"/>
  <c r="D71" i="150" s="1"/>
  <c r="D70" i="159"/>
  <c r="D70" i="150" s="1"/>
  <c r="D69" i="159"/>
  <c r="D69" i="150" s="1"/>
  <c r="D68" i="159"/>
  <c r="D68" i="150" s="1"/>
  <c r="D67" i="159"/>
  <c r="D66" i="159"/>
  <c r="I66" i="159" s="1"/>
  <c r="D63" i="159"/>
  <c r="D63" i="150" s="1"/>
  <c r="D62" i="159"/>
  <c r="I62" i="159" s="1"/>
  <c r="D61" i="159"/>
  <c r="D61" i="150" s="1"/>
  <c r="D60" i="159"/>
  <c r="D60" i="150" s="1"/>
  <c r="D59" i="159"/>
  <c r="D59" i="150" s="1"/>
  <c r="I59" i="150" s="1"/>
  <c r="D58" i="159"/>
  <c r="D58" i="150" s="1"/>
  <c r="D57" i="159"/>
  <c r="D56" i="159"/>
  <c r="I56" i="159" s="1"/>
  <c r="D55" i="159"/>
  <c r="D55" i="150" s="1"/>
  <c r="D54" i="159"/>
  <c r="I54" i="159" s="1"/>
  <c r="D53" i="159"/>
  <c r="D53" i="150" s="1"/>
  <c r="D52" i="159"/>
  <c r="D52" i="150" s="1"/>
  <c r="D51" i="159"/>
  <c r="D51" i="150" s="1"/>
  <c r="D50" i="159"/>
  <c r="D50" i="150" s="1"/>
  <c r="D49" i="159"/>
  <c r="I49" i="159" s="1"/>
  <c r="D48" i="159"/>
  <c r="I48" i="159" s="1"/>
  <c r="D45" i="159"/>
  <c r="D45" i="150" s="1"/>
  <c r="D44" i="159"/>
  <c r="I44" i="159" s="1"/>
  <c r="D43" i="159"/>
  <c r="D43" i="150" s="1"/>
  <c r="D25" i="150" s="1"/>
  <c r="D42" i="159"/>
  <c r="D42" i="150" s="1"/>
  <c r="D41" i="159"/>
  <c r="D41" i="150" s="1"/>
  <c r="I41" i="150" s="1"/>
  <c r="D40" i="159"/>
  <c r="D40" i="150" s="1"/>
  <c r="I40" i="150" s="1"/>
  <c r="D39" i="159"/>
  <c r="I39" i="159" s="1"/>
  <c r="D38" i="159"/>
  <c r="I38" i="159" s="1"/>
  <c r="D37" i="159"/>
  <c r="D37" i="150" s="1"/>
  <c r="D36" i="159"/>
  <c r="I36" i="159" s="1"/>
  <c r="D35" i="159"/>
  <c r="D35" i="150" s="1"/>
  <c r="D34" i="159"/>
  <c r="D16" i="159" s="1"/>
  <c r="D33" i="159"/>
  <c r="D33" i="150" s="1"/>
  <c r="D32" i="159"/>
  <c r="D32" i="150" s="1"/>
  <c r="D31" i="159"/>
  <c r="D13" i="159" s="1"/>
  <c r="D30" i="159"/>
  <c r="I30" i="159" s="1"/>
  <c r="D81" i="160"/>
  <c r="D80" i="160"/>
  <c r="I80" i="160" s="1"/>
  <c r="D79" i="160"/>
  <c r="I79" i="160" s="1"/>
  <c r="D78" i="160"/>
  <c r="I78" i="160" s="1"/>
  <c r="D77" i="160"/>
  <c r="I77" i="160" s="1"/>
  <c r="D76" i="160"/>
  <c r="I76" i="160" s="1"/>
  <c r="D75" i="160"/>
  <c r="I75" i="160" s="1"/>
  <c r="D74" i="160"/>
  <c r="I74" i="160" s="1"/>
  <c r="D73" i="160"/>
  <c r="D72" i="160"/>
  <c r="I72" i="160" s="1"/>
  <c r="D71" i="160"/>
  <c r="I71" i="160" s="1"/>
  <c r="D70" i="160"/>
  <c r="I70" i="160" s="1"/>
  <c r="D69" i="160"/>
  <c r="I69" i="160" s="1"/>
  <c r="D68" i="160"/>
  <c r="I68" i="160" s="1"/>
  <c r="D67" i="160"/>
  <c r="D66" i="160"/>
  <c r="I66" i="160" s="1"/>
  <c r="D63" i="160"/>
  <c r="D62" i="160"/>
  <c r="I62" i="160" s="1"/>
  <c r="D61" i="160"/>
  <c r="I61" i="160" s="1"/>
  <c r="D60" i="160"/>
  <c r="I60" i="160" s="1"/>
  <c r="D59" i="160"/>
  <c r="I59" i="160" s="1"/>
  <c r="D58" i="160"/>
  <c r="I58" i="160" s="1"/>
  <c r="D57" i="160"/>
  <c r="I57" i="160" s="1"/>
  <c r="D56" i="160"/>
  <c r="I56" i="160" s="1"/>
  <c r="D55" i="160"/>
  <c r="D54" i="160"/>
  <c r="I54" i="160" s="1"/>
  <c r="D53" i="160"/>
  <c r="D52" i="160"/>
  <c r="I52" i="160" s="1"/>
  <c r="D51" i="160"/>
  <c r="D50" i="160"/>
  <c r="I50" i="160" s="1"/>
  <c r="D49" i="160"/>
  <c r="D48" i="160"/>
  <c r="I48" i="160" s="1"/>
  <c r="D45" i="160"/>
  <c r="D44" i="160"/>
  <c r="I44" i="160" s="1"/>
  <c r="D43" i="160"/>
  <c r="D42" i="160"/>
  <c r="I42" i="160" s="1"/>
  <c r="D41" i="160"/>
  <c r="D40" i="160"/>
  <c r="I40" i="160" s="1"/>
  <c r="D39" i="160"/>
  <c r="D38" i="160"/>
  <c r="I38" i="160" s="1"/>
  <c r="D37" i="160"/>
  <c r="D36" i="160"/>
  <c r="I36" i="160" s="1"/>
  <c r="D35" i="160"/>
  <c r="D34" i="160"/>
  <c r="I34" i="160" s="1"/>
  <c r="D33" i="160"/>
  <c r="D32" i="160"/>
  <c r="I32" i="160" s="1"/>
  <c r="D31" i="160"/>
  <c r="D30" i="160"/>
  <c r="I30" i="160" s="1"/>
  <c r="D81" i="161"/>
  <c r="D80" i="161"/>
  <c r="I80" i="161" s="1"/>
  <c r="D79" i="161"/>
  <c r="I79" i="161" s="1"/>
  <c r="D78" i="161"/>
  <c r="D77" i="161"/>
  <c r="I77" i="161" s="1"/>
  <c r="D76" i="161"/>
  <c r="I76" i="161" s="1"/>
  <c r="D75" i="161"/>
  <c r="I75" i="161" s="1"/>
  <c r="D74" i="161"/>
  <c r="I74" i="161" s="1"/>
  <c r="D73" i="161"/>
  <c r="I73" i="161" s="1"/>
  <c r="D72" i="161"/>
  <c r="I72" i="161" s="1"/>
  <c r="D71" i="161"/>
  <c r="I71" i="161" s="1"/>
  <c r="D70" i="161"/>
  <c r="I70" i="161" s="1"/>
  <c r="D69" i="161"/>
  <c r="I69" i="161" s="1"/>
  <c r="D68" i="161"/>
  <c r="I68" i="161" s="1"/>
  <c r="D67" i="161"/>
  <c r="I67" i="161" s="1"/>
  <c r="D66" i="161"/>
  <c r="I66" i="161" s="1"/>
  <c r="D63" i="161"/>
  <c r="D62" i="161"/>
  <c r="I62" i="161" s="1"/>
  <c r="D61" i="161"/>
  <c r="I61" i="161" s="1"/>
  <c r="D60" i="161"/>
  <c r="D59" i="161"/>
  <c r="D58" i="161"/>
  <c r="I58" i="161" s="1"/>
  <c r="D57" i="161"/>
  <c r="D56" i="161"/>
  <c r="I56" i="161" s="1"/>
  <c r="D55" i="161"/>
  <c r="D54" i="161"/>
  <c r="I54" i="161" s="1"/>
  <c r="D53" i="161"/>
  <c r="I53" i="161" s="1"/>
  <c r="D52" i="161"/>
  <c r="I52" i="161" s="1"/>
  <c r="D51" i="161"/>
  <c r="I51" i="161" s="1"/>
  <c r="D50" i="161"/>
  <c r="I50" i="161" s="1"/>
  <c r="D49" i="161"/>
  <c r="D48" i="161"/>
  <c r="I48" i="161" s="1"/>
  <c r="D45" i="161"/>
  <c r="I45" i="161" s="1"/>
  <c r="D44" i="161"/>
  <c r="I44" i="161" s="1"/>
  <c r="D43" i="161"/>
  <c r="I43" i="161" s="1"/>
  <c r="D42" i="161"/>
  <c r="D41" i="161"/>
  <c r="I41" i="161" s="1"/>
  <c r="D40" i="161"/>
  <c r="I40" i="161" s="1"/>
  <c r="D39" i="161"/>
  <c r="I39" i="161" s="1"/>
  <c r="D38" i="161"/>
  <c r="I38" i="161" s="1"/>
  <c r="D37" i="161"/>
  <c r="I37" i="161" s="1"/>
  <c r="D36" i="161"/>
  <c r="I36" i="161" s="1"/>
  <c r="D35" i="161"/>
  <c r="I35" i="161" s="1"/>
  <c r="D34" i="161"/>
  <c r="I34" i="161" s="1"/>
  <c r="D33" i="161"/>
  <c r="I33" i="161" s="1"/>
  <c r="D32" i="161"/>
  <c r="I32" i="161" s="1"/>
  <c r="D31" i="161"/>
  <c r="I31" i="161" s="1"/>
  <c r="D30" i="161"/>
  <c r="I30" i="161" s="1"/>
  <c r="D81" i="155"/>
  <c r="I81" i="155" s="1"/>
  <c r="D80" i="155"/>
  <c r="I80" i="155" s="1"/>
  <c r="D79" i="155"/>
  <c r="I79" i="155" s="1"/>
  <c r="D78" i="155"/>
  <c r="D77" i="155"/>
  <c r="D76" i="155"/>
  <c r="D75" i="155"/>
  <c r="I75" i="155" s="1"/>
  <c r="D74" i="155"/>
  <c r="D73" i="155"/>
  <c r="I73" i="155" s="1"/>
  <c r="D72" i="155"/>
  <c r="D71" i="155"/>
  <c r="I71" i="155" s="1"/>
  <c r="D70" i="155"/>
  <c r="D69" i="155"/>
  <c r="I69" i="155" s="1"/>
  <c r="D68" i="155"/>
  <c r="D67" i="155"/>
  <c r="D66" i="155"/>
  <c r="D63" i="155"/>
  <c r="I63" i="155" s="1"/>
  <c r="D62" i="155"/>
  <c r="I62" i="155" s="1"/>
  <c r="D61" i="155"/>
  <c r="I61" i="155" s="1"/>
  <c r="D60" i="155"/>
  <c r="I60" i="155" s="1"/>
  <c r="D59" i="155"/>
  <c r="I59" i="155" s="1"/>
  <c r="D58" i="155"/>
  <c r="I58" i="155" s="1"/>
  <c r="D57" i="155"/>
  <c r="I57" i="155" s="1"/>
  <c r="D56" i="155"/>
  <c r="I56" i="155" s="1"/>
  <c r="D55" i="155"/>
  <c r="I55" i="155" s="1"/>
  <c r="D54" i="155"/>
  <c r="I54" i="155" s="1"/>
  <c r="D53" i="155"/>
  <c r="I53" i="155" s="1"/>
  <c r="D52" i="155"/>
  <c r="I52" i="155" s="1"/>
  <c r="D51" i="155"/>
  <c r="I51" i="155" s="1"/>
  <c r="D50" i="155"/>
  <c r="I50" i="155" s="1"/>
  <c r="D49" i="155"/>
  <c r="I49" i="155" s="1"/>
  <c r="D48" i="155"/>
  <c r="I48" i="155" s="1"/>
  <c r="D45" i="155"/>
  <c r="I45" i="155" s="1"/>
  <c r="D44" i="155"/>
  <c r="I44" i="155" s="1"/>
  <c r="D43" i="155"/>
  <c r="D42" i="155"/>
  <c r="I42" i="155" s="1"/>
  <c r="D41" i="155"/>
  <c r="I41" i="155" s="1"/>
  <c r="D40" i="155"/>
  <c r="I40" i="155" s="1"/>
  <c r="D39" i="155"/>
  <c r="D38" i="155"/>
  <c r="I38" i="155" s="1"/>
  <c r="D37" i="155"/>
  <c r="I37" i="155" s="1"/>
  <c r="D36" i="155"/>
  <c r="I36" i="155" s="1"/>
  <c r="D35" i="155"/>
  <c r="D34" i="155"/>
  <c r="I34" i="155" s="1"/>
  <c r="D33" i="155"/>
  <c r="I33" i="155" s="1"/>
  <c r="D32" i="155"/>
  <c r="I32" i="155" s="1"/>
  <c r="D31" i="155"/>
  <c r="D30" i="155"/>
  <c r="I30" i="155" s="1"/>
  <c r="D77" i="149"/>
  <c r="I77" i="149" s="1"/>
  <c r="D79" i="151"/>
  <c r="D45" i="146"/>
  <c r="I45" i="146" s="1"/>
  <c r="D27" i="164"/>
  <c r="D27" i="165"/>
  <c r="D27" i="166"/>
  <c r="D27" i="167"/>
  <c r="D19" i="168"/>
  <c r="D27" i="168"/>
  <c r="D23" i="171"/>
  <c r="D17" i="163"/>
  <c r="I27" i="135"/>
  <c r="I26" i="135"/>
  <c r="I25" i="135"/>
  <c r="I24" i="135"/>
  <c r="I23" i="135"/>
  <c r="I22" i="135"/>
  <c r="I21" i="135"/>
  <c r="I20" i="135"/>
  <c r="I19" i="135"/>
  <c r="I18" i="135"/>
  <c r="I17" i="135"/>
  <c r="I16" i="135"/>
  <c r="I15" i="135"/>
  <c r="I14" i="135"/>
  <c r="I13" i="135"/>
  <c r="I12" i="135"/>
  <c r="D27" i="135"/>
  <c r="D26" i="135"/>
  <c r="D25" i="135"/>
  <c r="D24" i="135"/>
  <c r="D23" i="135"/>
  <c r="D22" i="135"/>
  <c r="D21" i="135"/>
  <c r="D20" i="135"/>
  <c r="D19" i="135"/>
  <c r="D18" i="135"/>
  <c r="D17" i="135"/>
  <c r="D16" i="135"/>
  <c r="D15" i="135"/>
  <c r="D14" i="135"/>
  <c r="D13" i="135"/>
  <c r="D12" i="135"/>
  <c r="I27" i="136"/>
  <c r="I26" i="136"/>
  <c r="I25" i="136"/>
  <c r="I24" i="136"/>
  <c r="I23" i="136"/>
  <c r="I22" i="136"/>
  <c r="I21" i="136"/>
  <c r="I20" i="136"/>
  <c r="I19" i="136"/>
  <c r="I18" i="136"/>
  <c r="I17" i="136"/>
  <c r="I16" i="136"/>
  <c r="I15" i="136"/>
  <c r="I14" i="136"/>
  <c r="I13" i="136"/>
  <c r="I12" i="136"/>
  <c r="D27" i="136"/>
  <c r="D26" i="136"/>
  <c r="D25" i="136"/>
  <c r="D24" i="136"/>
  <c r="D23" i="136"/>
  <c r="D22" i="136"/>
  <c r="D21" i="136"/>
  <c r="D20" i="136"/>
  <c r="D19" i="136"/>
  <c r="D18" i="136"/>
  <c r="D17" i="136"/>
  <c r="D16" i="136"/>
  <c r="D15" i="136"/>
  <c r="D14" i="136"/>
  <c r="D13" i="136"/>
  <c r="D12" i="136"/>
  <c r="I27" i="134"/>
  <c r="I26" i="134"/>
  <c r="I24" i="134"/>
  <c r="I23" i="134"/>
  <c r="I22" i="134"/>
  <c r="I21" i="134"/>
  <c r="I19" i="134"/>
  <c r="I17" i="134"/>
  <c r="I16" i="134"/>
  <c r="I15" i="134"/>
  <c r="I14" i="134"/>
  <c r="I13" i="134"/>
  <c r="I12" i="134"/>
  <c r="D14" i="134"/>
  <c r="D23" i="168" l="1"/>
  <c r="D15" i="168"/>
  <c r="D19" i="166"/>
  <c r="D59" i="151"/>
  <c r="I59" i="151" s="1"/>
  <c r="D18" i="180"/>
  <c r="D25" i="163"/>
  <c r="D23" i="167"/>
  <c r="D23" i="166"/>
  <c r="I23" i="166" s="1"/>
  <c r="D15" i="166"/>
  <c r="D23" i="165"/>
  <c r="I23" i="165" s="1"/>
  <c r="D15" i="164"/>
  <c r="I15" i="164" s="1"/>
  <c r="D39" i="150"/>
  <c r="I39" i="150" s="1"/>
  <c r="D81" i="149"/>
  <c r="I81" i="149" s="1"/>
  <c r="D22" i="159"/>
  <c r="D18" i="157"/>
  <c r="I18" i="157" s="1"/>
  <c r="D23" i="170"/>
  <c r="I23" i="170" s="1"/>
  <c r="D36" i="147"/>
  <c r="D21" i="163"/>
  <c r="I21" i="163" s="1"/>
  <c r="D13" i="163"/>
  <c r="I13" i="163" s="1"/>
  <c r="D21" i="168"/>
  <c r="I21" i="168" s="1"/>
  <c r="D17" i="168"/>
  <c r="D13" i="168"/>
  <c r="I13" i="168" s="1"/>
  <c r="D21" i="167"/>
  <c r="I21" i="167" s="1"/>
  <c r="D13" i="167"/>
  <c r="I13" i="167" s="1"/>
  <c r="D21" i="166"/>
  <c r="I21" i="166" s="1"/>
  <c r="D21" i="165"/>
  <c r="I21" i="165" s="1"/>
  <c r="D13" i="165"/>
  <c r="I13" i="165" s="1"/>
  <c r="D17" i="164"/>
  <c r="I17" i="164" s="1"/>
  <c r="D61" i="151"/>
  <c r="D57" i="151"/>
  <c r="I57" i="151" s="1"/>
  <c r="D77" i="151"/>
  <c r="I77" i="151" s="1"/>
  <c r="D79" i="149"/>
  <c r="D46" i="164"/>
  <c r="I46" i="164" s="1"/>
  <c r="I82" i="216"/>
  <c r="I64" i="216"/>
  <c r="I46" i="216"/>
  <c r="D14" i="161"/>
  <c r="I14" i="161" s="1"/>
  <c r="D18" i="158"/>
  <c r="I18" i="158" s="1"/>
  <c r="D18" i="156"/>
  <c r="I18" i="156" s="1"/>
  <c r="D15" i="171"/>
  <c r="I15" i="171" s="1"/>
  <c r="D15" i="170"/>
  <c r="D45" i="154"/>
  <c r="I45" i="154" s="1"/>
  <c r="D40" i="148"/>
  <c r="I40" i="148" s="1"/>
  <c r="D73" i="154"/>
  <c r="I73" i="154" s="1"/>
  <c r="I82" i="217"/>
  <c r="I64" i="217"/>
  <c r="I46" i="217"/>
  <c r="D82" i="166"/>
  <c r="I82" i="166" s="1"/>
  <c r="I49" i="161"/>
  <c r="I55" i="161"/>
  <c r="I57" i="161"/>
  <c r="I59" i="161"/>
  <c r="I63" i="161"/>
  <c r="I81" i="161"/>
  <c r="D42" i="152"/>
  <c r="D60" i="152"/>
  <c r="I31" i="170"/>
  <c r="I33" i="170"/>
  <c r="I35" i="170"/>
  <c r="I37" i="170"/>
  <c r="I39" i="170"/>
  <c r="I41" i="170"/>
  <c r="D43" i="153"/>
  <c r="I45" i="170"/>
  <c r="I49" i="170"/>
  <c r="I51" i="170"/>
  <c r="I53" i="170"/>
  <c r="I55" i="170"/>
  <c r="I57" i="170"/>
  <c r="I59" i="170"/>
  <c r="D61" i="153"/>
  <c r="I63" i="170"/>
  <c r="I67" i="170"/>
  <c r="I69" i="170"/>
  <c r="I71" i="170"/>
  <c r="I73" i="170"/>
  <c r="I75" i="170"/>
  <c r="I77" i="170"/>
  <c r="D79" i="153"/>
  <c r="I81" i="170"/>
  <c r="I64" i="191"/>
  <c r="I64" i="202"/>
  <c r="D64" i="223"/>
  <c r="I64" i="223" s="1"/>
  <c r="D22" i="222"/>
  <c r="D20" i="222"/>
  <c r="D18" i="222"/>
  <c r="D16" i="222"/>
  <c r="D14" i="222"/>
  <c r="I14" i="222" s="1"/>
  <c r="D12" i="222"/>
  <c r="I12" i="222" s="1"/>
  <c r="D26" i="223"/>
  <c r="I26" i="223" s="1"/>
  <c r="D24" i="223"/>
  <c r="I24" i="223" s="1"/>
  <c r="D22" i="223"/>
  <c r="I22" i="223" s="1"/>
  <c r="D20" i="223"/>
  <c r="I20" i="223" s="1"/>
  <c r="D16" i="223"/>
  <c r="I16" i="223" s="1"/>
  <c r="D14" i="223"/>
  <c r="I14" i="223" s="1"/>
  <c r="D12" i="223"/>
  <c r="I12" i="223" s="1"/>
  <c r="D27" i="222"/>
  <c r="I27" i="222" s="1"/>
  <c r="D25" i="222"/>
  <c r="D23" i="222"/>
  <c r="D21" i="222"/>
  <c r="I21" i="222" s="1"/>
  <c r="D19" i="222"/>
  <c r="D17" i="222"/>
  <c r="I17" i="222" s="1"/>
  <c r="D15" i="222"/>
  <c r="I15" i="222" s="1"/>
  <c r="D13" i="222"/>
  <c r="D27" i="223"/>
  <c r="I27" i="223" s="1"/>
  <c r="D23" i="223"/>
  <c r="I23" i="223" s="1"/>
  <c r="D21" i="223"/>
  <c r="I21" i="223" s="1"/>
  <c r="D19" i="223"/>
  <c r="I19" i="223" s="1"/>
  <c r="D17" i="223"/>
  <c r="I17" i="223" s="1"/>
  <c r="D15" i="223"/>
  <c r="I15" i="223" s="1"/>
  <c r="D13" i="223"/>
  <c r="I13" i="223" s="1"/>
  <c r="D27" i="216"/>
  <c r="I27" i="216" s="1"/>
  <c r="D25" i="216"/>
  <c r="D12" i="217"/>
  <c r="I12" i="217" s="1"/>
  <c r="D14" i="217"/>
  <c r="I14" i="217" s="1"/>
  <c r="D16" i="217"/>
  <c r="I16" i="217" s="1"/>
  <c r="D20" i="217"/>
  <c r="D26" i="217"/>
  <c r="I26" i="217" s="1"/>
  <c r="D54" i="153"/>
  <c r="D18" i="217"/>
  <c r="I46" i="191"/>
  <c r="D26" i="222"/>
  <c r="D24" i="222"/>
  <c r="D14" i="155"/>
  <c r="I14" i="155" s="1"/>
  <c r="D27" i="163"/>
  <c r="I27" i="163" s="1"/>
  <c r="D23" i="163"/>
  <c r="I23" i="163" s="1"/>
  <c r="D19" i="163"/>
  <c r="I19" i="163" s="1"/>
  <c r="D15" i="163"/>
  <c r="I15" i="163" s="1"/>
  <c r="D46" i="163"/>
  <c r="I46" i="163" s="1"/>
  <c r="D37" i="146"/>
  <c r="I37" i="146" s="1"/>
  <c r="D73" i="146"/>
  <c r="I73" i="146" s="1"/>
  <c r="D16" i="162"/>
  <c r="I16" i="162" s="1"/>
  <c r="D14" i="160"/>
  <c r="I14" i="160" s="1"/>
  <c r="D26" i="158"/>
  <c r="I26" i="158" s="1"/>
  <c r="D26" i="157"/>
  <c r="I26" i="157" s="1"/>
  <c r="D26" i="156"/>
  <c r="D27" i="171"/>
  <c r="I27" i="171" s="1"/>
  <c r="D19" i="171"/>
  <c r="D27" i="170"/>
  <c r="I27" i="170" s="1"/>
  <c r="D19" i="170"/>
  <c r="I19" i="170" s="1"/>
  <c r="D27" i="169"/>
  <c r="I27" i="169" s="1"/>
  <c r="D64" i="165"/>
  <c r="I64" i="165" s="1"/>
  <c r="D45" i="153"/>
  <c r="I45" i="153" s="1"/>
  <c r="D37" i="153"/>
  <c r="I37" i="153" s="1"/>
  <c r="D44" i="152"/>
  <c r="I44" i="152" s="1"/>
  <c r="D36" i="149"/>
  <c r="D52" i="146"/>
  <c r="I52" i="146" s="1"/>
  <c r="D59" i="153"/>
  <c r="I59" i="153" s="1"/>
  <c r="D51" i="153"/>
  <c r="I51" i="153" s="1"/>
  <c r="D62" i="150"/>
  <c r="I62" i="150" s="1"/>
  <c r="D54" i="148"/>
  <c r="I54" i="148" s="1"/>
  <c r="D48" i="147"/>
  <c r="I48" i="147" s="1"/>
  <c r="D81" i="154"/>
  <c r="I81" i="154" s="1"/>
  <c r="D81" i="153"/>
  <c r="I81" i="153" s="1"/>
  <c r="D73" i="153"/>
  <c r="I73" i="153" s="1"/>
  <c r="D23" i="183"/>
  <c r="I23" i="183" s="1"/>
  <c r="D22" i="155"/>
  <c r="I22" i="155" s="1"/>
  <c r="D24" i="162"/>
  <c r="I24" i="162" s="1"/>
  <c r="D22" i="161"/>
  <c r="I22" i="161" s="1"/>
  <c r="D22" i="160"/>
  <c r="D26" i="159"/>
  <c r="D14" i="159"/>
  <c r="D22" i="158"/>
  <c r="D14" i="158"/>
  <c r="D14" i="157"/>
  <c r="D22" i="156"/>
  <c r="D14" i="156"/>
  <c r="I14" i="156" s="1"/>
  <c r="D42" i="151"/>
  <c r="I42" i="151" s="1"/>
  <c r="D44" i="149"/>
  <c r="I44" i="149" s="1"/>
  <c r="D44" i="148"/>
  <c r="I44" i="148" s="1"/>
  <c r="D36" i="148"/>
  <c r="D32" i="147"/>
  <c r="I32" i="147" s="1"/>
  <c r="D58" i="149"/>
  <c r="I58" i="149" s="1"/>
  <c r="D77" i="154"/>
  <c r="I77" i="154" s="1"/>
  <c r="D69" i="154"/>
  <c r="I69" i="154" s="1"/>
  <c r="D68" i="147"/>
  <c r="D16" i="178"/>
  <c r="I16" i="178" s="1"/>
  <c r="D18" i="178"/>
  <c r="D26" i="155"/>
  <c r="I26" i="155" s="1"/>
  <c r="D18" i="155"/>
  <c r="I18" i="155" s="1"/>
  <c r="D26" i="161"/>
  <c r="I26" i="161" s="1"/>
  <c r="D18" i="161"/>
  <c r="I18" i="161" s="1"/>
  <c r="D26" i="160"/>
  <c r="I26" i="160" s="1"/>
  <c r="D18" i="160"/>
  <c r="I18" i="160" s="1"/>
  <c r="D18" i="159"/>
  <c r="I18" i="159" s="1"/>
  <c r="D46" i="161"/>
  <c r="I46" i="161" s="1"/>
  <c r="D34" i="152"/>
  <c r="I34" i="152" s="1"/>
  <c r="D32" i="151"/>
  <c r="I32" i="151" s="1"/>
  <c r="D34" i="150"/>
  <c r="D16" i="150" s="1"/>
  <c r="D40" i="149"/>
  <c r="I40" i="149" s="1"/>
  <c r="D62" i="149"/>
  <c r="I62" i="149" s="1"/>
  <c r="D52" i="149"/>
  <c r="I52" i="149" s="1"/>
  <c r="D74" i="151"/>
  <c r="D72" i="148"/>
  <c r="D24" i="148"/>
  <c r="D16" i="147"/>
  <c r="D24" i="147"/>
  <c r="D24" i="155"/>
  <c r="I24" i="155" s="1"/>
  <c r="D20" i="155"/>
  <c r="I20" i="155" s="1"/>
  <c r="D16" i="155"/>
  <c r="I16" i="155" s="1"/>
  <c r="D12" i="155"/>
  <c r="I12" i="155" s="1"/>
  <c r="D20" i="162"/>
  <c r="I20" i="162" s="1"/>
  <c r="D12" i="162"/>
  <c r="I12" i="162" s="1"/>
  <c r="D24" i="161"/>
  <c r="D20" i="161"/>
  <c r="I20" i="161" s="1"/>
  <c r="D16" i="161"/>
  <c r="I16" i="161" s="1"/>
  <c r="D12" i="161"/>
  <c r="I12" i="161" s="1"/>
  <c r="D24" i="160"/>
  <c r="I24" i="160" s="1"/>
  <c r="D20" i="160"/>
  <c r="I20" i="160" s="1"/>
  <c r="D16" i="160"/>
  <c r="I16" i="160" s="1"/>
  <c r="D12" i="160"/>
  <c r="I12" i="160" s="1"/>
  <c r="D24" i="159"/>
  <c r="D20" i="159"/>
  <c r="I20" i="159" s="1"/>
  <c r="D12" i="159"/>
  <c r="I12" i="159" s="1"/>
  <c r="D24" i="158"/>
  <c r="I24" i="158" s="1"/>
  <c r="D20" i="158"/>
  <c r="I20" i="158" s="1"/>
  <c r="D16" i="158"/>
  <c r="I16" i="158" s="1"/>
  <c r="D12" i="158"/>
  <c r="D24" i="157"/>
  <c r="D20" i="157"/>
  <c r="I20" i="157" s="1"/>
  <c r="D16" i="157"/>
  <c r="D12" i="157"/>
  <c r="I12" i="157" s="1"/>
  <c r="D24" i="156"/>
  <c r="D20" i="156"/>
  <c r="D16" i="156"/>
  <c r="D12" i="156"/>
  <c r="I12" i="156" s="1"/>
  <c r="D64" i="157"/>
  <c r="I64" i="157" s="1"/>
  <c r="D26" i="163"/>
  <c r="I26" i="163" s="1"/>
  <c r="D24" i="163"/>
  <c r="I24" i="163" s="1"/>
  <c r="D22" i="163"/>
  <c r="I22" i="163" s="1"/>
  <c r="D20" i="163"/>
  <c r="I20" i="163" s="1"/>
  <c r="D18" i="163"/>
  <c r="D16" i="163"/>
  <c r="I16" i="163" s="1"/>
  <c r="D14" i="163"/>
  <c r="I14" i="163" s="1"/>
  <c r="D12" i="163"/>
  <c r="I12" i="163" s="1"/>
  <c r="D21" i="171"/>
  <c r="I21" i="171" s="1"/>
  <c r="D17" i="171"/>
  <c r="I17" i="171" s="1"/>
  <c r="D13" i="171"/>
  <c r="I13" i="171" s="1"/>
  <c r="D25" i="170"/>
  <c r="D21" i="170"/>
  <c r="I21" i="170" s="1"/>
  <c r="D17" i="170"/>
  <c r="I17" i="170" s="1"/>
  <c r="D13" i="170"/>
  <c r="I13" i="170" s="1"/>
  <c r="D19" i="169"/>
  <c r="I19" i="169" s="1"/>
  <c r="D26" i="168"/>
  <c r="I26" i="168" s="1"/>
  <c r="D24" i="168"/>
  <c r="I24" i="168" s="1"/>
  <c r="D22" i="168"/>
  <c r="I22" i="168" s="1"/>
  <c r="D20" i="168"/>
  <c r="I20" i="168" s="1"/>
  <c r="D16" i="168"/>
  <c r="I16" i="168" s="1"/>
  <c r="D14" i="168"/>
  <c r="I14" i="168" s="1"/>
  <c r="D12" i="168"/>
  <c r="I12" i="168" s="1"/>
  <c r="D26" i="167"/>
  <c r="I26" i="167" s="1"/>
  <c r="D22" i="167"/>
  <c r="I22" i="167" s="1"/>
  <c r="D20" i="167"/>
  <c r="I20" i="167" s="1"/>
  <c r="D12" i="167"/>
  <c r="I12" i="167" s="1"/>
  <c r="D26" i="166"/>
  <c r="I26" i="166" s="1"/>
  <c r="D24" i="166"/>
  <c r="I24" i="166" s="1"/>
  <c r="D22" i="166"/>
  <c r="I22" i="166" s="1"/>
  <c r="D20" i="166"/>
  <c r="I20" i="166" s="1"/>
  <c r="D18" i="166"/>
  <c r="D16" i="166"/>
  <c r="I16" i="166" s="1"/>
  <c r="D22" i="165"/>
  <c r="I22" i="165" s="1"/>
  <c r="D20" i="165"/>
  <c r="I20" i="165" s="1"/>
  <c r="D12" i="165"/>
  <c r="I12" i="165" s="1"/>
  <c r="D20" i="164"/>
  <c r="D18" i="164"/>
  <c r="D14" i="164"/>
  <c r="I14" i="164" s="1"/>
  <c r="D12" i="164"/>
  <c r="D33" i="154"/>
  <c r="I33" i="154" s="1"/>
  <c r="D39" i="153"/>
  <c r="D35" i="153"/>
  <c r="D31" i="153"/>
  <c r="I31" i="153" s="1"/>
  <c r="D40" i="152"/>
  <c r="I40" i="152" s="1"/>
  <c r="D30" i="152"/>
  <c r="I30" i="152" s="1"/>
  <c r="D36" i="151"/>
  <c r="D30" i="150"/>
  <c r="I30" i="150" s="1"/>
  <c r="D42" i="149"/>
  <c r="I42" i="149" s="1"/>
  <c r="D38" i="149"/>
  <c r="D34" i="149"/>
  <c r="I34" i="149" s="1"/>
  <c r="D38" i="148"/>
  <c r="D30" i="148"/>
  <c r="I30" i="148" s="1"/>
  <c r="D30" i="147"/>
  <c r="I30" i="147" s="1"/>
  <c r="D60" i="154"/>
  <c r="I60" i="154" s="1"/>
  <c r="D57" i="153"/>
  <c r="I57" i="153" s="1"/>
  <c r="D53" i="153"/>
  <c r="I53" i="153" s="1"/>
  <c r="D49" i="153"/>
  <c r="I49" i="153" s="1"/>
  <c r="D50" i="151"/>
  <c r="I50" i="151" s="1"/>
  <c r="D60" i="149"/>
  <c r="I60" i="149" s="1"/>
  <c r="D54" i="149"/>
  <c r="D62" i="148"/>
  <c r="D48" i="148"/>
  <c r="I48" i="148" s="1"/>
  <c r="D54" i="147"/>
  <c r="I54" i="147" s="1"/>
  <c r="D50" i="147"/>
  <c r="I50" i="147" s="1"/>
  <c r="D79" i="154"/>
  <c r="D75" i="154"/>
  <c r="I75" i="154" s="1"/>
  <c r="D71" i="154"/>
  <c r="I71" i="154" s="1"/>
  <c r="D67" i="154"/>
  <c r="I67" i="154" s="1"/>
  <c r="D75" i="153"/>
  <c r="I75" i="153" s="1"/>
  <c r="D71" i="153"/>
  <c r="I71" i="153" s="1"/>
  <c r="D67" i="153"/>
  <c r="I67" i="153" s="1"/>
  <c r="D80" i="148"/>
  <c r="I80" i="148" s="1"/>
  <c r="D66" i="147"/>
  <c r="I66" i="147" s="1"/>
  <c r="D20" i="178"/>
  <c r="D64" i="180"/>
  <c r="I64" i="180" s="1"/>
  <c r="D22" i="147"/>
  <c r="D14" i="148"/>
  <c r="D36" i="152"/>
  <c r="D32" i="152"/>
  <c r="I32" i="152" s="1"/>
  <c r="D44" i="151"/>
  <c r="I44" i="151" s="1"/>
  <c r="D40" i="151"/>
  <c r="I40" i="151" s="1"/>
  <c r="D34" i="151"/>
  <c r="I34" i="151" s="1"/>
  <c r="D30" i="151"/>
  <c r="I30" i="151" s="1"/>
  <c r="D26" i="147"/>
  <c r="D60" i="146"/>
  <c r="I60" i="146" s="1"/>
  <c r="D48" i="146"/>
  <c r="I48" i="146" s="1"/>
  <c r="D60" i="151"/>
  <c r="I60" i="151" s="1"/>
  <c r="D58" i="151"/>
  <c r="I58" i="151" s="1"/>
  <c r="D54" i="151"/>
  <c r="I54" i="151" s="1"/>
  <c r="D48" i="151"/>
  <c r="I48" i="151" s="1"/>
  <c r="D48" i="150"/>
  <c r="I48" i="150" s="1"/>
  <c r="D78" i="151"/>
  <c r="I78" i="151" s="1"/>
  <c r="D76" i="151"/>
  <c r="I76" i="151" s="1"/>
  <c r="D70" i="151"/>
  <c r="I70" i="151" s="1"/>
  <c r="D80" i="149"/>
  <c r="I80" i="149" s="1"/>
  <c r="D78" i="149"/>
  <c r="I78" i="149" s="1"/>
  <c r="D72" i="149"/>
  <c r="D46" i="157"/>
  <c r="I46" i="157" s="1"/>
  <c r="D14" i="162"/>
  <c r="I14" i="162" s="1"/>
  <c r="D18" i="162"/>
  <c r="I18" i="162" s="1"/>
  <c r="D22" i="162"/>
  <c r="D26" i="162"/>
  <c r="I26" i="162" s="1"/>
  <c r="D82" i="164"/>
  <c r="I82" i="164" s="1"/>
  <c r="D46" i="166"/>
  <c r="I46" i="166" s="1"/>
  <c r="D13" i="169"/>
  <c r="D25" i="169"/>
  <c r="D64" i="169"/>
  <c r="I64" i="169" s="1"/>
  <c r="D46" i="170"/>
  <c r="D82" i="170"/>
  <c r="D82" i="153" s="1"/>
  <c r="I82" i="153" s="1"/>
  <c r="D28" i="195"/>
  <c r="I28" i="195" s="1"/>
  <c r="D17" i="181"/>
  <c r="D24" i="178"/>
  <c r="I24" i="178" s="1"/>
  <c r="D26" i="176"/>
  <c r="I26" i="176" s="1"/>
  <c r="D25" i="183"/>
  <c r="D25" i="177"/>
  <c r="D17" i="177"/>
  <c r="D14" i="176"/>
  <c r="D27" i="175"/>
  <c r="D19" i="175"/>
  <c r="D15" i="175"/>
  <c r="D18" i="173"/>
  <c r="D64" i="175"/>
  <c r="I64" i="175" s="1"/>
  <c r="D27" i="177"/>
  <c r="D17" i="175"/>
  <c r="D64" i="177"/>
  <c r="I64" i="177" s="1"/>
  <c r="I39" i="153"/>
  <c r="I31" i="155"/>
  <c r="D31" i="146"/>
  <c r="I31" i="146" s="1"/>
  <c r="D46" i="155"/>
  <c r="I46" i="155" s="1"/>
  <c r="I35" i="155"/>
  <c r="D35" i="146"/>
  <c r="I35" i="146" s="1"/>
  <c r="I39" i="155"/>
  <c r="D39" i="146"/>
  <c r="I39" i="146" s="1"/>
  <c r="I43" i="155"/>
  <c r="D43" i="146"/>
  <c r="I67" i="155"/>
  <c r="D82" i="155"/>
  <c r="I82" i="155" s="1"/>
  <c r="I77" i="155"/>
  <c r="D77" i="146"/>
  <c r="I77" i="146" s="1"/>
  <c r="D39" i="152"/>
  <c r="I39" i="152" s="1"/>
  <c r="D41" i="152"/>
  <c r="I41" i="152" s="1"/>
  <c r="D43" i="152"/>
  <c r="D45" i="152"/>
  <c r="I45" i="152" s="1"/>
  <c r="D64" i="161"/>
  <c r="I64" i="161" s="1"/>
  <c r="D55" i="152"/>
  <c r="I55" i="152" s="1"/>
  <c r="D81" i="152"/>
  <c r="I81" i="152" s="1"/>
  <c r="I31" i="160"/>
  <c r="D31" i="151"/>
  <c r="I31" i="151" s="1"/>
  <c r="I33" i="160"/>
  <c r="D33" i="151"/>
  <c r="I33" i="151" s="1"/>
  <c r="I35" i="160"/>
  <c r="D35" i="151"/>
  <c r="I35" i="151" s="1"/>
  <c r="I37" i="160"/>
  <c r="D37" i="151"/>
  <c r="I37" i="151" s="1"/>
  <c r="I63" i="160"/>
  <c r="D63" i="151"/>
  <c r="I63" i="151" s="1"/>
  <c r="I67" i="160"/>
  <c r="D67" i="151"/>
  <c r="I67" i="151" s="1"/>
  <c r="I73" i="160"/>
  <c r="D73" i="151"/>
  <c r="I73" i="151" s="1"/>
  <c r="I81" i="160"/>
  <c r="D81" i="151"/>
  <c r="I81" i="151" s="1"/>
  <c r="D27" i="150"/>
  <c r="I67" i="159"/>
  <c r="D67" i="150"/>
  <c r="I67" i="150" s="1"/>
  <c r="I75" i="159"/>
  <c r="D75" i="150"/>
  <c r="I75" i="150" s="1"/>
  <c r="D17" i="149"/>
  <c r="I69" i="158"/>
  <c r="D69" i="149"/>
  <c r="I69" i="149" s="1"/>
  <c r="I75" i="158"/>
  <c r="D75" i="149"/>
  <c r="I75" i="149" s="1"/>
  <c r="I41" i="148"/>
  <c r="D23" i="148"/>
  <c r="I23" i="148" s="1"/>
  <c r="I67" i="157"/>
  <c r="D67" i="148"/>
  <c r="I67" i="148" s="1"/>
  <c r="D82" i="157"/>
  <c r="I67" i="156"/>
  <c r="D67" i="147"/>
  <c r="I67" i="147" s="1"/>
  <c r="I69" i="156"/>
  <c r="D69" i="147"/>
  <c r="I69" i="147" s="1"/>
  <c r="I71" i="156"/>
  <c r="D71" i="147"/>
  <c r="I37" i="162"/>
  <c r="D37" i="154"/>
  <c r="I37" i="154" s="1"/>
  <c r="I43" i="162"/>
  <c r="D43" i="154"/>
  <c r="I67" i="163"/>
  <c r="D82" i="163"/>
  <c r="I82" i="163" s="1"/>
  <c r="I49" i="167"/>
  <c r="D64" i="167"/>
  <c r="I64" i="167" s="1"/>
  <c r="I67" i="168"/>
  <c r="D82" i="168"/>
  <c r="I82" i="168" s="1"/>
  <c r="D17" i="169"/>
  <c r="I17" i="169" s="1"/>
  <c r="D21" i="169"/>
  <c r="I21" i="169" s="1"/>
  <c r="I48" i="170"/>
  <c r="D48" i="153"/>
  <c r="I48" i="153" s="1"/>
  <c r="I50" i="170"/>
  <c r="D50" i="153"/>
  <c r="I50" i="153" s="1"/>
  <c r="I52" i="170"/>
  <c r="D52" i="153"/>
  <c r="I52" i="153" s="1"/>
  <c r="I56" i="170"/>
  <c r="D56" i="153"/>
  <c r="I56" i="153" s="1"/>
  <c r="I58" i="170"/>
  <c r="D58" i="153"/>
  <c r="I58" i="153" s="1"/>
  <c r="I60" i="170"/>
  <c r="D60" i="153"/>
  <c r="I60" i="153" s="1"/>
  <c r="I62" i="170"/>
  <c r="D62" i="153"/>
  <c r="I62" i="153" s="1"/>
  <c r="I48" i="171"/>
  <c r="D48" i="154"/>
  <c r="I48" i="154" s="1"/>
  <c r="D64" i="171"/>
  <c r="I64" i="171" s="1"/>
  <c r="I56" i="171"/>
  <c r="D56" i="154"/>
  <c r="I44" i="173"/>
  <c r="D26" i="173"/>
  <c r="I26" i="173" s="1"/>
  <c r="I46" i="186"/>
  <c r="D28" i="186"/>
  <c r="I28" i="186" s="1"/>
  <c r="I55" i="183"/>
  <c r="D19" i="183"/>
  <c r="I19" i="183" s="1"/>
  <c r="I63" i="183"/>
  <c r="D27" i="183"/>
  <c r="I27" i="183" s="1"/>
  <c r="I57" i="175"/>
  <c r="D21" i="175"/>
  <c r="I21" i="175" s="1"/>
  <c r="I52" i="176"/>
  <c r="D16" i="176"/>
  <c r="I16" i="176" s="1"/>
  <c r="I60" i="176"/>
  <c r="D24" i="176"/>
  <c r="I24" i="176" s="1"/>
  <c r="D26" i="134"/>
  <c r="D27" i="155"/>
  <c r="I27" i="155" s="1"/>
  <c r="D25" i="155"/>
  <c r="I25" i="155" s="1"/>
  <c r="D23" i="155"/>
  <c r="I23" i="155" s="1"/>
  <c r="D21" i="155"/>
  <c r="I21" i="155" s="1"/>
  <c r="D19" i="155"/>
  <c r="I19" i="155" s="1"/>
  <c r="D17" i="155"/>
  <c r="I17" i="155" s="1"/>
  <c r="D15" i="155"/>
  <c r="I15" i="155" s="1"/>
  <c r="D13" i="155"/>
  <c r="I13" i="155" s="1"/>
  <c r="D27" i="159"/>
  <c r="D25" i="159"/>
  <c r="D23" i="159"/>
  <c r="D21" i="159"/>
  <c r="I21" i="159" s="1"/>
  <c r="D19" i="159"/>
  <c r="D17" i="159"/>
  <c r="D15" i="159"/>
  <c r="D17" i="158"/>
  <c r="D13" i="158"/>
  <c r="D27" i="157"/>
  <c r="D25" i="157"/>
  <c r="D23" i="157"/>
  <c r="D19" i="157"/>
  <c r="D17" i="157"/>
  <c r="D15" i="157"/>
  <c r="D13" i="157"/>
  <c r="I13" i="157" s="1"/>
  <c r="D27" i="156"/>
  <c r="D25" i="156"/>
  <c r="D23" i="156"/>
  <c r="D21" i="156"/>
  <c r="D19" i="156"/>
  <c r="D64" i="155"/>
  <c r="I64" i="155" s="1"/>
  <c r="D82" i="161"/>
  <c r="I82" i="161" s="1"/>
  <c r="D23" i="169"/>
  <c r="I23" i="169" s="1"/>
  <c r="D15" i="169"/>
  <c r="I15" i="169" s="1"/>
  <c r="D46" i="168"/>
  <c r="I46" i="168" s="1"/>
  <c r="D41" i="146"/>
  <c r="I41" i="146" s="1"/>
  <c r="D33" i="146"/>
  <c r="I33" i="146" s="1"/>
  <c r="D41" i="154"/>
  <c r="I41" i="154" s="1"/>
  <c r="D52" i="154"/>
  <c r="I52" i="154" s="1"/>
  <c r="D51" i="152"/>
  <c r="I51" i="152" s="1"/>
  <c r="D49" i="150"/>
  <c r="I49" i="150" s="1"/>
  <c r="D63" i="149"/>
  <c r="I63" i="149" s="1"/>
  <c r="D61" i="149"/>
  <c r="D59" i="149"/>
  <c r="I59" i="149" s="1"/>
  <c r="D57" i="149"/>
  <c r="I57" i="149" s="1"/>
  <c r="D49" i="148"/>
  <c r="I49" i="148" s="1"/>
  <c r="D73" i="152"/>
  <c r="I73" i="152" s="1"/>
  <c r="D71" i="151"/>
  <c r="I71" i="151" s="1"/>
  <c r="D69" i="151"/>
  <c r="I69" i="151" s="1"/>
  <c r="D73" i="149"/>
  <c r="I73" i="149" s="1"/>
  <c r="D75" i="148"/>
  <c r="I75" i="148" s="1"/>
  <c r="I68" i="147"/>
  <c r="D26" i="180"/>
  <c r="I26" i="180" s="1"/>
  <c r="D15" i="183"/>
  <c r="I15" i="183" s="1"/>
  <c r="D22" i="176"/>
  <c r="I22" i="176" s="1"/>
  <c r="D25" i="180"/>
  <c r="D12" i="176"/>
  <c r="D23" i="153"/>
  <c r="I23" i="153" s="1"/>
  <c r="D23" i="150"/>
  <c r="I23" i="150" s="1"/>
  <c r="D22" i="134"/>
  <c r="D14" i="150"/>
  <c r="D18" i="134"/>
  <c r="D46" i="159"/>
  <c r="I46" i="159" s="1"/>
  <c r="D64" i="159"/>
  <c r="I64" i="159" s="1"/>
  <c r="D82" i="159"/>
  <c r="I82" i="159" s="1"/>
  <c r="D44" i="150"/>
  <c r="I44" i="150" s="1"/>
  <c r="D36" i="150"/>
  <c r="D62" i="151"/>
  <c r="I62" i="151" s="1"/>
  <c r="D77" i="152"/>
  <c r="I77" i="152" s="1"/>
  <c r="D80" i="151"/>
  <c r="D80" i="150"/>
  <c r="I58" i="150"/>
  <c r="D22" i="150"/>
  <c r="I22" i="150" s="1"/>
  <c r="D76" i="149"/>
  <c r="D75" i="151"/>
  <c r="I75" i="151" s="1"/>
  <c r="D21" i="181"/>
  <c r="I21" i="181" s="1"/>
  <c r="D56" i="146"/>
  <c r="D74" i="150"/>
  <c r="D74" i="149"/>
  <c r="D74" i="148"/>
  <c r="D54" i="150"/>
  <c r="I54" i="150" s="1"/>
  <c r="D72" i="151"/>
  <c r="D72" i="150"/>
  <c r="D72" i="147"/>
  <c r="D52" i="151"/>
  <c r="I52" i="151" s="1"/>
  <c r="D70" i="149"/>
  <c r="I70" i="149" s="1"/>
  <c r="D69" i="146"/>
  <c r="I69" i="146" s="1"/>
  <c r="D69" i="152"/>
  <c r="I69" i="152" s="1"/>
  <c r="D68" i="151"/>
  <c r="D12" i="149"/>
  <c r="D66" i="151"/>
  <c r="I66" i="151" s="1"/>
  <c r="D66" i="150"/>
  <c r="D66" i="148"/>
  <c r="D63" i="182"/>
  <c r="I63" i="182" s="1"/>
  <c r="I22" i="162"/>
  <c r="I22" i="160"/>
  <c r="I13" i="159"/>
  <c r="I27" i="158"/>
  <c r="I25" i="158"/>
  <c r="I23" i="158"/>
  <c r="I21" i="158"/>
  <c r="I19" i="158"/>
  <c r="I15" i="158"/>
  <c r="I21" i="157"/>
  <c r="I17" i="156"/>
  <c r="I15" i="156"/>
  <c r="I13" i="156"/>
  <c r="I17" i="163"/>
  <c r="I23" i="171"/>
  <c r="I19" i="171"/>
  <c r="I15" i="170"/>
  <c r="I27" i="168"/>
  <c r="I23" i="168"/>
  <c r="I19" i="168"/>
  <c r="I17" i="168"/>
  <c r="I15" i="168"/>
  <c r="I23" i="167"/>
  <c r="I27" i="166"/>
  <c r="I19" i="166"/>
  <c r="I15" i="166"/>
  <c r="D82" i="158"/>
  <c r="I82" i="158" s="1"/>
  <c r="D64" i="164"/>
  <c r="I64" i="164" s="1"/>
  <c r="D64" i="166"/>
  <c r="I64" i="166" s="1"/>
  <c r="I27" i="203"/>
  <c r="I25" i="203"/>
  <c r="I23" i="203"/>
  <c r="I21" i="203"/>
  <c r="I19" i="203"/>
  <c r="I17" i="203"/>
  <c r="I15" i="203"/>
  <c r="I13" i="203"/>
  <c r="I27" i="202"/>
  <c r="I25" i="202"/>
  <c r="I23" i="202"/>
  <c r="I21" i="202"/>
  <c r="I19" i="202"/>
  <c r="I17" i="202"/>
  <c r="I15" i="202"/>
  <c r="I13" i="202"/>
  <c r="I27" i="200"/>
  <c r="I25" i="200"/>
  <c r="I23" i="200"/>
  <c r="I21" i="200"/>
  <c r="I19" i="200"/>
  <c r="I17" i="200"/>
  <c r="I15" i="200"/>
  <c r="I27" i="199"/>
  <c r="I25" i="199"/>
  <c r="I23" i="199"/>
  <c r="I21" i="199"/>
  <c r="I19" i="199"/>
  <c r="I17" i="199"/>
  <c r="I15" i="199"/>
  <c r="I13" i="199"/>
  <c r="I23" i="198"/>
  <c r="I21" i="198"/>
  <c r="I13" i="198"/>
  <c r="I27" i="197"/>
  <c r="I25" i="197"/>
  <c r="I23" i="197"/>
  <c r="I21" i="197"/>
  <c r="I19" i="197"/>
  <c r="I15" i="197"/>
  <c r="I23" i="196"/>
  <c r="I21" i="196"/>
  <c r="I13" i="196"/>
  <c r="I18" i="195"/>
  <c r="I14" i="195"/>
  <c r="I26" i="194"/>
  <c r="I24" i="194"/>
  <c r="I22" i="194"/>
  <c r="I20" i="194"/>
  <c r="I18" i="194"/>
  <c r="I16" i="194"/>
  <c r="I14" i="194"/>
  <c r="I12" i="194"/>
  <c r="I26" i="192"/>
  <c r="I24" i="192"/>
  <c r="I22" i="192"/>
  <c r="I20" i="192"/>
  <c r="I18" i="192"/>
  <c r="I16" i="192"/>
  <c r="I14" i="192"/>
  <c r="I12" i="192"/>
  <c r="I26" i="191"/>
  <c r="I22" i="191"/>
  <c r="I20" i="191"/>
  <c r="I18" i="191"/>
  <c r="I16" i="191"/>
  <c r="I14" i="191"/>
  <c r="I12" i="191"/>
  <c r="I26" i="190"/>
  <c r="I24" i="190"/>
  <c r="I22" i="190"/>
  <c r="I20" i="190"/>
  <c r="I18" i="190"/>
  <c r="I16" i="190"/>
  <c r="I14" i="190"/>
  <c r="I12" i="190"/>
  <c r="I26" i="189"/>
  <c r="I20" i="189"/>
  <c r="I18" i="189"/>
  <c r="I14" i="189"/>
  <c r="I12" i="189"/>
  <c r="I26" i="188"/>
  <c r="I24" i="188"/>
  <c r="I22" i="188"/>
  <c r="I20" i="188"/>
  <c r="I18" i="188"/>
  <c r="I16" i="188"/>
  <c r="I26" i="187"/>
  <c r="I20" i="187"/>
  <c r="I18" i="187"/>
  <c r="I12" i="187"/>
  <c r="I17" i="186"/>
  <c r="I15" i="186"/>
  <c r="I13" i="186"/>
  <c r="I27" i="185"/>
  <c r="I25" i="185"/>
  <c r="I23" i="185"/>
  <c r="I21" i="185"/>
  <c r="I19" i="185"/>
  <c r="I17" i="185"/>
  <c r="I15" i="185"/>
  <c r="I13" i="185"/>
  <c r="D27" i="181"/>
  <c r="I45" i="181"/>
  <c r="D23" i="181"/>
  <c r="I41" i="181"/>
  <c r="D19" i="181"/>
  <c r="I37" i="181"/>
  <c r="D15" i="181"/>
  <c r="I33" i="181"/>
  <c r="D24" i="180"/>
  <c r="I42" i="180"/>
  <c r="D22" i="180"/>
  <c r="I40" i="180"/>
  <c r="D16" i="180"/>
  <c r="I34" i="180"/>
  <c r="D14" i="180"/>
  <c r="I32" i="180"/>
  <c r="D12" i="180"/>
  <c r="I30" i="180"/>
  <c r="D21" i="183"/>
  <c r="I39" i="183"/>
  <c r="D17" i="183"/>
  <c r="I35" i="183"/>
  <c r="D26" i="178"/>
  <c r="I44" i="178"/>
  <c r="D22" i="178"/>
  <c r="I40" i="178"/>
  <c r="D14" i="178"/>
  <c r="I32" i="178"/>
  <c r="D12" i="178"/>
  <c r="I30" i="178"/>
  <c r="D18" i="176"/>
  <c r="I36" i="176"/>
  <c r="D23" i="175"/>
  <c r="I41" i="175"/>
  <c r="D22" i="173"/>
  <c r="I40" i="173"/>
  <c r="D14" i="173"/>
  <c r="I32" i="173"/>
  <c r="D28" i="189"/>
  <c r="I46" i="189"/>
  <c r="D12" i="173"/>
  <c r="I48" i="173"/>
  <c r="I15" i="174"/>
  <c r="D64" i="174"/>
  <c r="I64" i="174" s="1"/>
  <c r="I64" i="195"/>
  <c r="D64" i="181"/>
  <c r="I64" i="181" s="1"/>
  <c r="I64" i="203"/>
  <c r="D64" i="178"/>
  <c r="I64" i="178" s="1"/>
  <c r="I64" i="199"/>
  <c r="D12" i="134"/>
  <c r="I26" i="159"/>
  <c r="I22" i="158"/>
  <c r="I18" i="163"/>
  <c r="I18" i="166"/>
  <c r="I20" i="164"/>
  <c r="I18" i="164"/>
  <c r="I26" i="203"/>
  <c r="I24" i="203"/>
  <c r="I22" i="203"/>
  <c r="I20" i="203"/>
  <c r="I18" i="203"/>
  <c r="I16" i="203"/>
  <c r="I14" i="203"/>
  <c r="I12" i="203"/>
  <c r="I26" i="202"/>
  <c r="I24" i="202"/>
  <c r="I22" i="202"/>
  <c r="I20" i="202"/>
  <c r="I18" i="202"/>
  <c r="I16" i="202"/>
  <c r="I14" i="202"/>
  <c r="I12" i="202"/>
  <c r="I26" i="200"/>
  <c r="I22" i="200"/>
  <c r="I20" i="200"/>
  <c r="I18" i="200"/>
  <c r="I16" i="200"/>
  <c r="I14" i="200"/>
  <c r="I12" i="200"/>
  <c r="I26" i="199"/>
  <c r="I24" i="199"/>
  <c r="I22" i="199"/>
  <c r="I20" i="199"/>
  <c r="I18" i="199"/>
  <c r="I16" i="199"/>
  <c r="I14" i="199"/>
  <c r="I12" i="199"/>
  <c r="I26" i="198"/>
  <c r="I22" i="198"/>
  <c r="I20" i="198"/>
  <c r="I18" i="198"/>
  <c r="I14" i="198"/>
  <c r="I12" i="198"/>
  <c r="I24" i="197"/>
  <c r="I22" i="197"/>
  <c r="I20" i="197"/>
  <c r="I16" i="197"/>
  <c r="I22" i="196"/>
  <c r="I20" i="196"/>
  <c r="I18" i="196"/>
  <c r="I14" i="196"/>
  <c r="I12" i="196"/>
  <c r="I17" i="195"/>
  <c r="I15" i="195"/>
  <c r="I27" i="194"/>
  <c r="I25" i="194"/>
  <c r="I23" i="194"/>
  <c r="I21" i="194"/>
  <c r="I19" i="194"/>
  <c r="I17" i="194"/>
  <c r="I15" i="194"/>
  <c r="I13" i="194"/>
  <c r="I27" i="192"/>
  <c r="I25" i="192"/>
  <c r="I23" i="192"/>
  <c r="I21" i="192"/>
  <c r="I19" i="192"/>
  <c r="I17" i="192"/>
  <c r="I15" i="192"/>
  <c r="I13" i="192"/>
  <c r="I27" i="191"/>
  <c r="I25" i="191"/>
  <c r="I23" i="191"/>
  <c r="I21" i="191"/>
  <c r="I19" i="191"/>
  <c r="I17" i="191"/>
  <c r="I15" i="191"/>
  <c r="I13" i="191"/>
  <c r="I27" i="190"/>
  <c r="I25" i="190"/>
  <c r="I23" i="190"/>
  <c r="I21" i="190"/>
  <c r="I19" i="190"/>
  <c r="I17" i="190"/>
  <c r="I15" i="190"/>
  <c r="I13" i="190"/>
  <c r="I21" i="189"/>
  <c r="I13" i="189"/>
  <c r="I27" i="188"/>
  <c r="I25" i="188"/>
  <c r="I23" i="188"/>
  <c r="I21" i="188"/>
  <c r="I19" i="188"/>
  <c r="I15" i="188"/>
  <c r="I21" i="187"/>
  <c r="I13" i="187"/>
  <c r="I18" i="186"/>
  <c r="I14" i="186"/>
  <c r="I12" i="186"/>
  <c r="I26" i="185"/>
  <c r="I24" i="185"/>
  <c r="I22" i="185"/>
  <c r="I20" i="185"/>
  <c r="I18" i="185"/>
  <c r="I16" i="185"/>
  <c r="I14" i="185"/>
  <c r="I12" i="185"/>
  <c r="D20" i="176"/>
  <c r="I38" i="176"/>
  <c r="I13" i="174"/>
  <c r="I17" i="174"/>
  <c r="D16" i="134"/>
  <c r="D20" i="134"/>
  <c r="D24" i="134"/>
  <c r="D24" i="150"/>
  <c r="D15" i="150"/>
  <c r="D17" i="150"/>
  <c r="D19" i="150"/>
  <c r="D15" i="148"/>
  <c r="D17" i="148"/>
  <c r="D19" i="148"/>
  <c r="D21" i="147"/>
  <c r="D23" i="147"/>
  <c r="D25" i="147"/>
  <c r="D27" i="147"/>
  <c r="D61" i="146"/>
  <c r="D79" i="146"/>
  <c r="D46" i="169"/>
  <c r="I46" i="169" s="1"/>
  <c r="D24" i="169"/>
  <c r="D78" i="152"/>
  <c r="D15" i="177"/>
  <c r="D19" i="177"/>
  <c r="D23" i="177"/>
  <c r="D16" i="173"/>
  <c r="D20" i="173"/>
  <c r="D24" i="173"/>
  <c r="D28" i="191"/>
  <c r="D28" i="187"/>
  <c r="I66" i="155"/>
  <c r="D66" i="146"/>
  <c r="I66" i="146" s="1"/>
  <c r="I68" i="155"/>
  <c r="D68" i="146"/>
  <c r="I68" i="146" s="1"/>
  <c r="I70" i="155"/>
  <c r="D70" i="146"/>
  <c r="I70" i="146" s="1"/>
  <c r="I72" i="155"/>
  <c r="D72" i="146"/>
  <c r="I74" i="155"/>
  <c r="D74" i="146"/>
  <c r="I76" i="155"/>
  <c r="D76" i="146"/>
  <c r="I76" i="146" s="1"/>
  <c r="D48" i="152"/>
  <c r="I48" i="152" s="1"/>
  <c r="D31" i="152"/>
  <c r="I31" i="152" s="1"/>
  <c r="D33" i="152"/>
  <c r="I33" i="152" s="1"/>
  <c r="D35" i="152"/>
  <c r="I35" i="152" s="1"/>
  <c r="D37" i="152"/>
  <c r="I37" i="152" s="1"/>
  <c r="D57" i="152"/>
  <c r="I57" i="152" s="1"/>
  <c r="D59" i="152"/>
  <c r="I59" i="152" s="1"/>
  <c r="D61" i="152"/>
  <c r="D63" i="152"/>
  <c r="I63" i="152" s="1"/>
  <c r="I39" i="160"/>
  <c r="D39" i="151"/>
  <c r="I41" i="160"/>
  <c r="D41" i="151"/>
  <c r="I43" i="160"/>
  <c r="D43" i="151"/>
  <c r="D25" i="151" s="1"/>
  <c r="I45" i="160"/>
  <c r="D45" i="151"/>
  <c r="I49" i="160"/>
  <c r="D49" i="151"/>
  <c r="I51" i="160"/>
  <c r="D51" i="151"/>
  <c r="I53" i="160"/>
  <c r="D53" i="151"/>
  <c r="I55" i="160"/>
  <c r="D55" i="151"/>
  <c r="I31" i="159"/>
  <c r="D31" i="150"/>
  <c r="I57" i="159"/>
  <c r="D57" i="150"/>
  <c r="I33" i="158"/>
  <c r="D33" i="149"/>
  <c r="I37" i="158"/>
  <c r="D37" i="149"/>
  <c r="I39" i="158"/>
  <c r="D39" i="149"/>
  <c r="I41" i="158"/>
  <c r="D41" i="149"/>
  <c r="I43" i="158"/>
  <c r="D43" i="149"/>
  <c r="I45" i="158"/>
  <c r="D45" i="149"/>
  <c r="I51" i="158"/>
  <c r="D51" i="149"/>
  <c r="I51" i="149" s="1"/>
  <c r="I55" i="158"/>
  <c r="D55" i="149"/>
  <c r="I55" i="149" s="1"/>
  <c r="I31" i="157"/>
  <c r="D31" i="148"/>
  <c r="I39" i="157"/>
  <c r="D39" i="148"/>
  <c r="I57" i="157"/>
  <c r="D57" i="148"/>
  <c r="I57" i="148" s="1"/>
  <c r="I31" i="156"/>
  <c r="D31" i="147"/>
  <c r="I33" i="156"/>
  <c r="D33" i="147"/>
  <c r="I35" i="156"/>
  <c r="D35" i="147"/>
  <c r="I49" i="156"/>
  <c r="D49" i="147"/>
  <c r="I49" i="147" s="1"/>
  <c r="I51" i="156"/>
  <c r="D51" i="147"/>
  <c r="I51" i="147" s="1"/>
  <c r="I53" i="156"/>
  <c r="D53" i="147"/>
  <c r="I49" i="162"/>
  <c r="D49" i="154"/>
  <c r="I49" i="154" s="1"/>
  <c r="I51" i="162"/>
  <c r="D51" i="154"/>
  <c r="I53" i="162"/>
  <c r="D53" i="154"/>
  <c r="I53" i="154" s="1"/>
  <c r="I55" i="162"/>
  <c r="D55" i="154"/>
  <c r="I57" i="162"/>
  <c r="D57" i="154"/>
  <c r="I57" i="154" s="1"/>
  <c r="I59" i="162"/>
  <c r="D59" i="154"/>
  <c r="I61" i="162"/>
  <c r="D61" i="154"/>
  <c r="I63" i="162"/>
  <c r="D63" i="154"/>
  <c r="I68" i="162"/>
  <c r="D68" i="154"/>
  <c r="I68" i="154" s="1"/>
  <c r="I70" i="162"/>
  <c r="D70" i="154"/>
  <c r="I70" i="154" s="1"/>
  <c r="I72" i="162"/>
  <c r="D72" i="154"/>
  <c r="I74" i="162"/>
  <c r="D74" i="154"/>
  <c r="I76" i="162"/>
  <c r="D76" i="154"/>
  <c r="I76" i="154" s="1"/>
  <c r="I78" i="162"/>
  <c r="D78" i="154"/>
  <c r="I78" i="154" s="1"/>
  <c r="I80" i="162"/>
  <c r="D80" i="154"/>
  <c r="I80" i="154" s="1"/>
  <c r="I66" i="162"/>
  <c r="D66" i="154"/>
  <c r="I66" i="154" s="1"/>
  <c r="I49" i="163"/>
  <c r="D49" i="146"/>
  <c r="I51" i="163"/>
  <c r="D51" i="146"/>
  <c r="I53" i="163"/>
  <c r="D53" i="146"/>
  <c r="I55" i="163"/>
  <c r="D55" i="146"/>
  <c r="I57" i="163"/>
  <c r="D57" i="146"/>
  <c r="I59" i="163"/>
  <c r="D59" i="146"/>
  <c r="I63" i="163"/>
  <c r="D63" i="146"/>
  <c r="I63" i="146" s="1"/>
  <c r="I81" i="163"/>
  <c r="D81" i="146"/>
  <c r="I81" i="146" s="1"/>
  <c r="D50" i="152"/>
  <c r="I50" i="152" s="1"/>
  <c r="D52" i="152"/>
  <c r="I52" i="152" s="1"/>
  <c r="D54" i="152"/>
  <c r="I54" i="152" s="1"/>
  <c r="D66" i="152"/>
  <c r="I66" i="152" s="1"/>
  <c r="D68" i="152"/>
  <c r="I68" i="152" s="1"/>
  <c r="D70" i="152"/>
  <c r="I70" i="152" s="1"/>
  <c r="D72" i="152"/>
  <c r="D74" i="152"/>
  <c r="D76" i="152"/>
  <c r="I76" i="152" s="1"/>
  <c r="D80" i="152"/>
  <c r="I80" i="152" s="1"/>
  <c r="I30" i="170"/>
  <c r="D30" i="153"/>
  <c r="I32" i="170"/>
  <c r="D32" i="153"/>
  <c r="I34" i="170"/>
  <c r="D34" i="153"/>
  <c r="D36" i="153"/>
  <c r="I38" i="170"/>
  <c r="D38" i="153"/>
  <c r="I40" i="170"/>
  <c r="D40" i="153"/>
  <c r="I42" i="170"/>
  <c r="D42" i="153"/>
  <c r="I44" i="170"/>
  <c r="D44" i="153"/>
  <c r="I66" i="170"/>
  <c r="D66" i="153"/>
  <c r="I66" i="153" s="1"/>
  <c r="I68" i="170"/>
  <c r="D68" i="153"/>
  <c r="I68" i="153" s="1"/>
  <c r="I70" i="170"/>
  <c r="D70" i="153"/>
  <c r="I70" i="153" s="1"/>
  <c r="D72" i="153"/>
  <c r="I74" i="170"/>
  <c r="D74" i="153"/>
  <c r="I74" i="153" s="1"/>
  <c r="I76" i="170"/>
  <c r="D76" i="153"/>
  <c r="I76" i="153" s="1"/>
  <c r="I78" i="170"/>
  <c r="D78" i="153"/>
  <c r="I78" i="153" s="1"/>
  <c r="I80" i="170"/>
  <c r="D80" i="153"/>
  <c r="I80" i="153" s="1"/>
  <c r="I30" i="171"/>
  <c r="D30" i="154"/>
  <c r="I32" i="171"/>
  <c r="D32" i="154"/>
  <c r="I34" i="171"/>
  <c r="D34" i="154"/>
  <c r="D36" i="154"/>
  <c r="I38" i="171"/>
  <c r="D38" i="154"/>
  <c r="I40" i="171"/>
  <c r="D40" i="154"/>
  <c r="D64" i="206"/>
  <c r="I64" i="206" s="1"/>
  <c r="D27" i="162"/>
  <c r="D25" i="162"/>
  <c r="D23" i="162"/>
  <c r="D21" i="162"/>
  <c r="D19" i="162"/>
  <c r="D17" i="162"/>
  <c r="D15" i="162"/>
  <c r="D13" i="162"/>
  <c r="D27" i="161"/>
  <c r="I27" i="161" s="1"/>
  <c r="D25" i="161"/>
  <c r="I25" i="161" s="1"/>
  <c r="D23" i="161"/>
  <c r="I23" i="161" s="1"/>
  <c r="D21" i="161"/>
  <c r="I21" i="161" s="1"/>
  <c r="D19" i="161"/>
  <c r="I19" i="161" s="1"/>
  <c r="D17" i="161"/>
  <c r="I17" i="161" s="1"/>
  <c r="D15" i="161"/>
  <c r="I15" i="161" s="1"/>
  <c r="D13" i="161"/>
  <c r="I13" i="161" s="1"/>
  <c r="D27" i="160"/>
  <c r="D25" i="160"/>
  <c r="D23" i="160"/>
  <c r="D21" i="160"/>
  <c r="D19" i="160"/>
  <c r="D17" i="160"/>
  <c r="D15" i="160"/>
  <c r="D13" i="160"/>
  <c r="D46" i="162"/>
  <c r="I46" i="162" s="1"/>
  <c r="D46" i="160"/>
  <c r="I46" i="160" s="1"/>
  <c r="D46" i="158"/>
  <c r="I46" i="158" s="1"/>
  <c r="D46" i="156"/>
  <c r="D46" i="147" s="1"/>
  <c r="I46" i="147" s="1"/>
  <c r="D64" i="162"/>
  <c r="I64" i="162" s="1"/>
  <c r="D64" i="160"/>
  <c r="I64" i="160" s="1"/>
  <c r="D64" i="158"/>
  <c r="I64" i="158" s="1"/>
  <c r="D64" i="156"/>
  <c r="I64" i="156" s="1"/>
  <c r="D82" i="162"/>
  <c r="I82" i="162" s="1"/>
  <c r="D82" i="160"/>
  <c r="D82" i="151" s="1"/>
  <c r="I82" i="151" s="1"/>
  <c r="D82" i="156"/>
  <c r="D26" i="171"/>
  <c r="D24" i="171"/>
  <c r="D22" i="171"/>
  <c r="D20" i="171"/>
  <c r="D18" i="171"/>
  <c r="D16" i="171"/>
  <c r="D14" i="171"/>
  <c r="D12" i="171"/>
  <c r="D26" i="170"/>
  <c r="D24" i="170"/>
  <c r="D22" i="170"/>
  <c r="D20" i="170"/>
  <c r="D18" i="170"/>
  <c r="D16" i="170"/>
  <c r="D14" i="170"/>
  <c r="D12" i="170"/>
  <c r="D26" i="169"/>
  <c r="I26" i="169" s="1"/>
  <c r="D22" i="169"/>
  <c r="I22" i="169" s="1"/>
  <c r="D20" i="169"/>
  <c r="I20" i="169" s="1"/>
  <c r="D18" i="169"/>
  <c r="I18" i="169" s="1"/>
  <c r="D16" i="169"/>
  <c r="I16" i="169" s="1"/>
  <c r="D14" i="169"/>
  <c r="I14" i="169" s="1"/>
  <c r="D12" i="169"/>
  <c r="I12" i="169" s="1"/>
  <c r="D46" i="171"/>
  <c r="I46" i="171" s="1"/>
  <c r="D46" i="167"/>
  <c r="I46" i="167" s="1"/>
  <c r="D46" i="165"/>
  <c r="I46" i="165" s="1"/>
  <c r="D64" i="163"/>
  <c r="I64" i="163" s="1"/>
  <c r="D64" i="170"/>
  <c r="D64" i="168"/>
  <c r="I64" i="168" s="1"/>
  <c r="D82" i="171"/>
  <c r="I82" i="171" s="1"/>
  <c r="D82" i="169"/>
  <c r="I82" i="169" s="1"/>
  <c r="D82" i="167"/>
  <c r="I82" i="167" s="1"/>
  <c r="D82" i="165"/>
  <c r="I82" i="165" s="1"/>
  <c r="D44" i="146"/>
  <c r="D42" i="146"/>
  <c r="I42" i="146" s="1"/>
  <c r="D40" i="146"/>
  <c r="D38" i="146"/>
  <c r="D36" i="146"/>
  <c r="D34" i="146"/>
  <c r="D32" i="146"/>
  <c r="D30" i="146"/>
  <c r="D44" i="154"/>
  <c r="D42" i="154"/>
  <c r="D39" i="154"/>
  <c r="D35" i="154"/>
  <c r="D31" i="154"/>
  <c r="D62" i="146"/>
  <c r="I62" i="146" s="1"/>
  <c r="D58" i="146"/>
  <c r="I58" i="146" s="1"/>
  <c r="D54" i="146"/>
  <c r="D50" i="146"/>
  <c r="I50" i="146" s="1"/>
  <c r="D62" i="154"/>
  <c r="I62" i="154" s="1"/>
  <c r="D58" i="154"/>
  <c r="I58" i="154" s="1"/>
  <c r="D54" i="154"/>
  <c r="I54" i="154" s="1"/>
  <c r="D50" i="154"/>
  <c r="I50" i="154" s="1"/>
  <c r="D62" i="152"/>
  <c r="I62" i="152" s="1"/>
  <c r="D58" i="152"/>
  <c r="I58" i="152" s="1"/>
  <c r="D53" i="152"/>
  <c r="I53" i="152" s="1"/>
  <c r="D49" i="152"/>
  <c r="I49" i="152" s="1"/>
  <c r="D80" i="146"/>
  <c r="I80" i="146" s="1"/>
  <c r="D75" i="146"/>
  <c r="I75" i="146" s="1"/>
  <c r="D71" i="146"/>
  <c r="I71" i="146" s="1"/>
  <c r="D67" i="146"/>
  <c r="I67" i="146" s="1"/>
  <c r="D79" i="152"/>
  <c r="D75" i="152"/>
  <c r="I75" i="152" s="1"/>
  <c r="D71" i="152"/>
  <c r="I71" i="152" s="1"/>
  <c r="D67" i="152"/>
  <c r="I67" i="152" s="1"/>
  <c r="D64" i="173"/>
  <c r="I64" i="173" s="1"/>
  <c r="D64" i="183"/>
  <c r="I64" i="183" s="1"/>
  <c r="D20" i="147"/>
  <c r="D78" i="146"/>
  <c r="I78" i="146" s="1"/>
  <c r="I78" i="155"/>
  <c r="D38" i="152"/>
  <c r="D38" i="151"/>
  <c r="D38" i="150"/>
  <c r="D56" i="152"/>
  <c r="D56" i="151"/>
  <c r="D56" i="150"/>
  <c r="D56" i="149"/>
  <c r="D56" i="148"/>
  <c r="I82" i="157"/>
  <c r="D26" i="174"/>
  <c r="D22" i="174"/>
  <c r="D18" i="174"/>
  <c r="D14" i="174"/>
  <c r="D24" i="174"/>
  <c r="D20" i="174"/>
  <c r="D16" i="174"/>
  <c r="D12" i="174"/>
  <c r="D46" i="174"/>
  <c r="D21" i="177"/>
  <c r="D28" i="192"/>
  <c r="D50" i="182"/>
  <c r="I50" i="182" s="1"/>
  <c r="D54" i="182"/>
  <c r="D58" i="182"/>
  <c r="I58" i="182" s="1"/>
  <c r="D62" i="182"/>
  <c r="I62" i="182" s="1"/>
  <c r="D51" i="182"/>
  <c r="I51" i="182" s="1"/>
  <c r="D55" i="182"/>
  <c r="I55" i="182" s="1"/>
  <c r="D59" i="182"/>
  <c r="I59" i="182" s="1"/>
  <c r="D27" i="180"/>
  <c r="D23" i="180"/>
  <c r="D21" i="180"/>
  <c r="D19" i="180"/>
  <c r="D17" i="180"/>
  <c r="D15" i="180"/>
  <c r="D13" i="180"/>
  <c r="D48" i="182"/>
  <c r="I48" i="182" s="1"/>
  <c r="D52" i="182"/>
  <c r="I52" i="182" s="1"/>
  <c r="D56" i="182"/>
  <c r="D60" i="182"/>
  <c r="I60" i="182" s="1"/>
  <c r="D64" i="176"/>
  <c r="I64" i="176" s="1"/>
  <c r="D49" i="182"/>
  <c r="I49" i="182" s="1"/>
  <c r="D53" i="182"/>
  <c r="I53" i="182" s="1"/>
  <c r="D57" i="182"/>
  <c r="I57" i="182" s="1"/>
  <c r="D61" i="182"/>
  <c r="D64" i="205"/>
  <c r="I64" i="205" s="1"/>
  <c r="D28" i="199"/>
  <c r="D46" i="197"/>
  <c r="I46" i="197" s="1"/>
  <c r="D44" i="183"/>
  <c r="I44" i="183" s="1"/>
  <c r="D42" i="183"/>
  <c r="D24" i="183" s="1"/>
  <c r="D40" i="183"/>
  <c r="I40" i="183" s="1"/>
  <c r="D38" i="183"/>
  <c r="D20" i="183" s="1"/>
  <c r="D36" i="183"/>
  <c r="D18" i="183" s="1"/>
  <c r="D34" i="183"/>
  <c r="I34" i="183" s="1"/>
  <c r="D32" i="183"/>
  <c r="I32" i="183" s="1"/>
  <c r="D30" i="183"/>
  <c r="I30" i="183" s="1"/>
  <c r="D45" i="178"/>
  <c r="I45" i="178" s="1"/>
  <c r="D43" i="178"/>
  <c r="D25" i="178" s="1"/>
  <c r="D41" i="178"/>
  <c r="I41" i="178" s="1"/>
  <c r="D39" i="178"/>
  <c r="I39" i="178" s="1"/>
  <c r="D37" i="178"/>
  <c r="I37" i="178" s="1"/>
  <c r="D35" i="178"/>
  <c r="I35" i="178" s="1"/>
  <c r="D33" i="178"/>
  <c r="I33" i="178" s="1"/>
  <c r="D31" i="178"/>
  <c r="I31" i="178" s="1"/>
  <c r="D44" i="177"/>
  <c r="I44" i="177" s="1"/>
  <c r="D42" i="177"/>
  <c r="D24" i="177" s="1"/>
  <c r="D40" i="177"/>
  <c r="I40" i="177" s="1"/>
  <c r="D38" i="177"/>
  <c r="D20" i="177" s="1"/>
  <c r="D36" i="177"/>
  <c r="D18" i="177" s="1"/>
  <c r="D34" i="177"/>
  <c r="D16" i="177" s="1"/>
  <c r="D32" i="177"/>
  <c r="I32" i="177" s="1"/>
  <c r="D30" i="177"/>
  <c r="I30" i="177" s="1"/>
  <c r="D45" i="176"/>
  <c r="I45" i="176" s="1"/>
  <c r="D43" i="176"/>
  <c r="D25" i="176" s="1"/>
  <c r="D41" i="176"/>
  <c r="I41" i="176" s="1"/>
  <c r="D39" i="176"/>
  <c r="I39" i="176" s="1"/>
  <c r="D37" i="176"/>
  <c r="I37" i="176" s="1"/>
  <c r="D35" i="176"/>
  <c r="D33" i="176"/>
  <c r="I33" i="176" s="1"/>
  <c r="D31" i="176"/>
  <c r="D13" i="176" s="1"/>
  <c r="D44" i="175"/>
  <c r="I44" i="175" s="1"/>
  <c r="D42" i="175"/>
  <c r="D24" i="175" s="1"/>
  <c r="D40" i="175"/>
  <c r="I40" i="175" s="1"/>
  <c r="D38" i="175"/>
  <c r="D20" i="175" s="1"/>
  <c r="D36" i="175"/>
  <c r="D18" i="175" s="1"/>
  <c r="D34" i="175"/>
  <c r="D16" i="175" s="1"/>
  <c r="D32" i="175"/>
  <c r="I32" i="175" s="1"/>
  <c r="D30" i="175"/>
  <c r="I30" i="175" s="1"/>
  <c r="D46" i="185"/>
  <c r="I46" i="185" s="1"/>
  <c r="D43" i="205"/>
  <c r="I43" i="205" s="1"/>
  <c r="D41" i="205"/>
  <c r="I41" i="205" s="1"/>
  <c r="D39" i="205"/>
  <c r="I39" i="205" s="1"/>
  <c r="D37" i="205"/>
  <c r="I37" i="205" s="1"/>
  <c r="D35" i="205"/>
  <c r="I35" i="205" s="1"/>
  <c r="D33" i="205"/>
  <c r="I33" i="205" s="1"/>
  <c r="D31" i="205"/>
  <c r="I31" i="205" s="1"/>
  <c r="D44" i="181"/>
  <c r="I44" i="181" s="1"/>
  <c r="D42" i="181"/>
  <c r="I42" i="181" s="1"/>
  <c r="D40" i="181"/>
  <c r="I40" i="181" s="1"/>
  <c r="D38" i="181"/>
  <c r="D20" i="181" s="1"/>
  <c r="D36" i="181"/>
  <c r="D18" i="181" s="1"/>
  <c r="D34" i="181"/>
  <c r="I34" i="181" s="1"/>
  <c r="D32" i="181"/>
  <c r="I32" i="181" s="1"/>
  <c r="D30" i="181"/>
  <c r="I30" i="181" s="1"/>
  <c r="D46" i="190"/>
  <c r="I46" i="190" s="1"/>
  <c r="D46" i="188"/>
  <c r="I46" i="188" s="1"/>
  <c r="D44" i="205"/>
  <c r="I44" i="205" s="1"/>
  <c r="D42" i="205"/>
  <c r="I42" i="205" s="1"/>
  <c r="D40" i="205"/>
  <c r="I40" i="205" s="1"/>
  <c r="D38" i="205"/>
  <c r="I38" i="205" s="1"/>
  <c r="D36" i="205"/>
  <c r="I36" i="205" s="1"/>
  <c r="D34" i="205"/>
  <c r="I34" i="205" s="1"/>
  <c r="D32" i="205"/>
  <c r="I32" i="205" s="1"/>
  <c r="D30" i="205"/>
  <c r="I30" i="205" s="1"/>
  <c r="D46" i="202"/>
  <c r="D45" i="205"/>
  <c r="I45" i="205" s="1"/>
  <c r="D44" i="206"/>
  <c r="I44" i="206" s="1"/>
  <c r="D42" i="206"/>
  <c r="I42" i="206" s="1"/>
  <c r="D40" i="206"/>
  <c r="D38" i="206"/>
  <c r="D38" i="182" s="1"/>
  <c r="D36" i="206"/>
  <c r="D34" i="206"/>
  <c r="I34" i="206" s="1"/>
  <c r="D32" i="206"/>
  <c r="D30" i="206"/>
  <c r="D12" i="206" s="1"/>
  <c r="D28" i="135"/>
  <c r="D31" i="183"/>
  <c r="I31" i="183" s="1"/>
  <c r="D46" i="200"/>
  <c r="I46" i="200" s="1"/>
  <c r="D31" i="175"/>
  <c r="I31" i="175" s="1"/>
  <c r="D46" i="196"/>
  <c r="D31" i="181"/>
  <c r="I31" i="181" s="1"/>
  <c r="D46" i="203"/>
  <c r="I46" i="203" s="1"/>
  <c r="D31" i="177"/>
  <c r="I31" i="177" s="1"/>
  <c r="D46" i="198"/>
  <c r="D45" i="206"/>
  <c r="I45" i="206" s="1"/>
  <c r="D45" i="173"/>
  <c r="I45" i="173" s="1"/>
  <c r="D43" i="206"/>
  <c r="I43" i="206" s="1"/>
  <c r="D43" i="173"/>
  <c r="D25" i="173" s="1"/>
  <c r="D41" i="206"/>
  <c r="I41" i="206" s="1"/>
  <c r="D41" i="173"/>
  <c r="I41" i="173" s="1"/>
  <c r="D39" i="206"/>
  <c r="I39" i="206" s="1"/>
  <c r="D39" i="173"/>
  <c r="I39" i="173" s="1"/>
  <c r="D37" i="206"/>
  <c r="I37" i="206" s="1"/>
  <c r="D37" i="173"/>
  <c r="I37" i="173" s="1"/>
  <c r="D35" i="206"/>
  <c r="I35" i="206" s="1"/>
  <c r="D35" i="173"/>
  <c r="I35" i="173" s="1"/>
  <c r="D33" i="206"/>
  <c r="I33" i="206" s="1"/>
  <c r="D33" i="173"/>
  <c r="I33" i="173" s="1"/>
  <c r="D31" i="206"/>
  <c r="I31" i="206" s="1"/>
  <c r="D46" i="194"/>
  <c r="I46" i="194" s="1"/>
  <c r="D31" i="173"/>
  <c r="I31" i="173" s="1"/>
  <c r="D46" i="183"/>
  <c r="I46" i="183" s="1"/>
  <c r="D28" i="136"/>
  <c r="D13" i="134"/>
  <c r="D15" i="134"/>
  <c r="D17" i="134"/>
  <c r="D19" i="134"/>
  <c r="D21" i="134"/>
  <c r="D23" i="134"/>
  <c r="D25" i="134"/>
  <c r="D27" i="134"/>
  <c r="D46" i="149" l="1"/>
  <c r="I46" i="149" s="1"/>
  <c r="D18" i="147"/>
  <c r="D42" i="182"/>
  <c r="I42" i="182" s="1"/>
  <c r="D64" i="149"/>
  <c r="I64" i="149" s="1"/>
  <c r="D25" i="153"/>
  <c r="D28" i="166"/>
  <c r="I28" i="166" s="1"/>
  <c r="D22" i="148"/>
  <c r="I22" i="148" s="1"/>
  <c r="D24" i="152"/>
  <c r="D82" i="149"/>
  <c r="I82" i="149" s="1"/>
  <c r="D19" i="153"/>
  <c r="I19" i="153" s="1"/>
  <c r="D27" i="153"/>
  <c r="D14" i="147"/>
  <c r="I14" i="147" s="1"/>
  <c r="D82" i="147"/>
  <c r="I82" i="147" s="1"/>
  <c r="D64" i="148"/>
  <c r="I64" i="148" s="1"/>
  <c r="I46" i="202"/>
  <c r="D46" i="223"/>
  <c r="I46" i="223" s="1"/>
  <c r="I46" i="170"/>
  <c r="D17" i="216"/>
  <c r="I17" i="216" s="1"/>
  <c r="D15" i="216"/>
  <c r="I15" i="216" s="1"/>
  <c r="D13" i="216"/>
  <c r="D27" i="217"/>
  <c r="I27" i="217" s="1"/>
  <c r="D25" i="217"/>
  <c r="D23" i="217"/>
  <c r="I23" i="217" s="1"/>
  <c r="D21" i="217"/>
  <c r="I21" i="217" s="1"/>
  <c r="D19" i="217"/>
  <c r="D17" i="217"/>
  <c r="I17" i="217" s="1"/>
  <c r="D15" i="217"/>
  <c r="I15" i="217" s="1"/>
  <c r="D13" i="217"/>
  <c r="I13" i="217" s="1"/>
  <c r="D26" i="216"/>
  <c r="D24" i="216"/>
  <c r="D22" i="216"/>
  <c r="D20" i="216"/>
  <c r="D18" i="216"/>
  <c r="D16" i="216"/>
  <c r="D14" i="216"/>
  <c r="I14" i="216" s="1"/>
  <c r="D12" i="216"/>
  <c r="I12" i="216" s="1"/>
  <c r="I64" i="170"/>
  <c r="I82" i="170"/>
  <c r="D23" i="216"/>
  <c r="D21" i="216"/>
  <c r="I21" i="216" s="1"/>
  <c r="D19" i="216"/>
  <c r="D18" i="148"/>
  <c r="D82" i="146"/>
  <c r="I82" i="146" s="1"/>
  <c r="D28" i="170"/>
  <c r="I28" i="170" s="1"/>
  <c r="D64" i="154"/>
  <c r="I64" i="154" s="1"/>
  <c r="D46" i="152"/>
  <c r="I46" i="152" s="1"/>
  <c r="D12" i="147"/>
  <c r="I12" i="147" s="1"/>
  <c r="D15" i="153"/>
  <c r="I15" i="153" s="1"/>
  <c r="I17" i="181"/>
  <c r="D12" i="151"/>
  <c r="I12" i="151" s="1"/>
  <c r="I27" i="153"/>
  <c r="D13" i="153"/>
  <c r="I13" i="153" s="1"/>
  <c r="D26" i="149"/>
  <c r="D18" i="151"/>
  <c r="D44" i="182"/>
  <c r="I44" i="182" s="1"/>
  <c r="D28" i="159"/>
  <c r="I28" i="159" s="1"/>
  <c r="D28" i="161"/>
  <c r="I28" i="161" s="1"/>
  <c r="D21" i="153"/>
  <c r="I62" i="148"/>
  <c r="D26" i="148"/>
  <c r="D28" i="164"/>
  <c r="I28" i="164" s="1"/>
  <c r="D64" i="153"/>
  <c r="I64" i="153" s="1"/>
  <c r="D64" i="147"/>
  <c r="D28" i="158"/>
  <c r="I28" i="158" s="1"/>
  <c r="D28" i="162"/>
  <c r="I28" i="162" s="1"/>
  <c r="D46" i="153"/>
  <c r="I46" i="153" s="1"/>
  <c r="D46" i="146"/>
  <c r="I46" i="146" s="1"/>
  <c r="D46" i="154"/>
  <c r="I46" i="154" s="1"/>
  <c r="D28" i="171"/>
  <c r="I28" i="171" s="1"/>
  <c r="D82" i="154"/>
  <c r="I82" i="154" s="1"/>
  <c r="D64" i="152"/>
  <c r="I64" i="152" s="1"/>
  <c r="D16" i="149"/>
  <c r="I16" i="149" s="1"/>
  <c r="D28" i="155"/>
  <c r="D22" i="151"/>
  <c r="D24" i="151"/>
  <c r="D28" i="157"/>
  <c r="D24" i="149"/>
  <c r="I35" i="153"/>
  <c r="D17" i="153"/>
  <c r="D18" i="149"/>
  <c r="D20" i="148"/>
  <c r="D16" i="151"/>
  <c r="I16" i="151" s="1"/>
  <c r="D25" i="149"/>
  <c r="D64" i="150"/>
  <c r="I64" i="150" s="1"/>
  <c r="I82" i="156"/>
  <c r="D34" i="182"/>
  <c r="I34" i="182" s="1"/>
  <c r="D20" i="154"/>
  <c r="D24" i="206"/>
  <c r="I80" i="150"/>
  <c r="D26" i="150"/>
  <c r="I80" i="151"/>
  <c r="D26" i="151"/>
  <c r="D46" i="150"/>
  <c r="I46" i="150" s="1"/>
  <c r="D46" i="151"/>
  <c r="I46" i="151" s="1"/>
  <c r="D28" i="165"/>
  <c r="I28" i="165" s="1"/>
  <c r="I76" i="149"/>
  <c r="D22" i="149"/>
  <c r="D18" i="150"/>
  <c r="D28" i="168"/>
  <c r="I28" i="168" s="1"/>
  <c r="D64" i="151"/>
  <c r="I64" i="151" s="1"/>
  <c r="I82" i="160"/>
  <c r="I46" i="156"/>
  <c r="D82" i="152"/>
  <c r="I82" i="152" s="1"/>
  <c r="D16" i="206"/>
  <c r="I68" i="151"/>
  <c r="D14" i="151"/>
  <c r="I66" i="148"/>
  <c r="D12" i="148"/>
  <c r="I66" i="150"/>
  <c r="D12" i="150"/>
  <c r="D30" i="182"/>
  <c r="I30" i="182" s="1"/>
  <c r="I30" i="206"/>
  <c r="D20" i="206"/>
  <c r="I38" i="206"/>
  <c r="I13" i="180"/>
  <c r="I17" i="180"/>
  <c r="I21" i="180"/>
  <c r="I27" i="180"/>
  <c r="I28" i="192"/>
  <c r="D28" i="174"/>
  <c r="I46" i="174"/>
  <c r="I14" i="170"/>
  <c r="I22" i="170"/>
  <c r="I26" i="170"/>
  <c r="I14" i="171"/>
  <c r="I22" i="171"/>
  <c r="I26" i="171"/>
  <c r="I15" i="160"/>
  <c r="I19" i="160"/>
  <c r="I23" i="160"/>
  <c r="I27" i="160"/>
  <c r="I15" i="162"/>
  <c r="I19" i="162"/>
  <c r="I23" i="162"/>
  <c r="I27" i="162"/>
  <c r="D18" i="154"/>
  <c r="I28" i="187"/>
  <c r="I24" i="173"/>
  <c r="I16" i="173"/>
  <c r="D25" i="146"/>
  <c r="I12" i="173"/>
  <c r="I28" i="189"/>
  <c r="I14" i="173"/>
  <c r="I22" i="173"/>
  <c r="I23" i="175"/>
  <c r="I18" i="176"/>
  <c r="I12" i="178"/>
  <c r="I14" i="178"/>
  <c r="I22" i="178"/>
  <c r="I26" i="178"/>
  <c r="I17" i="183"/>
  <c r="I21" i="183"/>
  <c r="I12" i="180"/>
  <c r="I14" i="180"/>
  <c r="I16" i="180"/>
  <c r="I22" i="180"/>
  <c r="I24" i="180"/>
  <c r="I15" i="181"/>
  <c r="I19" i="181"/>
  <c r="I23" i="181"/>
  <c r="I27" i="181"/>
  <c r="I28" i="157"/>
  <c r="D46" i="177"/>
  <c r="I46" i="177" s="1"/>
  <c r="I46" i="198"/>
  <c r="D46" i="175"/>
  <c r="I46" i="175" s="1"/>
  <c r="I46" i="196"/>
  <c r="I12" i="206"/>
  <c r="D32" i="182"/>
  <c r="I32" i="182" s="1"/>
  <c r="I32" i="206"/>
  <c r="D36" i="182"/>
  <c r="D18" i="182" s="1"/>
  <c r="I36" i="206"/>
  <c r="D40" i="182"/>
  <c r="I40" i="182" s="1"/>
  <c r="I40" i="206"/>
  <c r="I28" i="199"/>
  <c r="I15" i="180"/>
  <c r="I19" i="180"/>
  <c r="I23" i="180"/>
  <c r="I21" i="177"/>
  <c r="I12" i="174"/>
  <c r="I14" i="174"/>
  <c r="D18" i="146"/>
  <c r="I12" i="170"/>
  <c r="I16" i="170"/>
  <c r="I20" i="170"/>
  <c r="I24" i="170"/>
  <c r="I12" i="171"/>
  <c r="I16" i="171"/>
  <c r="I20" i="171"/>
  <c r="I24" i="171"/>
  <c r="I13" i="160"/>
  <c r="I17" i="160"/>
  <c r="I21" i="160"/>
  <c r="I25" i="160"/>
  <c r="I13" i="162"/>
  <c r="I17" i="162"/>
  <c r="I21" i="162"/>
  <c r="I25" i="162"/>
  <c r="I28" i="191"/>
  <c r="I23" i="177"/>
  <c r="I20" i="176"/>
  <c r="D25" i="152"/>
  <c r="D22" i="152"/>
  <c r="I22" i="152" s="1"/>
  <c r="I39" i="154"/>
  <c r="D21" i="154"/>
  <c r="I40" i="146"/>
  <c r="D22" i="146"/>
  <c r="I44" i="146"/>
  <c r="D26" i="146"/>
  <c r="I34" i="154"/>
  <c r="D16" i="154"/>
  <c r="I30" i="154"/>
  <c r="D12" i="154"/>
  <c r="I44" i="153"/>
  <c r="D26" i="153"/>
  <c r="I40" i="153"/>
  <c r="D22" i="153"/>
  <c r="D18" i="153"/>
  <c r="I32" i="153"/>
  <c r="D14" i="153"/>
  <c r="D18" i="152"/>
  <c r="D14" i="152"/>
  <c r="I14" i="152" s="1"/>
  <c r="I57" i="146"/>
  <c r="D21" i="146"/>
  <c r="I55" i="146"/>
  <c r="D19" i="146"/>
  <c r="I51" i="146"/>
  <c r="D15" i="146"/>
  <c r="I61" i="154"/>
  <c r="D25" i="154"/>
  <c r="I59" i="154"/>
  <c r="D23" i="154"/>
  <c r="I51" i="154"/>
  <c r="D15" i="154"/>
  <c r="I31" i="154"/>
  <c r="D13" i="154"/>
  <c r="I44" i="154"/>
  <c r="D26" i="154"/>
  <c r="I32" i="146"/>
  <c r="D14" i="146"/>
  <c r="I40" i="154"/>
  <c r="D22" i="154"/>
  <c r="I32" i="154"/>
  <c r="D14" i="154"/>
  <c r="I42" i="153"/>
  <c r="D24" i="153"/>
  <c r="I38" i="153"/>
  <c r="D20" i="153"/>
  <c r="I34" i="153"/>
  <c r="D16" i="153"/>
  <c r="I30" i="153"/>
  <c r="D12" i="153"/>
  <c r="D16" i="152"/>
  <c r="I16" i="152" s="1"/>
  <c r="I59" i="146"/>
  <c r="D23" i="146"/>
  <c r="I53" i="146"/>
  <c r="D17" i="146"/>
  <c r="I49" i="146"/>
  <c r="D13" i="146"/>
  <c r="I63" i="154"/>
  <c r="D27" i="154"/>
  <c r="I55" i="154"/>
  <c r="D19" i="154"/>
  <c r="D17" i="147"/>
  <c r="I33" i="147"/>
  <c r="D15" i="147"/>
  <c r="I31" i="147"/>
  <c r="D13" i="147"/>
  <c r="I39" i="148"/>
  <c r="D21" i="148"/>
  <c r="I31" i="148"/>
  <c r="D13" i="148"/>
  <c r="I45" i="149"/>
  <c r="D27" i="149"/>
  <c r="I41" i="149"/>
  <c r="D23" i="149"/>
  <c r="I39" i="149"/>
  <c r="D21" i="149"/>
  <c r="I37" i="149"/>
  <c r="D19" i="149"/>
  <c r="I33" i="149"/>
  <c r="D15" i="149"/>
  <c r="I57" i="150"/>
  <c r="D21" i="150"/>
  <c r="I31" i="150"/>
  <c r="D13" i="150"/>
  <c r="I55" i="151"/>
  <c r="D19" i="151"/>
  <c r="I53" i="151"/>
  <c r="D17" i="151"/>
  <c r="I51" i="151"/>
  <c r="D15" i="151"/>
  <c r="I49" i="151"/>
  <c r="D13" i="151"/>
  <c r="I45" i="151"/>
  <c r="D27" i="151"/>
  <c r="I41" i="151"/>
  <c r="D23" i="151"/>
  <c r="I39" i="151"/>
  <c r="D21" i="151"/>
  <c r="D27" i="152"/>
  <c r="I27" i="152" s="1"/>
  <c r="D23" i="152"/>
  <c r="I23" i="152" s="1"/>
  <c r="D21" i="152"/>
  <c r="I21" i="152" s="1"/>
  <c r="D19" i="152"/>
  <c r="I19" i="152" s="1"/>
  <c r="D17" i="152"/>
  <c r="I17" i="152" s="1"/>
  <c r="D15" i="152"/>
  <c r="I15" i="152" s="1"/>
  <c r="D13" i="152"/>
  <c r="I13" i="152" s="1"/>
  <c r="D12" i="152"/>
  <c r="I12" i="152" s="1"/>
  <c r="D82" i="148"/>
  <c r="I82" i="148" s="1"/>
  <c r="D64" i="146"/>
  <c r="I64" i="146" s="1"/>
  <c r="D28" i="163"/>
  <c r="D28" i="156"/>
  <c r="D28" i="160"/>
  <c r="D28" i="169"/>
  <c r="I28" i="169" s="1"/>
  <c r="D20" i="182"/>
  <c r="D46" i="176"/>
  <c r="I46" i="176" s="1"/>
  <c r="D24" i="146"/>
  <c r="D28" i="167"/>
  <c r="D26" i="152"/>
  <c r="I26" i="152" s="1"/>
  <c r="I35" i="154"/>
  <c r="D17" i="154"/>
  <c r="I42" i="154"/>
  <c r="D24" i="154"/>
  <c r="I30" i="146"/>
  <c r="D12" i="146"/>
  <c r="I34" i="146"/>
  <c r="D16" i="146"/>
  <c r="D20" i="146"/>
  <c r="D27" i="146"/>
  <c r="D82" i="150"/>
  <c r="I82" i="150" s="1"/>
  <c r="D46" i="148"/>
  <c r="D20" i="151"/>
  <c r="D20" i="149"/>
  <c r="D20" i="150"/>
  <c r="D20" i="152"/>
  <c r="I64" i="147"/>
  <c r="D28" i="183"/>
  <c r="D15" i="173"/>
  <c r="D17" i="173"/>
  <c r="D19" i="173"/>
  <c r="D21" i="173"/>
  <c r="D23" i="173"/>
  <c r="D27" i="173"/>
  <c r="D28" i="198"/>
  <c r="D28" i="196"/>
  <c r="D28" i="200"/>
  <c r="D24" i="182"/>
  <c r="D27" i="205"/>
  <c r="D14" i="205"/>
  <c r="D18" i="205"/>
  <c r="D22" i="205"/>
  <c r="D26" i="205"/>
  <c r="D28" i="190"/>
  <c r="D14" i="181"/>
  <c r="D22" i="181"/>
  <c r="D26" i="181"/>
  <c r="D13" i="205"/>
  <c r="D17" i="205"/>
  <c r="D21" i="205"/>
  <c r="D25" i="205"/>
  <c r="D12" i="175"/>
  <c r="D17" i="176"/>
  <c r="D21" i="176"/>
  <c r="D12" i="177"/>
  <c r="D13" i="178"/>
  <c r="D17" i="178"/>
  <c r="D21" i="178"/>
  <c r="D12" i="183"/>
  <c r="D16" i="183"/>
  <c r="D28" i="197"/>
  <c r="D13" i="173"/>
  <c r="D13" i="206"/>
  <c r="D15" i="206"/>
  <c r="D17" i="206"/>
  <c r="D13" i="177"/>
  <c r="D13" i="181"/>
  <c r="D13" i="175"/>
  <c r="D13" i="183"/>
  <c r="D14" i="206"/>
  <c r="D18" i="206"/>
  <c r="D22" i="206"/>
  <c r="D26" i="206"/>
  <c r="D12" i="205"/>
  <c r="D16" i="205"/>
  <c r="D20" i="205"/>
  <c r="D24" i="205"/>
  <c r="D28" i="188"/>
  <c r="D12" i="181"/>
  <c r="D16" i="181"/>
  <c r="D24" i="181"/>
  <c r="D15" i="205"/>
  <c r="D19" i="205"/>
  <c r="D23" i="205"/>
  <c r="D28" i="185"/>
  <c r="D14" i="175"/>
  <c r="D22" i="175"/>
  <c r="D26" i="175"/>
  <c r="D15" i="176"/>
  <c r="D19" i="176"/>
  <c r="D23" i="176"/>
  <c r="D27" i="176"/>
  <c r="D14" i="177"/>
  <c r="D22" i="177"/>
  <c r="D26" i="177"/>
  <c r="D15" i="178"/>
  <c r="D19" i="178"/>
  <c r="D23" i="178"/>
  <c r="D27" i="178"/>
  <c r="D14" i="183"/>
  <c r="D22" i="183"/>
  <c r="D26" i="183"/>
  <c r="D64" i="182"/>
  <c r="I64" i="182" s="1"/>
  <c r="D46" i="205"/>
  <c r="I46" i="205" s="1"/>
  <c r="D46" i="178"/>
  <c r="I46" i="178" s="1"/>
  <c r="D28" i="134"/>
  <c r="D46" i="180"/>
  <c r="I46" i="180" s="1"/>
  <c r="D28" i="202"/>
  <c r="D37" i="182"/>
  <c r="I37" i="182" s="1"/>
  <c r="D19" i="206"/>
  <c r="D39" i="182"/>
  <c r="I39" i="182" s="1"/>
  <c r="D21" i="206"/>
  <c r="D41" i="182"/>
  <c r="I41" i="182" s="1"/>
  <c r="D23" i="206"/>
  <c r="D43" i="182"/>
  <c r="D25" i="182" s="1"/>
  <c r="D25" i="206"/>
  <c r="D45" i="182"/>
  <c r="I45" i="182" s="1"/>
  <c r="D27" i="206"/>
  <c r="D33" i="182"/>
  <c r="I33" i="182" s="1"/>
  <c r="D28" i="205"/>
  <c r="D46" i="173"/>
  <c r="I46" i="173" s="1"/>
  <c r="D46" i="206"/>
  <c r="I46" i="206" s="1"/>
  <c r="D28" i="194"/>
  <c r="D46" i="181"/>
  <c r="I46" i="181" s="1"/>
  <c r="D28" i="203"/>
  <c r="D31" i="182"/>
  <c r="I31" i="182" s="1"/>
  <c r="D35" i="182"/>
  <c r="I35" i="182" s="1"/>
  <c r="H27" i="134"/>
  <c r="H26" i="134"/>
  <c r="H24" i="134"/>
  <c r="H23" i="134"/>
  <c r="H22" i="134"/>
  <c r="H21" i="134"/>
  <c r="H19" i="134"/>
  <c r="H17" i="134"/>
  <c r="H16" i="134"/>
  <c r="H14" i="134"/>
  <c r="H13" i="134"/>
  <c r="H12" i="134"/>
  <c r="H27" i="135"/>
  <c r="C27" i="135"/>
  <c r="H26" i="135"/>
  <c r="C26" i="135"/>
  <c r="H25" i="135"/>
  <c r="C25" i="135"/>
  <c r="H24" i="135"/>
  <c r="C24" i="135"/>
  <c r="H23" i="135"/>
  <c r="C23" i="135"/>
  <c r="H22" i="135"/>
  <c r="C22" i="135"/>
  <c r="H21" i="135"/>
  <c r="C21" i="135"/>
  <c r="H20" i="135"/>
  <c r="C20" i="135"/>
  <c r="H19" i="135"/>
  <c r="C19" i="135"/>
  <c r="H18" i="135"/>
  <c r="C18" i="135"/>
  <c r="H17" i="135"/>
  <c r="C17" i="135"/>
  <c r="H16" i="135"/>
  <c r="C16" i="135"/>
  <c r="H14" i="135"/>
  <c r="C14" i="135"/>
  <c r="H13" i="135"/>
  <c r="C13" i="135"/>
  <c r="H12" i="135"/>
  <c r="C12" i="135"/>
  <c r="H27" i="136"/>
  <c r="C27" i="136"/>
  <c r="H26" i="136"/>
  <c r="C26" i="136"/>
  <c r="H25" i="136"/>
  <c r="C25" i="136"/>
  <c r="H24" i="136"/>
  <c r="C24" i="136"/>
  <c r="H23" i="136"/>
  <c r="C23" i="136"/>
  <c r="H22" i="136"/>
  <c r="C22" i="136"/>
  <c r="H21" i="136"/>
  <c r="C21" i="136"/>
  <c r="H20" i="136"/>
  <c r="C20" i="136"/>
  <c r="H19" i="136"/>
  <c r="C19" i="136"/>
  <c r="H18" i="136"/>
  <c r="C18" i="136"/>
  <c r="H17" i="136"/>
  <c r="C17" i="136"/>
  <c r="H16" i="136"/>
  <c r="C16" i="136"/>
  <c r="H14" i="136"/>
  <c r="C14" i="136"/>
  <c r="H13" i="136"/>
  <c r="C13" i="136"/>
  <c r="H12" i="136"/>
  <c r="C12" i="136"/>
  <c r="C81" i="155"/>
  <c r="C80" i="155"/>
  <c r="C79" i="155"/>
  <c r="C78" i="155"/>
  <c r="C77" i="155"/>
  <c r="C76" i="155"/>
  <c r="C75" i="155"/>
  <c r="C74" i="155"/>
  <c r="C73" i="155"/>
  <c r="C72" i="155"/>
  <c r="C71" i="155"/>
  <c r="C70" i="155"/>
  <c r="C68" i="155"/>
  <c r="C67" i="155"/>
  <c r="C66" i="155"/>
  <c r="C63" i="155"/>
  <c r="C62" i="155"/>
  <c r="C61" i="155"/>
  <c r="C60" i="155"/>
  <c r="C59" i="155"/>
  <c r="C58" i="155"/>
  <c r="C57" i="155"/>
  <c r="C56" i="155"/>
  <c r="C55" i="155"/>
  <c r="C54" i="155"/>
  <c r="C53" i="155"/>
  <c r="C52" i="155"/>
  <c r="C50" i="155"/>
  <c r="C49" i="155"/>
  <c r="C48" i="155"/>
  <c r="C45" i="155"/>
  <c r="C44" i="155"/>
  <c r="C43" i="155"/>
  <c r="C42" i="155"/>
  <c r="C41" i="155"/>
  <c r="C40" i="155"/>
  <c r="C39" i="155"/>
  <c r="C38" i="155"/>
  <c r="C37" i="155"/>
  <c r="C36" i="155"/>
  <c r="C35" i="155"/>
  <c r="C34" i="155"/>
  <c r="C32" i="155"/>
  <c r="C31" i="155"/>
  <c r="C30" i="155"/>
  <c r="C81" i="156"/>
  <c r="C80" i="156"/>
  <c r="C79" i="156"/>
  <c r="C78" i="156"/>
  <c r="C77" i="156"/>
  <c r="C76" i="156"/>
  <c r="C75" i="156"/>
  <c r="C74" i="156"/>
  <c r="C73" i="156"/>
  <c r="C72" i="156"/>
  <c r="C71" i="156"/>
  <c r="C70" i="156"/>
  <c r="C68" i="156"/>
  <c r="C67" i="156"/>
  <c r="C66" i="156"/>
  <c r="C63" i="156"/>
  <c r="C62" i="156"/>
  <c r="C61" i="156"/>
  <c r="C60" i="156"/>
  <c r="C59" i="156"/>
  <c r="C58" i="156"/>
  <c r="C57" i="156"/>
  <c r="C56" i="156"/>
  <c r="C55" i="156"/>
  <c r="C54" i="156"/>
  <c r="C53" i="156"/>
  <c r="C52" i="156"/>
  <c r="C50" i="156"/>
  <c r="C49" i="156"/>
  <c r="C48" i="156"/>
  <c r="C45" i="156"/>
  <c r="C44" i="156"/>
  <c r="C43" i="156"/>
  <c r="C42" i="156"/>
  <c r="C41" i="156"/>
  <c r="C40" i="156"/>
  <c r="C39" i="156"/>
  <c r="C38" i="156"/>
  <c r="C37" i="156"/>
  <c r="C36" i="156"/>
  <c r="C35" i="156"/>
  <c r="C34" i="156"/>
  <c r="C32" i="156"/>
  <c r="C31" i="156"/>
  <c r="C30" i="156"/>
  <c r="C81" i="158"/>
  <c r="C80" i="158"/>
  <c r="C79" i="158"/>
  <c r="C78" i="158"/>
  <c r="C77" i="158"/>
  <c r="C76" i="158"/>
  <c r="C75" i="158"/>
  <c r="C74" i="158"/>
  <c r="C73" i="158"/>
  <c r="C72" i="158"/>
  <c r="C71" i="158"/>
  <c r="C70" i="158"/>
  <c r="C68" i="158"/>
  <c r="C67" i="158"/>
  <c r="C66" i="158"/>
  <c r="C63" i="158"/>
  <c r="C62" i="158"/>
  <c r="C61" i="158"/>
  <c r="C60" i="158"/>
  <c r="C59" i="158"/>
  <c r="C58" i="158"/>
  <c r="C57" i="158"/>
  <c r="C56" i="158"/>
  <c r="C55" i="158"/>
  <c r="C54" i="158"/>
  <c r="C53" i="158"/>
  <c r="C52" i="158"/>
  <c r="C50" i="158"/>
  <c r="C49" i="158"/>
  <c r="C48" i="158"/>
  <c r="C45" i="158"/>
  <c r="C44" i="158"/>
  <c r="C43" i="158"/>
  <c r="C42" i="158"/>
  <c r="C41" i="158"/>
  <c r="C40" i="158"/>
  <c r="C39" i="158"/>
  <c r="C38" i="158"/>
  <c r="C37" i="158"/>
  <c r="C36" i="158"/>
  <c r="C35" i="158"/>
  <c r="C34" i="158"/>
  <c r="C32" i="158"/>
  <c r="C31" i="158"/>
  <c r="C30" i="158"/>
  <c r="C81" i="159"/>
  <c r="C80" i="159"/>
  <c r="C79" i="159"/>
  <c r="C78" i="159"/>
  <c r="C77" i="159"/>
  <c r="C76" i="159"/>
  <c r="C75" i="159"/>
  <c r="C74" i="159"/>
  <c r="C73" i="159"/>
  <c r="C72" i="159"/>
  <c r="C71" i="159"/>
  <c r="C70" i="159"/>
  <c r="C68" i="159"/>
  <c r="C67" i="159"/>
  <c r="C66" i="159"/>
  <c r="C63" i="159"/>
  <c r="C62" i="159"/>
  <c r="C61" i="159"/>
  <c r="C60" i="159"/>
  <c r="C59" i="159"/>
  <c r="C58" i="159"/>
  <c r="C57" i="159"/>
  <c r="C56" i="159"/>
  <c r="C55" i="159"/>
  <c r="C54" i="159"/>
  <c r="C53" i="159"/>
  <c r="C52" i="159"/>
  <c r="C50" i="159"/>
  <c r="C49" i="159"/>
  <c r="C48" i="159"/>
  <c r="C45" i="159"/>
  <c r="C44" i="159"/>
  <c r="C43" i="159"/>
  <c r="C42" i="159"/>
  <c r="C41" i="159"/>
  <c r="C40" i="159"/>
  <c r="C39" i="159"/>
  <c r="C38" i="159"/>
  <c r="C37" i="159"/>
  <c r="C36" i="159"/>
  <c r="C35" i="159"/>
  <c r="C34" i="159"/>
  <c r="C32" i="159"/>
  <c r="C31" i="159"/>
  <c r="C30" i="159"/>
  <c r="C81" i="160"/>
  <c r="C80" i="160"/>
  <c r="C79" i="160"/>
  <c r="C78" i="160"/>
  <c r="C77" i="160"/>
  <c r="C76" i="160"/>
  <c r="C75" i="160"/>
  <c r="C74" i="160"/>
  <c r="C73" i="160"/>
  <c r="C72" i="160"/>
  <c r="C71" i="160"/>
  <c r="C70" i="160"/>
  <c r="C68" i="160"/>
  <c r="C67" i="160"/>
  <c r="C66" i="160"/>
  <c r="C63" i="160"/>
  <c r="C62" i="160"/>
  <c r="C61" i="160"/>
  <c r="C60" i="160"/>
  <c r="C59" i="160"/>
  <c r="C58" i="160"/>
  <c r="C57" i="160"/>
  <c r="C56" i="160"/>
  <c r="C55" i="160"/>
  <c r="C54" i="160"/>
  <c r="C53" i="160"/>
  <c r="C52" i="160"/>
  <c r="C50" i="160"/>
  <c r="C49" i="160"/>
  <c r="C48" i="160"/>
  <c r="C45" i="160"/>
  <c r="C44" i="160"/>
  <c r="C43" i="160"/>
  <c r="C42" i="160"/>
  <c r="C41" i="160"/>
  <c r="C40" i="160"/>
  <c r="C39" i="160"/>
  <c r="C38" i="160"/>
  <c r="C37" i="160"/>
  <c r="C36" i="160"/>
  <c r="C35" i="160"/>
  <c r="C34" i="160"/>
  <c r="C32" i="160"/>
  <c r="C31" i="160"/>
  <c r="C30" i="160"/>
  <c r="C81" i="161"/>
  <c r="H81" i="161" s="1"/>
  <c r="C80" i="161"/>
  <c r="H80" i="161" s="1"/>
  <c r="C79" i="161"/>
  <c r="H79" i="161" s="1"/>
  <c r="C78" i="161"/>
  <c r="C77" i="161"/>
  <c r="H77" i="161" s="1"/>
  <c r="C76" i="161"/>
  <c r="H76" i="161" s="1"/>
  <c r="C75" i="161"/>
  <c r="H75" i="161" s="1"/>
  <c r="C74" i="161"/>
  <c r="H74" i="161" s="1"/>
  <c r="C73" i="161"/>
  <c r="H73" i="161" s="1"/>
  <c r="C72" i="161"/>
  <c r="H72" i="161" s="1"/>
  <c r="C71" i="161"/>
  <c r="H71" i="161" s="1"/>
  <c r="C70" i="161"/>
  <c r="H70" i="161" s="1"/>
  <c r="C68" i="161"/>
  <c r="H68" i="161" s="1"/>
  <c r="C67" i="161"/>
  <c r="H67" i="161" s="1"/>
  <c r="C66" i="161"/>
  <c r="H66" i="161" s="1"/>
  <c r="C63" i="161"/>
  <c r="H63" i="161" s="1"/>
  <c r="C62" i="161"/>
  <c r="H62" i="161" s="1"/>
  <c r="C61" i="161"/>
  <c r="H61" i="161" s="1"/>
  <c r="C60" i="161"/>
  <c r="C59" i="161"/>
  <c r="H59" i="161" s="1"/>
  <c r="C58" i="161"/>
  <c r="H58" i="161" s="1"/>
  <c r="C57" i="161"/>
  <c r="H57" i="161" s="1"/>
  <c r="C56" i="161"/>
  <c r="H56" i="161" s="1"/>
  <c r="C55" i="161"/>
  <c r="H55" i="161" s="1"/>
  <c r="C54" i="161"/>
  <c r="H54" i="161" s="1"/>
  <c r="C53" i="161"/>
  <c r="H53" i="161" s="1"/>
  <c r="C52" i="161"/>
  <c r="H52" i="161" s="1"/>
  <c r="C50" i="161"/>
  <c r="H50" i="161" s="1"/>
  <c r="C49" i="161"/>
  <c r="H49" i="161" s="1"/>
  <c r="C48" i="161"/>
  <c r="H48" i="161" s="1"/>
  <c r="C45" i="161"/>
  <c r="H45" i="161" s="1"/>
  <c r="C44" i="161"/>
  <c r="H44" i="161" s="1"/>
  <c r="C43" i="161"/>
  <c r="H43" i="161" s="1"/>
  <c r="C42" i="161"/>
  <c r="C41" i="161"/>
  <c r="H41" i="161" s="1"/>
  <c r="C40" i="161"/>
  <c r="H40" i="161" s="1"/>
  <c r="C39" i="161"/>
  <c r="H39" i="161" s="1"/>
  <c r="C38" i="161"/>
  <c r="H38" i="161" s="1"/>
  <c r="C37" i="161"/>
  <c r="H37" i="161" s="1"/>
  <c r="C36" i="161"/>
  <c r="H36" i="161" s="1"/>
  <c r="C35" i="161"/>
  <c r="H35" i="161" s="1"/>
  <c r="C34" i="161"/>
  <c r="H34" i="161" s="1"/>
  <c r="C32" i="161"/>
  <c r="H32" i="161" s="1"/>
  <c r="C31" i="161"/>
  <c r="H31" i="161" s="1"/>
  <c r="C30" i="161"/>
  <c r="H30" i="161" s="1"/>
  <c r="C81" i="162"/>
  <c r="C80" i="162"/>
  <c r="C79" i="162"/>
  <c r="C78" i="162"/>
  <c r="C77" i="162"/>
  <c r="C76" i="162"/>
  <c r="C75" i="162"/>
  <c r="C74" i="162"/>
  <c r="C73" i="162"/>
  <c r="C72" i="162"/>
  <c r="C71" i="162"/>
  <c r="C70" i="162"/>
  <c r="C68" i="162"/>
  <c r="C67" i="162"/>
  <c r="C66" i="162"/>
  <c r="C63" i="162"/>
  <c r="C62" i="162"/>
  <c r="C61" i="162"/>
  <c r="C60" i="162"/>
  <c r="C59" i="162"/>
  <c r="C58" i="162"/>
  <c r="C57" i="162"/>
  <c r="C56" i="162"/>
  <c r="C55" i="162"/>
  <c r="C54" i="162"/>
  <c r="C53" i="162"/>
  <c r="C52" i="162"/>
  <c r="C50" i="162"/>
  <c r="C49" i="162"/>
  <c r="C48" i="162"/>
  <c r="C45" i="162"/>
  <c r="C44" i="162"/>
  <c r="C43" i="162"/>
  <c r="C42" i="162"/>
  <c r="C41" i="162"/>
  <c r="C40" i="162"/>
  <c r="C39" i="162"/>
  <c r="C38" i="162"/>
  <c r="C37" i="162"/>
  <c r="C36" i="162"/>
  <c r="C35" i="162"/>
  <c r="C34" i="162"/>
  <c r="C32" i="162"/>
  <c r="C31" i="162"/>
  <c r="C30" i="162"/>
  <c r="C81" i="163"/>
  <c r="C80" i="163"/>
  <c r="C79" i="163"/>
  <c r="C78" i="163"/>
  <c r="C77" i="163"/>
  <c r="C76" i="163"/>
  <c r="C75" i="163"/>
  <c r="C74" i="163"/>
  <c r="C73" i="163"/>
  <c r="C72" i="163"/>
  <c r="C71" i="163"/>
  <c r="C70" i="163"/>
  <c r="C68" i="163"/>
  <c r="C67" i="163"/>
  <c r="C66" i="163"/>
  <c r="C63" i="163"/>
  <c r="C62" i="163"/>
  <c r="C61" i="163"/>
  <c r="C60" i="163"/>
  <c r="C59" i="163"/>
  <c r="C58" i="163"/>
  <c r="C57" i="163"/>
  <c r="C56" i="163"/>
  <c r="C55" i="163"/>
  <c r="C54" i="163"/>
  <c r="C53" i="163"/>
  <c r="C52" i="163"/>
  <c r="C50" i="163"/>
  <c r="C49" i="163"/>
  <c r="C48" i="163"/>
  <c r="C45" i="163"/>
  <c r="C44" i="163"/>
  <c r="C43" i="163"/>
  <c r="C42" i="163"/>
  <c r="C41" i="163"/>
  <c r="C40" i="163"/>
  <c r="C39" i="163"/>
  <c r="C38" i="163"/>
  <c r="C37" i="163"/>
  <c r="C36" i="163"/>
  <c r="C35" i="163"/>
  <c r="C34" i="163"/>
  <c r="C32" i="163"/>
  <c r="C31" i="163"/>
  <c r="C30" i="163"/>
  <c r="C81" i="164"/>
  <c r="C80" i="164"/>
  <c r="C79" i="164"/>
  <c r="C78" i="164"/>
  <c r="C77" i="164"/>
  <c r="C76" i="164"/>
  <c r="C75" i="164"/>
  <c r="C74" i="164"/>
  <c r="C73" i="164"/>
  <c r="C72" i="164"/>
  <c r="C71" i="164"/>
  <c r="C70" i="164"/>
  <c r="C68" i="164"/>
  <c r="C67" i="164"/>
  <c r="C66" i="164"/>
  <c r="C63" i="164"/>
  <c r="C62" i="164"/>
  <c r="C61" i="164"/>
  <c r="C60" i="164"/>
  <c r="C59" i="164"/>
  <c r="C58" i="164"/>
  <c r="C57" i="164"/>
  <c r="C56" i="164"/>
  <c r="C55" i="164"/>
  <c r="C54" i="164"/>
  <c r="C53" i="164"/>
  <c r="C52" i="164"/>
  <c r="C50" i="164"/>
  <c r="C49" i="164"/>
  <c r="C48" i="164"/>
  <c r="C45" i="164"/>
  <c r="C44" i="164"/>
  <c r="C43" i="164"/>
  <c r="C42" i="164"/>
  <c r="C41" i="164"/>
  <c r="C40" i="164"/>
  <c r="C39" i="164"/>
  <c r="C38" i="164"/>
  <c r="C37" i="164"/>
  <c r="C36" i="164"/>
  <c r="C35" i="164"/>
  <c r="C34" i="164"/>
  <c r="C32" i="164"/>
  <c r="C31" i="164"/>
  <c r="C30" i="164"/>
  <c r="C81" i="165"/>
  <c r="C80" i="165"/>
  <c r="C79" i="165"/>
  <c r="C78" i="165"/>
  <c r="C77" i="165"/>
  <c r="C76" i="165"/>
  <c r="C75" i="165"/>
  <c r="C74" i="165"/>
  <c r="C73" i="165"/>
  <c r="C72" i="165"/>
  <c r="C71" i="165"/>
  <c r="C70" i="165"/>
  <c r="C68" i="165"/>
  <c r="C67" i="165"/>
  <c r="C66" i="165"/>
  <c r="C63" i="165"/>
  <c r="C62" i="165"/>
  <c r="C61" i="165"/>
  <c r="C60" i="165"/>
  <c r="C59" i="165"/>
  <c r="C58" i="165"/>
  <c r="C57" i="165"/>
  <c r="C56" i="165"/>
  <c r="C55" i="165"/>
  <c r="C54" i="165"/>
  <c r="C53" i="165"/>
  <c r="C52" i="165"/>
  <c r="C50" i="165"/>
  <c r="C49" i="165"/>
  <c r="C48" i="165"/>
  <c r="C45" i="165"/>
  <c r="C44" i="165"/>
  <c r="C43" i="165"/>
  <c r="C42" i="165"/>
  <c r="C41" i="165"/>
  <c r="C40" i="165"/>
  <c r="C39" i="165"/>
  <c r="C38" i="165"/>
  <c r="C37" i="165"/>
  <c r="C36" i="165"/>
  <c r="C35" i="165"/>
  <c r="C34" i="165"/>
  <c r="C32" i="165"/>
  <c r="C31" i="165"/>
  <c r="C30" i="165"/>
  <c r="C81" i="166"/>
  <c r="C80" i="166"/>
  <c r="C79" i="166"/>
  <c r="C78" i="166"/>
  <c r="C77" i="166"/>
  <c r="C76" i="166"/>
  <c r="C75" i="166"/>
  <c r="C74" i="166"/>
  <c r="C73" i="166"/>
  <c r="C72" i="166"/>
  <c r="C71" i="166"/>
  <c r="C70" i="166"/>
  <c r="C68" i="166"/>
  <c r="C67" i="166"/>
  <c r="C66" i="166"/>
  <c r="C63" i="166"/>
  <c r="C62" i="166"/>
  <c r="C61" i="166"/>
  <c r="C60" i="166"/>
  <c r="C59" i="166"/>
  <c r="C58" i="166"/>
  <c r="C57" i="166"/>
  <c r="C56" i="166"/>
  <c r="C55" i="166"/>
  <c r="C54" i="166"/>
  <c r="C53" i="166"/>
  <c r="C52" i="166"/>
  <c r="C50" i="166"/>
  <c r="C49" i="166"/>
  <c r="C48" i="166"/>
  <c r="C45" i="166"/>
  <c r="C44" i="166"/>
  <c r="C43" i="166"/>
  <c r="C42" i="166"/>
  <c r="C41" i="166"/>
  <c r="C40" i="166"/>
  <c r="C39" i="166"/>
  <c r="C38" i="166"/>
  <c r="C37" i="166"/>
  <c r="C36" i="166"/>
  <c r="C35" i="166"/>
  <c r="C34" i="166"/>
  <c r="C32" i="166"/>
  <c r="C31" i="166"/>
  <c r="C30" i="166"/>
  <c r="C81" i="167"/>
  <c r="C80" i="167"/>
  <c r="C79" i="167"/>
  <c r="C78" i="167"/>
  <c r="C77" i="167"/>
  <c r="C76" i="167"/>
  <c r="C75" i="167"/>
  <c r="C74" i="167"/>
  <c r="C73" i="167"/>
  <c r="C72" i="167"/>
  <c r="C71" i="167"/>
  <c r="C70" i="167"/>
  <c r="C68" i="167"/>
  <c r="C67" i="167"/>
  <c r="C66" i="167"/>
  <c r="C63" i="167"/>
  <c r="C62" i="167"/>
  <c r="C61" i="167"/>
  <c r="C60" i="167"/>
  <c r="C59" i="167"/>
  <c r="C58" i="167"/>
  <c r="C57" i="167"/>
  <c r="C56" i="167"/>
  <c r="C55" i="167"/>
  <c r="C54" i="167"/>
  <c r="C53" i="167"/>
  <c r="C52" i="167"/>
  <c r="C50" i="167"/>
  <c r="C49" i="167"/>
  <c r="C48" i="167"/>
  <c r="C45" i="167"/>
  <c r="C44" i="167"/>
  <c r="C43" i="167"/>
  <c r="C42" i="167"/>
  <c r="C41" i="167"/>
  <c r="C40" i="167"/>
  <c r="C39" i="167"/>
  <c r="C38" i="167"/>
  <c r="C37" i="167"/>
  <c r="C36" i="167"/>
  <c r="C35" i="167"/>
  <c r="C34" i="167"/>
  <c r="C32" i="167"/>
  <c r="C31" i="167"/>
  <c r="C30" i="167"/>
  <c r="C81" i="168"/>
  <c r="C80" i="168"/>
  <c r="C79" i="168"/>
  <c r="C78" i="168"/>
  <c r="C77" i="168"/>
  <c r="C76" i="168"/>
  <c r="C75" i="168"/>
  <c r="C74" i="168"/>
  <c r="C73" i="168"/>
  <c r="C72" i="168"/>
  <c r="C71" i="168"/>
  <c r="C70" i="168"/>
  <c r="C68" i="168"/>
  <c r="C67" i="168"/>
  <c r="C66" i="168"/>
  <c r="C63" i="168"/>
  <c r="C62" i="168"/>
  <c r="C61" i="168"/>
  <c r="C60" i="168"/>
  <c r="C59" i="168"/>
  <c r="C58" i="168"/>
  <c r="C57" i="168"/>
  <c r="C56" i="168"/>
  <c r="C55" i="168"/>
  <c r="C54" i="168"/>
  <c r="C53" i="168"/>
  <c r="C52" i="168"/>
  <c r="C50" i="168"/>
  <c r="C49" i="168"/>
  <c r="C48" i="168"/>
  <c r="C45" i="168"/>
  <c r="C44" i="168"/>
  <c r="C43" i="168"/>
  <c r="C42" i="168"/>
  <c r="C41" i="168"/>
  <c r="C40" i="168"/>
  <c r="C39" i="168"/>
  <c r="C38" i="168"/>
  <c r="C37" i="168"/>
  <c r="C36" i="168"/>
  <c r="C35" i="168"/>
  <c r="C34" i="168"/>
  <c r="C32" i="168"/>
  <c r="C31" i="168"/>
  <c r="C30" i="168"/>
  <c r="C81" i="169"/>
  <c r="H81" i="169" s="1"/>
  <c r="C80" i="169"/>
  <c r="H80" i="169" s="1"/>
  <c r="C79" i="169"/>
  <c r="C78" i="169"/>
  <c r="C77" i="169"/>
  <c r="H77" i="169" s="1"/>
  <c r="C76" i="169"/>
  <c r="H76" i="169" s="1"/>
  <c r="C75" i="169"/>
  <c r="H75" i="169" s="1"/>
  <c r="C74" i="169"/>
  <c r="H74" i="169" s="1"/>
  <c r="C73" i="169"/>
  <c r="H73" i="169" s="1"/>
  <c r="C72" i="169"/>
  <c r="H72" i="169" s="1"/>
  <c r="C71" i="169"/>
  <c r="H71" i="169" s="1"/>
  <c r="C70" i="169"/>
  <c r="H70" i="169" s="1"/>
  <c r="C68" i="169"/>
  <c r="H68" i="169" s="1"/>
  <c r="C67" i="169"/>
  <c r="C66" i="169"/>
  <c r="H66" i="169" s="1"/>
  <c r="C63" i="169"/>
  <c r="H63" i="169" s="1"/>
  <c r="C62" i="169"/>
  <c r="H62" i="169" s="1"/>
  <c r="C61" i="169"/>
  <c r="C60" i="169"/>
  <c r="C59" i="169"/>
  <c r="H59" i="169" s="1"/>
  <c r="C58" i="169"/>
  <c r="H58" i="169" s="1"/>
  <c r="C57" i="169"/>
  <c r="H57" i="169" s="1"/>
  <c r="C56" i="169"/>
  <c r="H56" i="169" s="1"/>
  <c r="C55" i="169"/>
  <c r="H55" i="169" s="1"/>
  <c r="C54" i="169"/>
  <c r="C53" i="169"/>
  <c r="H53" i="169" s="1"/>
  <c r="C52" i="169"/>
  <c r="H52" i="169" s="1"/>
  <c r="C50" i="169"/>
  <c r="H50" i="169" s="1"/>
  <c r="C49" i="169"/>
  <c r="C48" i="169"/>
  <c r="H48" i="169" s="1"/>
  <c r="C45" i="169"/>
  <c r="H45" i="169" s="1"/>
  <c r="C44" i="169"/>
  <c r="H44" i="169" s="1"/>
  <c r="C43" i="169"/>
  <c r="C42" i="169"/>
  <c r="C41" i="169"/>
  <c r="H41" i="169" s="1"/>
  <c r="C40" i="169"/>
  <c r="H40" i="169" s="1"/>
  <c r="C39" i="169"/>
  <c r="H39" i="169" s="1"/>
  <c r="C38" i="169"/>
  <c r="H38" i="169" s="1"/>
  <c r="C37" i="169"/>
  <c r="H37" i="169" s="1"/>
  <c r="C36" i="169"/>
  <c r="H36" i="169" s="1"/>
  <c r="C35" i="169"/>
  <c r="H35" i="169" s="1"/>
  <c r="C34" i="169"/>
  <c r="H34" i="169" s="1"/>
  <c r="C32" i="169"/>
  <c r="H32" i="169" s="1"/>
  <c r="C31" i="169"/>
  <c r="C30" i="169"/>
  <c r="H30" i="169" s="1"/>
  <c r="C81" i="170"/>
  <c r="C80" i="170"/>
  <c r="C79" i="170"/>
  <c r="C78" i="170"/>
  <c r="C77" i="170"/>
  <c r="C76" i="170"/>
  <c r="C75" i="170"/>
  <c r="C74" i="170"/>
  <c r="C73" i="170"/>
  <c r="C72" i="170"/>
  <c r="C71" i="170"/>
  <c r="C70" i="170"/>
  <c r="C68" i="170"/>
  <c r="C67" i="170"/>
  <c r="C66" i="170"/>
  <c r="C63" i="170"/>
  <c r="C62" i="170"/>
  <c r="C61" i="170"/>
  <c r="C60" i="170"/>
  <c r="C59" i="170"/>
  <c r="C58" i="170"/>
  <c r="C57" i="170"/>
  <c r="C56" i="170"/>
  <c r="C55" i="170"/>
  <c r="C54" i="170"/>
  <c r="C53" i="170"/>
  <c r="C52" i="170"/>
  <c r="C50" i="170"/>
  <c r="C49" i="170"/>
  <c r="C48" i="170"/>
  <c r="C45" i="170"/>
  <c r="C44" i="170"/>
  <c r="C43" i="170"/>
  <c r="C42" i="170"/>
  <c r="C41" i="170"/>
  <c r="C40" i="170"/>
  <c r="C39" i="170"/>
  <c r="C38" i="170"/>
  <c r="C37" i="170"/>
  <c r="C36" i="170"/>
  <c r="C35" i="170"/>
  <c r="C34" i="170"/>
  <c r="C32" i="170"/>
  <c r="C31" i="170"/>
  <c r="C30" i="170"/>
  <c r="C81" i="171"/>
  <c r="C80" i="171"/>
  <c r="C79" i="171"/>
  <c r="C78" i="171"/>
  <c r="C77" i="171"/>
  <c r="C76" i="171"/>
  <c r="C75" i="171"/>
  <c r="C74" i="171"/>
  <c r="C73" i="171"/>
  <c r="C72" i="171"/>
  <c r="C71" i="171"/>
  <c r="C70" i="171"/>
  <c r="C68" i="171"/>
  <c r="C67" i="171"/>
  <c r="C66" i="171"/>
  <c r="C63" i="171"/>
  <c r="C62" i="171"/>
  <c r="C61" i="171"/>
  <c r="C60" i="171"/>
  <c r="C59" i="171"/>
  <c r="C58" i="171"/>
  <c r="C57" i="171"/>
  <c r="C56" i="171"/>
  <c r="C55" i="171"/>
  <c r="C54" i="171"/>
  <c r="C53" i="171"/>
  <c r="C52" i="171"/>
  <c r="C50" i="171"/>
  <c r="C49" i="171"/>
  <c r="C48" i="171"/>
  <c r="C45" i="171"/>
  <c r="C44" i="171"/>
  <c r="C43" i="171"/>
  <c r="C42" i="171"/>
  <c r="C41" i="171"/>
  <c r="C40" i="171"/>
  <c r="C39" i="171"/>
  <c r="C38" i="171"/>
  <c r="C37" i="171"/>
  <c r="C36" i="171"/>
  <c r="C35" i="171"/>
  <c r="C34" i="171"/>
  <c r="C32" i="171"/>
  <c r="C31" i="171"/>
  <c r="C30" i="171"/>
  <c r="C63" i="185"/>
  <c r="C62" i="185"/>
  <c r="C61" i="185"/>
  <c r="C60" i="185"/>
  <c r="C59" i="185"/>
  <c r="C58" i="185"/>
  <c r="C57" i="185"/>
  <c r="C56" i="185"/>
  <c r="C55" i="185"/>
  <c r="C54" i="185"/>
  <c r="C53" i="185"/>
  <c r="C52" i="185"/>
  <c r="C50" i="185"/>
  <c r="C49" i="185"/>
  <c r="C48" i="185"/>
  <c r="C45" i="185"/>
  <c r="C44" i="185"/>
  <c r="C43" i="185"/>
  <c r="C42" i="185"/>
  <c r="C41" i="185"/>
  <c r="C40" i="185"/>
  <c r="C39" i="185"/>
  <c r="C38" i="185"/>
  <c r="C37" i="185"/>
  <c r="C36" i="185"/>
  <c r="C35" i="185"/>
  <c r="C34" i="185"/>
  <c r="C32" i="185"/>
  <c r="C31" i="185"/>
  <c r="C30" i="185"/>
  <c r="C63" i="186"/>
  <c r="C62" i="186"/>
  <c r="C61" i="186"/>
  <c r="C60" i="186"/>
  <c r="C59" i="186"/>
  <c r="C58" i="186"/>
  <c r="C57" i="186"/>
  <c r="C56" i="186"/>
  <c r="C55" i="186"/>
  <c r="C54" i="186"/>
  <c r="C53" i="186"/>
  <c r="C52" i="186"/>
  <c r="C50" i="186"/>
  <c r="C49" i="186"/>
  <c r="C48" i="186"/>
  <c r="C45" i="186"/>
  <c r="C44" i="186"/>
  <c r="C43" i="186"/>
  <c r="C42" i="186"/>
  <c r="C41" i="186"/>
  <c r="C40" i="186"/>
  <c r="C39" i="186"/>
  <c r="C38" i="186"/>
  <c r="C37" i="186"/>
  <c r="C36" i="186"/>
  <c r="C35" i="186"/>
  <c r="C34" i="186"/>
  <c r="C32" i="186"/>
  <c r="C31" i="186"/>
  <c r="C30" i="186"/>
  <c r="C63" i="187"/>
  <c r="C62" i="187"/>
  <c r="C61" i="187"/>
  <c r="C60" i="187"/>
  <c r="C59" i="187"/>
  <c r="C58" i="187"/>
  <c r="C57" i="187"/>
  <c r="C56" i="187"/>
  <c r="C55" i="187"/>
  <c r="C54" i="187"/>
  <c r="C53" i="187"/>
  <c r="C52" i="187"/>
  <c r="C50" i="187"/>
  <c r="C49" i="187"/>
  <c r="C48" i="187"/>
  <c r="C45" i="187"/>
  <c r="C44" i="187"/>
  <c r="C43" i="187"/>
  <c r="C42" i="187"/>
  <c r="C41" i="187"/>
  <c r="C40" i="187"/>
  <c r="C39" i="187"/>
  <c r="C38" i="187"/>
  <c r="C37" i="187"/>
  <c r="C36" i="187"/>
  <c r="C35" i="187"/>
  <c r="C34" i="187"/>
  <c r="C32" i="187"/>
  <c r="C31" i="187"/>
  <c r="C30" i="187"/>
  <c r="C63" i="188"/>
  <c r="C62" i="188"/>
  <c r="C61" i="188"/>
  <c r="C60" i="188"/>
  <c r="C59" i="188"/>
  <c r="C58" i="188"/>
  <c r="C57" i="188"/>
  <c r="C56" i="188"/>
  <c r="C55" i="188"/>
  <c r="C54" i="188"/>
  <c r="C53" i="188"/>
  <c r="C52" i="188"/>
  <c r="C50" i="188"/>
  <c r="C49" i="188"/>
  <c r="C48" i="188"/>
  <c r="C45" i="188"/>
  <c r="C44" i="188"/>
  <c r="C43" i="188"/>
  <c r="C42" i="188"/>
  <c r="C41" i="188"/>
  <c r="C40" i="188"/>
  <c r="C39" i="188"/>
  <c r="C38" i="188"/>
  <c r="C37" i="188"/>
  <c r="C36" i="188"/>
  <c r="C35" i="188"/>
  <c r="C34" i="188"/>
  <c r="C32" i="188"/>
  <c r="C31" i="188"/>
  <c r="C30" i="188"/>
  <c r="C63" i="189"/>
  <c r="C62" i="189"/>
  <c r="C61" i="189"/>
  <c r="C60" i="189"/>
  <c r="C59" i="189"/>
  <c r="C58" i="189"/>
  <c r="C57" i="189"/>
  <c r="C56" i="189"/>
  <c r="C55" i="189"/>
  <c r="C54" i="189"/>
  <c r="C53" i="189"/>
  <c r="C52" i="189"/>
  <c r="C50" i="189"/>
  <c r="C49" i="189"/>
  <c r="C48" i="189"/>
  <c r="C45" i="189"/>
  <c r="C44" i="189"/>
  <c r="C43" i="189"/>
  <c r="C42" i="189"/>
  <c r="C41" i="189"/>
  <c r="C40" i="189"/>
  <c r="C39" i="189"/>
  <c r="C38" i="189"/>
  <c r="C37" i="189"/>
  <c r="C36" i="189"/>
  <c r="C35" i="189"/>
  <c r="C34" i="189"/>
  <c r="C32" i="189"/>
  <c r="C31" i="189"/>
  <c r="C30" i="189"/>
  <c r="C63" i="190"/>
  <c r="C62" i="190"/>
  <c r="C61" i="190"/>
  <c r="C60" i="190"/>
  <c r="C59" i="190"/>
  <c r="C58" i="190"/>
  <c r="C57" i="190"/>
  <c r="C56" i="190"/>
  <c r="C55" i="190"/>
  <c r="C54" i="190"/>
  <c r="C53" i="190"/>
  <c r="C52" i="190"/>
  <c r="C50" i="190"/>
  <c r="C49" i="190"/>
  <c r="C48" i="190"/>
  <c r="C45" i="190"/>
  <c r="C44" i="190"/>
  <c r="C43" i="190"/>
  <c r="C42" i="190"/>
  <c r="C41" i="190"/>
  <c r="C40" i="190"/>
  <c r="C39" i="190"/>
  <c r="C38" i="190"/>
  <c r="C37" i="190"/>
  <c r="C36" i="190"/>
  <c r="C35" i="190"/>
  <c r="C34" i="190"/>
  <c r="C32" i="190"/>
  <c r="C31" i="190"/>
  <c r="C30" i="190"/>
  <c r="C63" i="191"/>
  <c r="C62" i="191"/>
  <c r="C61" i="191"/>
  <c r="C60" i="191"/>
  <c r="C59" i="191"/>
  <c r="C58" i="191"/>
  <c r="C57" i="191"/>
  <c r="C56" i="191"/>
  <c r="C55" i="191"/>
  <c r="C54" i="191"/>
  <c r="C53" i="191"/>
  <c r="C52" i="191"/>
  <c r="C50" i="191"/>
  <c r="C49" i="191"/>
  <c r="C48" i="191"/>
  <c r="C45" i="191"/>
  <c r="C44" i="191"/>
  <c r="C43" i="191"/>
  <c r="C42" i="191"/>
  <c r="C41" i="191"/>
  <c r="C40" i="191"/>
  <c r="C39" i="191"/>
  <c r="C38" i="191"/>
  <c r="C37" i="191"/>
  <c r="C36" i="191"/>
  <c r="C35" i="191"/>
  <c r="C34" i="191"/>
  <c r="C32" i="191"/>
  <c r="C31" i="191"/>
  <c r="C30" i="191"/>
  <c r="C63" i="192"/>
  <c r="C62" i="192"/>
  <c r="C61" i="192"/>
  <c r="C60" i="192"/>
  <c r="C59" i="192"/>
  <c r="C58" i="192"/>
  <c r="C57" i="192"/>
  <c r="C56" i="192"/>
  <c r="C55" i="192"/>
  <c r="C54" i="192"/>
  <c r="C53" i="192"/>
  <c r="C52" i="192"/>
  <c r="C50" i="192"/>
  <c r="C49" i="192"/>
  <c r="C48" i="192"/>
  <c r="C45" i="192"/>
  <c r="C44" i="192"/>
  <c r="C43" i="192"/>
  <c r="C42" i="192"/>
  <c r="C41" i="192"/>
  <c r="C40" i="192"/>
  <c r="C39" i="192"/>
  <c r="C38" i="192"/>
  <c r="C37" i="192"/>
  <c r="C36" i="192"/>
  <c r="C35" i="192"/>
  <c r="C34" i="192"/>
  <c r="C32" i="192"/>
  <c r="C31" i="192"/>
  <c r="C30" i="192"/>
  <c r="C63" i="194"/>
  <c r="C62" i="194"/>
  <c r="C61" i="194"/>
  <c r="C60" i="194"/>
  <c r="C59" i="194"/>
  <c r="C58" i="194"/>
  <c r="C57" i="194"/>
  <c r="C56" i="194"/>
  <c r="C55" i="194"/>
  <c r="C54" i="194"/>
  <c r="C53" i="194"/>
  <c r="C52" i="194"/>
  <c r="C50" i="194"/>
  <c r="C49" i="194"/>
  <c r="C48" i="194"/>
  <c r="C45" i="194"/>
  <c r="C44" i="194"/>
  <c r="C43" i="194"/>
  <c r="C42" i="194"/>
  <c r="C41" i="194"/>
  <c r="C40" i="194"/>
  <c r="C39" i="194"/>
  <c r="C38" i="194"/>
  <c r="C37" i="194"/>
  <c r="C36" i="194"/>
  <c r="C35" i="194"/>
  <c r="C34" i="194"/>
  <c r="C32" i="194"/>
  <c r="C31" i="194"/>
  <c r="C30" i="194"/>
  <c r="C63" i="195"/>
  <c r="C62" i="195"/>
  <c r="C61" i="195"/>
  <c r="C60" i="195"/>
  <c r="C59" i="195"/>
  <c r="C58" i="195"/>
  <c r="C57" i="195"/>
  <c r="C56" i="195"/>
  <c r="C55" i="195"/>
  <c r="C54" i="195"/>
  <c r="C53" i="195"/>
  <c r="C52" i="195"/>
  <c r="C50" i="195"/>
  <c r="C49" i="195"/>
  <c r="C48" i="195"/>
  <c r="C45" i="195"/>
  <c r="C44" i="195"/>
  <c r="C43" i="195"/>
  <c r="C42" i="195"/>
  <c r="C41" i="195"/>
  <c r="C40" i="195"/>
  <c r="C39" i="195"/>
  <c r="C38" i="195"/>
  <c r="C37" i="195"/>
  <c r="C36" i="195"/>
  <c r="C35" i="195"/>
  <c r="C34" i="195"/>
  <c r="C32" i="195"/>
  <c r="C31" i="195"/>
  <c r="C30" i="195"/>
  <c r="C63" i="196"/>
  <c r="C62" i="196"/>
  <c r="C61" i="196"/>
  <c r="C60" i="196"/>
  <c r="C59" i="196"/>
  <c r="C58" i="196"/>
  <c r="C57" i="196"/>
  <c r="C56" i="196"/>
  <c r="C55" i="196"/>
  <c r="C54" i="196"/>
  <c r="C53" i="196"/>
  <c r="C52" i="196"/>
  <c r="C50" i="196"/>
  <c r="C49" i="196"/>
  <c r="C48" i="196"/>
  <c r="C45" i="196"/>
  <c r="C44" i="196"/>
  <c r="C43" i="196"/>
  <c r="C42" i="196"/>
  <c r="C41" i="196"/>
  <c r="C40" i="196"/>
  <c r="C39" i="196"/>
  <c r="C38" i="196"/>
  <c r="C37" i="196"/>
  <c r="C36" i="196"/>
  <c r="C35" i="196"/>
  <c r="C34" i="196"/>
  <c r="C32" i="196"/>
  <c r="C31" i="196"/>
  <c r="C30" i="196"/>
  <c r="C63" i="197"/>
  <c r="C62" i="197"/>
  <c r="C61" i="197"/>
  <c r="C60" i="197"/>
  <c r="C59" i="197"/>
  <c r="C58" i="197"/>
  <c r="C57" i="197"/>
  <c r="C56" i="197"/>
  <c r="C55" i="197"/>
  <c r="C54" i="197"/>
  <c r="C53" i="197"/>
  <c r="C52" i="197"/>
  <c r="C50" i="197"/>
  <c r="C49" i="197"/>
  <c r="C48" i="197"/>
  <c r="C45" i="197"/>
  <c r="C44" i="197"/>
  <c r="C43" i="197"/>
  <c r="C42" i="197"/>
  <c r="C41" i="197"/>
  <c r="C40" i="197"/>
  <c r="C39" i="197"/>
  <c r="C38" i="197"/>
  <c r="C37" i="197"/>
  <c r="C36" i="197"/>
  <c r="C35" i="197"/>
  <c r="C34" i="197"/>
  <c r="C32" i="197"/>
  <c r="C31" i="197"/>
  <c r="C30" i="197"/>
  <c r="C63" i="198"/>
  <c r="C62" i="198"/>
  <c r="C61" i="198"/>
  <c r="C60" i="198"/>
  <c r="C59" i="198"/>
  <c r="C58" i="198"/>
  <c r="C57" i="198"/>
  <c r="C56" i="198"/>
  <c r="C55" i="198"/>
  <c r="C54" i="198"/>
  <c r="C53" i="198"/>
  <c r="C52" i="198"/>
  <c r="C50" i="198"/>
  <c r="C49" i="198"/>
  <c r="C48" i="198"/>
  <c r="C45" i="198"/>
  <c r="C44" i="198"/>
  <c r="C43" i="198"/>
  <c r="C42" i="198"/>
  <c r="C41" i="198"/>
  <c r="C40" i="198"/>
  <c r="C39" i="198"/>
  <c r="C38" i="198"/>
  <c r="C37" i="198"/>
  <c r="C36" i="198"/>
  <c r="C35" i="198"/>
  <c r="C34" i="198"/>
  <c r="C32" i="198"/>
  <c r="C31" i="198"/>
  <c r="C30" i="198"/>
  <c r="C63" i="199"/>
  <c r="C62" i="199"/>
  <c r="C61" i="199"/>
  <c r="C60" i="199"/>
  <c r="C59" i="199"/>
  <c r="C58" i="199"/>
  <c r="C57" i="199"/>
  <c r="C56" i="199"/>
  <c r="C55" i="199"/>
  <c r="C54" i="199"/>
  <c r="C53" i="199"/>
  <c r="C52" i="199"/>
  <c r="C50" i="199"/>
  <c r="C49" i="199"/>
  <c r="C48" i="199"/>
  <c r="C45" i="199"/>
  <c r="C44" i="199"/>
  <c r="C43" i="199"/>
  <c r="C42" i="199"/>
  <c r="C41" i="199"/>
  <c r="C40" i="199"/>
  <c r="C39" i="199"/>
  <c r="C38" i="199"/>
  <c r="C37" i="199"/>
  <c r="C36" i="199"/>
  <c r="C35" i="199"/>
  <c r="C34" i="199"/>
  <c r="C32" i="199"/>
  <c r="C31" i="199"/>
  <c r="C30" i="199"/>
  <c r="C63" i="200"/>
  <c r="C62" i="200"/>
  <c r="C61" i="200"/>
  <c r="C60" i="200"/>
  <c r="C59" i="200"/>
  <c r="C58" i="200"/>
  <c r="C57" i="200"/>
  <c r="C56" i="200"/>
  <c r="C55" i="200"/>
  <c r="C54" i="200"/>
  <c r="C53" i="200"/>
  <c r="C52" i="200"/>
  <c r="C50" i="200"/>
  <c r="C49" i="200"/>
  <c r="C48" i="200"/>
  <c r="C45" i="200"/>
  <c r="C44" i="200"/>
  <c r="C43" i="200"/>
  <c r="C42" i="200"/>
  <c r="C41" i="200"/>
  <c r="C40" i="200"/>
  <c r="C39" i="200"/>
  <c r="C38" i="200"/>
  <c r="C37" i="200"/>
  <c r="C36" i="200"/>
  <c r="C35" i="200"/>
  <c r="C34" i="200"/>
  <c r="C32" i="200"/>
  <c r="C31" i="200"/>
  <c r="C30" i="200"/>
  <c r="C63" i="202"/>
  <c r="C62" i="202"/>
  <c r="C61" i="202"/>
  <c r="C60" i="202"/>
  <c r="C59" i="202"/>
  <c r="C58" i="202"/>
  <c r="C57" i="202"/>
  <c r="C56" i="202"/>
  <c r="C55" i="202"/>
  <c r="C54" i="202"/>
  <c r="C53" i="202"/>
  <c r="C52" i="202"/>
  <c r="C50" i="202"/>
  <c r="C49" i="202"/>
  <c r="C48" i="202"/>
  <c r="C45" i="202"/>
  <c r="C44" i="202"/>
  <c r="C43" i="202"/>
  <c r="C25" i="223" s="1"/>
  <c r="C42" i="202"/>
  <c r="C41" i="202"/>
  <c r="C40" i="202"/>
  <c r="C39" i="202"/>
  <c r="C38" i="202"/>
  <c r="C20" i="223" s="1"/>
  <c r="C37" i="202"/>
  <c r="C36" i="202"/>
  <c r="C18" i="223" s="1"/>
  <c r="C35" i="202"/>
  <c r="C34" i="202"/>
  <c r="C32" i="202"/>
  <c r="C31" i="202"/>
  <c r="C30" i="202"/>
  <c r="C63" i="203"/>
  <c r="C62" i="203"/>
  <c r="C61" i="203"/>
  <c r="C60" i="203"/>
  <c r="C59" i="203"/>
  <c r="C58" i="203"/>
  <c r="C57" i="203"/>
  <c r="C56" i="203"/>
  <c r="C55" i="203"/>
  <c r="C54" i="203"/>
  <c r="C53" i="203"/>
  <c r="C52" i="203"/>
  <c r="C50" i="203"/>
  <c r="C49" i="203"/>
  <c r="C48" i="203"/>
  <c r="C45" i="203"/>
  <c r="C44" i="203"/>
  <c r="C43" i="203"/>
  <c r="C42" i="203"/>
  <c r="C41" i="203"/>
  <c r="C40" i="203"/>
  <c r="C39" i="203"/>
  <c r="C38" i="203"/>
  <c r="C37" i="203"/>
  <c r="C36" i="203"/>
  <c r="C35" i="203"/>
  <c r="C34" i="203"/>
  <c r="C32" i="203"/>
  <c r="C31" i="203"/>
  <c r="C30" i="203"/>
  <c r="C201" i="211"/>
  <c r="B201" i="211"/>
  <c r="C200" i="211"/>
  <c r="B200" i="211"/>
  <c r="C199" i="211"/>
  <c r="B199" i="211"/>
  <c r="C198" i="211"/>
  <c r="B198" i="211"/>
  <c r="C197" i="211"/>
  <c r="B197" i="211"/>
  <c r="C196" i="211"/>
  <c r="B196" i="211"/>
  <c r="C195" i="211"/>
  <c r="B195" i="211"/>
  <c r="C194" i="211"/>
  <c r="B194" i="211"/>
  <c r="C193" i="211"/>
  <c r="B193" i="211"/>
  <c r="C192" i="211"/>
  <c r="B192" i="211"/>
  <c r="C191" i="211"/>
  <c r="B191" i="211"/>
  <c r="C190" i="211"/>
  <c r="B190" i="211"/>
  <c r="C188" i="211"/>
  <c r="B188" i="211"/>
  <c r="C187" i="211"/>
  <c r="B187" i="211"/>
  <c r="C186" i="211"/>
  <c r="B186" i="211"/>
  <c r="C165" i="211"/>
  <c r="B165" i="211"/>
  <c r="C164" i="211"/>
  <c r="B164" i="211"/>
  <c r="C163" i="211"/>
  <c r="B163" i="211"/>
  <c r="C162" i="211"/>
  <c r="B162" i="211"/>
  <c r="C161" i="211"/>
  <c r="B161" i="211"/>
  <c r="C160" i="211"/>
  <c r="B160" i="211"/>
  <c r="C159" i="211"/>
  <c r="B159" i="211"/>
  <c r="C158" i="211"/>
  <c r="B158" i="211"/>
  <c r="C157" i="211"/>
  <c r="B157" i="211"/>
  <c r="C156" i="211"/>
  <c r="B156" i="211"/>
  <c r="C155" i="211"/>
  <c r="B155" i="211"/>
  <c r="C154" i="211"/>
  <c r="B154" i="211"/>
  <c r="C152" i="211"/>
  <c r="B152" i="211"/>
  <c r="C151" i="211"/>
  <c r="B151" i="211"/>
  <c r="C150" i="211"/>
  <c r="B150" i="211"/>
  <c r="C111" i="211"/>
  <c r="B111" i="211"/>
  <c r="C110" i="211"/>
  <c r="B110" i="211"/>
  <c r="C109" i="211"/>
  <c r="B109" i="211"/>
  <c r="C108" i="211"/>
  <c r="B108" i="211"/>
  <c r="C107" i="211"/>
  <c r="B107" i="211"/>
  <c r="C106" i="211"/>
  <c r="B106" i="211"/>
  <c r="C105" i="211"/>
  <c r="B105" i="211"/>
  <c r="C104" i="211"/>
  <c r="B104" i="211"/>
  <c r="C103" i="211"/>
  <c r="B103" i="211"/>
  <c r="B102" i="211"/>
  <c r="C101" i="211"/>
  <c r="B101" i="211"/>
  <c r="C100" i="211"/>
  <c r="B100" i="211"/>
  <c r="C98" i="211"/>
  <c r="B98" i="211"/>
  <c r="C97" i="211"/>
  <c r="B97" i="211"/>
  <c r="C96" i="211"/>
  <c r="B96" i="211"/>
  <c r="C93" i="211"/>
  <c r="B93" i="211"/>
  <c r="C92" i="211"/>
  <c r="B92" i="211"/>
  <c r="C91" i="211"/>
  <c r="B91" i="211"/>
  <c r="C90" i="211"/>
  <c r="B90" i="211"/>
  <c r="C89" i="211"/>
  <c r="B89" i="211"/>
  <c r="C88" i="211"/>
  <c r="B88" i="211"/>
  <c r="C87" i="211"/>
  <c r="B87" i="211"/>
  <c r="C86" i="211"/>
  <c r="B86" i="211"/>
  <c r="C85" i="211"/>
  <c r="B85" i="211"/>
  <c r="B84" i="211"/>
  <c r="C83" i="211"/>
  <c r="B83" i="211"/>
  <c r="C82" i="211"/>
  <c r="B82" i="211"/>
  <c r="C80" i="211"/>
  <c r="B80" i="211"/>
  <c r="C79" i="211"/>
  <c r="B79" i="211"/>
  <c r="C78" i="211"/>
  <c r="B78" i="211"/>
  <c r="C75" i="211"/>
  <c r="B75" i="211"/>
  <c r="C74" i="211"/>
  <c r="B74" i="211"/>
  <c r="C73" i="211"/>
  <c r="B73" i="211"/>
  <c r="C72" i="211"/>
  <c r="B72" i="211"/>
  <c r="C71" i="211"/>
  <c r="B71" i="211"/>
  <c r="C70" i="211"/>
  <c r="B70" i="211"/>
  <c r="C69" i="211"/>
  <c r="B69" i="211"/>
  <c r="C68" i="211"/>
  <c r="B68" i="211"/>
  <c r="C67" i="211"/>
  <c r="B67" i="211"/>
  <c r="B66" i="211"/>
  <c r="C65" i="211"/>
  <c r="B65" i="211"/>
  <c r="C64" i="211"/>
  <c r="B64" i="211"/>
  <c r="C62" i="211"/>
  <c r="B62" i="211"/>
  <c r="C61" i="211"/>
  <c r="B61" i="211"/>
  <c r="C60" i="211"/>
  <c r="B60" i="211"/>
  <c r="C57" i="211"/>
  <c r="B57" i="211"/>
  <c r="C56" i="211"/>
  <c r="B56" i="211"/>
  <c r="C55" i="211"/>
  <c r="B55" i="211"/>
  <c r="C54" i="211"/>
  <c r="B54" i="211"/>
  <c r="C53" i="211"/>
  <c r="B53" i="211"/>
  <c r="C52" i="211"/>
  <c r="B52" i="211"/>
  <c r="C51" i="211"/>
  <c r="B51" i="211"/>
  <c r="C50" i="211"/>
  <c r="B50" i="211"/>
  <c r="C49" i="211"/>
  <c r="B49" i="211"/>
  <c r="B48" i="211"/>
  <c r="C47" i="211"/>
  <c r="B47" i="211"/>
  <c r="C46" i="211"/>
  <c r="B46" i="211"/>
  <c r="C44" i="211"/>
  <c r="B44" i="211"/>
  <c r="C43" i="211"/>
  <c r="B43" i="211"/>
  <c r="C42" i="211"/>
  <c r="B42" i="211"/>
  <c r="C39" i="211"/>
  <c r="B39" i="211"/>
  <c r="C38" i="211"/>
  <c r="B38" i="211"/>
  <c r="C37" i="211"/>
  <c r="B37" i="211"/>
  <c r="C36" i="211"/>
  <c r="B36" i="211"/>
  <c r="C35" i="211"/>
  <c r="B35" i="211"/>
  <c r="C34" i="211"/>
  <c r="B34" i="211"/>
  <c r="C33" i="211"/>
  <c r="B33" i="211"/>
  <c r="C32" i="211"/>
  <c r="B32" i="211"/>
  <c r="C31" i="211"/>
  <c r="B31" i="211"/>
  <c r="B30" i="211"/>
  <c r="C29" i="211"/>
  <c r="B29" i="211"/>
  <c r="C28" i="211"/>
  <c r="B28" i="211"/>
  <c r="C26" i="211"/>
  <c r="B26" i="211"/>
  <c r="C25" i="211"/>
  <c r="B25" i="211"/>
  <c r="C24" i="211"/>
  <c r="B24" i="211"/>
  <c r="C21" i="211"/>
  <c r="B21" i="211"/>
  <c r="C20" i="211"/>
  <c r="B20" i="211"/>
  <c r="C19" i="211"/>
  <c r="B19" i="211"/>
  <c r="C18" i="211"/>
  <c r="B18" i="211"/>
  <c r="C17" i="211"/>
  <c r="B17" i="211"/>
  <c r="C16" i="211"/>
  <c r="B16" i="211"/>
  <c r="C15" i="211"/>
  <c r="B15" i="211"/>
  <c r="C14" i="211"/>
  <c r="B14" i="211"/>
  <c r="C13" i="211"/>
  <c r="B13" i="211"/>
  <c r="B12" i="211"/>
  <c r="C11" i="211"/>
  <c r="B11" i="211"/>
  <c r="C10" i="211"/>
  <c r="B10" i="211"/>
  <c r="C8" i="211"/>
  <c r="B8" i="211"/>
  <c r="C7" i="211"/>
  <c r="B7" i="211"/>
  <c r="C6" i="211"/>
  <c r="B6" i="211"/>
  <c r="D201" i="213"/>
  <c r="C201" i="213"/>
  <c r="D200" i="213"/>
  <c r="C200" i="213"/>
  <c r="D199" i="213"/>
  <c r="C199" i="213"/>
  <c r="D198" i="213"/>
  <c r="C198" i="213"/>
  <c r="D197" i="213"/>
  <c r="C197" i="213"/>
  <c r="D196" i="213"/>
  <c r="C196" i="213"/>
  <c r="D195" i="213"/>
  <c r="C195" i="213"/>
  <c r="D194" i="213"/>
  <c r="C194" i="213"/>
  <c r="D193" i="213"/>
  <c r="C193" i="213"/>
  <c r="D192" i="213"/>
  <c r="C192" i="213"/>
  <c r="D191" i="213"/>
  <c r="C191" i="213"/>
  <c r="D190" i="213"/>
  <c r="C190" i="213"/>
  <c r="D188" i="213"/>
  <c r="C188" i="213"/>
  <c r="D187" i="213"/>
  <c r="C187" i="213"/>
  <c r="D165" i="213"/>
  <c r="C165" i="213"/>
  <c r="D164" i="213"/>
  <c r="C164" i="213"/>
  <c r="D163" i="213"/>
  <c r="C163" i="213"/>
  <c r="D162" i="213"/>
  <c r="C162" i="213"/>
  <c r="D161" i="213"/>
  <c r="C161" i="213"/>
  <c r="D160" i="213"/>
  <c r="C160" i="213"/>
  <c r="D159" i="213"/>
  <c r="C159" i="213"/>
  <c r="D158" i="213"/>
  <c r="C158" i="213"/>
  <c r="D157" i="213"/>
  <c r="C157" i="213"/>
  <c r="D156" i="213"/>
  <c r="C156" i="213"/>
  <c r="D155" i="213"/>
  <c r="C155" i="213"/>
  <c r="D154" i="213"/>
  <c r="C154" i="213"/>
  <c r="D152" i="213"/>
  <c r="C152" i="213"/>
  <c r="D151" i="213"/>
  <c r="C151" i="213"/>
  <c r="D150" i="213"/>
  <c r="C150" i="213"/>
  <c r="D129" i="213"/>
  <c r="C129" i="213"/>
  <c r="D128" i="213"/>
  <c r="C128" i="213"/>
  <c r="D127" i="213"/>
  <c r="C127" i="213"/>
  <c r="D126" i="213"/>
  <c r="C126" i="213"/>
  <c r="D125" i="213"/>
  <c r="C125" i="213"/>
  <c r="D124" i="213"/>
  <c r="C124" i="213"/>
  <c r="D123" i="213"/>
  <c r="C123" i="213"/>
  <c r="D122" i="213"/>
  <c r="C122" i="213"/>
  <c r="D121" i="213"/>
  <c r="C121" i="213"/>
  <c r="D120" i="213"/>
  <c r="C120" i="213"/>
  <c r="D119" i="213"/>
  <c r="C119" i="213"/>
  <c r="D118" i="213"/>
  <c r="C118" i="213"/>
  <c r="D116" i="213"/>
  <c r="C116" i="213"/>
  <c r="D115" i="213"/>
  <c r="C115" i="213"/>
  <c r="D114" i="213"/>
  <c r="C114" i="213"/>
  <c r="D111" i="213"/>
  <c r="C111" i="213"/>
  <c r="D110" i="213"/>
  <c r="C110" i="213"/>
  <c r="D109" i="213"/>
  <c r="C109" i="213"/>
  <c r="D108" i="213"/>
  <c r="C108" i="213"/>
  <c r="D107" i="213"/>
  <c r="C107" i="213"/>
  <c r="D106" i="213"/>
  <c r="C106" i="213"/>
  <c r="D105" i="213"/>
  <c r="C105" i="213"/>
  <c r="D104" i="213"/>
  <c r="C104" i="213"/>
  <c r="D103" i="213"/>
  <c r="C103" i="213"/>
  <c r="D102" i="213"/>
  <c r="C102" i="213"/>
  <c r="D101" i="213"/>
  <c r="C101" i="213"/>
  <c r="D100" i="213"/>
  <c r="C100" i="213"/>
  <c r="D98" i="213"/>
  <c r="C98" i="213"/>
  <c r="D97" i="213"/>
  <c r="C97" i="213"/>
  <c r="D96" i="213"/>
  <c r="C96" i="213"/>
  <c r="D93" i="213"/>
  <c r="C93" i="213"/>
  <c r="D92" i="213"/>
  <c r="C92" i="213"/>
  <c r="D91" i="213"/>
  <c r="C91" i="213"/>
  <c r="D90" i="213"/>
  <c r="C90" i="213"/>
  <c r="D89" i="213"/>
  <c r="C89" i="213"/>
  <c r="D88" i="213"/>
  <c r="C88" i="213"/>
  <c r="D87" i="213"/>
  <c r="C87" i="213"/>
  <c r="D86" i="213"/>
  <c r="C86" i="213"/>
  <c r="D85" i="213"/>
  <c r="C85" i="213"/>
  <c r="D84" i="213"/>
  <c r="C84" i="213"/>
  <c r="D83" i="213"/>
  <c r="C83" i="213"/>
  <c r="D82" i="213"/>
  <c r="C82" i="213"/>
  <c r="D80" i="213"/>
  <c r="C80" i="213"/>
  <c r="D79" i="213"/>
  <c r="C79" i="213"/>
  <c r="D78" i="213"/>
  <c r="C78" i="213"/>
  <c r="D75" i="213"/>
  <c r="C75" i="213"/>
  <c r="D74" i="213"/>
  <c r="C74" i="213"/>
  <c r="D73" i="213"/>
  <c r="C73" i="213"/>
  <c r="D72" i="213"/>
  <c r="C72" i="213"/>
  <c r="D71" i="213"/>
  <c r="C71" i="213"/>
  <c r="D70" i="213"/>
  <c r="C70" i="213"/>
  <c r="D69" i="213"/>
  <c r="C69" i="213"/>
  <c r="D68" i="213"/>
  <c r="C68" i="213"/>
  <c r="D67" i="213"/>
  <c r="C67" i="213"/>
  <c r="D66" i="213"/>
  <c r="C66" i="213"/>
  <c r="D65" i="213"/>
  <c r="C65" i="213"/>
  <c r="D64" i="213"/>
  <c r="C64" i="213"/>
  <c r="D62" i="213"/>
  <c r="C62" i="213"/>
  <c r="D61" i="213"/>
  <c r="C61" i="213"/>
  <c r="D60" i="213"/>
  <c r="C60" i="213"/>
  <c r="D57" i="213"/>
  <c r="C57" i="213"/>
  <c r="D56" i="213"/>
  <c r="C56" i="213"/>
  <c r="D55" i="213"/>
  <c r="C55" i="213"/>
  <c r="D54" i="213"/>
  <c r="C54" i="213"/>
  <c r="D53" i="213"/>
  <c r="C53" i="213"/>
  <c r="D52" i="213"/>
  <c r="C52" i="213"/>
  <c r="D51" i="213"/>
  <c r="C51" i="213"/>
  <c r="D50" i="213"/>
  <c r="C50" i="213"/>
  <c r="D49" i="213"/>
  <c r="C49" i="213"/>
  <c r="D48" i="213"/>
  <c r="C48" i="213"/>
  <c r="D47" i="213"/>
  <c r="C47" i="213"/>
  <c r="D46" i="213"/>
  <c r="C46" i="213"/>
  <c r="D44" i="213"/>
  <c r="C44" i="213"/>
  <c r="D43" i="213"/>
  <c r="C43" i="213"/>
  <c r="D42" i="213"/>
  <c r="C42" i="213"/>
  <c r="D39" i="213"/>
  <c r="C39" i="213"/>
  <c r="D38" i="213"/>
  <c r="C38" i="213"/>
  <c r="D37" i="213"/>
  <c r="C37" i="213"/>
  <c r="D36" i="213"/>
  <c r="C36" i="213"/>
  <c r="D35" i="213"/>
  <c r="C35" i="213"/>
  <c r="D34" i="213"/>
  <c r="C34" i="213"/>
  <c r="D33" i="213"/>
  <c r="C33" i="213"/>
  <c r="D32" i="213"/>
  <c r="C32" i="213"/>
  <c r="D31" i="213"/>
  <c r="C31" i="213"/>
  <c r="D30" i="213"/>
  <c r="C30" i="213"/>
  <c r="D29" i="213"/>
  <c r="C29" i="213"/>
  <c r="D28" i="213"/>
  <c r="C28" i="213"/>
  <c r="D26" i="213"/>
  <c r="C26" i="213"/>
  <c r="D25" i="213"/>
  <c r="C25" i="213"/>
  <c r="D24" i="213"/>
  <c r="C24" i="213"/>
  <c r="D21" i="213"/>
  <c r="C21" i="213"/>
  <c r="D20" i="213"/>
  <c r="C20" i="213"/>
  <c r="D19" i="213"/>
  <c r="C19" i="213"/>
  <c r="D18" i="213"/>
  <c r="C18" i="213"/>
  <c r="D17" i="213"/>
  <c r="C17" i="213"/>
  <c r="D16" i="213"/>
  <c r="C16" i="213"/>
  <c r="D15" i="213"/>
  <c r="C15" i="213"/>
  <c r="D14" i="213"/>
  <c r="C14" i="213"/>
  <c r="D13" i="213"/>
  <c r="C13" i="213"/>
  <c r="D12" i="213"/>
  <c r="C12" i="213"/>
  <c r="D11" i="213"/>
  <c r="C11" i="213"/>
  <c r="D10" i="213"/>
  <c r="C10" i="213"/>
  <c r="D8" i="213"/>
  <c r="C8" i="213"/>
  <c r="D7" i="213"/>
  <c r="C7" i="213"/>
  <c r="D6" i="213"/>
  <c r="C6" i="213"/>
  <c r="E35" i="215"/>
  <c r="D35" i="215"/>
  <c r="E34" i="215"/>
  <c r="D34" i="215"/>
  <c r="C81" i="157"/>
  <c r="C80" i="157"/>
  <c r="C79" i="157"/>
  <c r="C78" i="157"/>
  <c r="C77" i="157"/>
  <c r="C76" i="157"/>
  <c r="C75" i="157"/>
  <c r="C74" i="157"/>
  <c r="C73" i="157"/>
  <c r="C72" i="157"/>
  <c r="C71" i="157"/>
  <c r="C70" i="157"/>
  <c r="C68" i="157"/>
  <c r="C67" i="157"/>
  <c r="C66" i="157"/>
  <c r="C63" i="157"/>
  <c r="C62" i="157"/>
  <c r="C61" i="157"/>
  <c r="C60" i="157"/>
  <c r="C59" i="157"/>
  <c r="C58" i="157"/>
  <c r="C57" i="157"/>
  <c r="C56" i="157"/>
  <c r="C55" i="157"/>
  <c r="C54" i="157"/>
  <c r="C53" i="157"/>
  <c r="C52" i="157"/>
  <c r="C50" i="157"/>
  <c r="C49" i="157"/>
  <c r="C48" i="157"/>
  <c r="C45" i="157"/>
  <c r="C44" i="157"/>
  <c r="C43" i="157"/>
  <c r="C42" i="157"/>
  <c r="C41" i="157"/>
  <c r="C40" i="157"/>
  <c r="C39" i="157"/>
  <c r="C38" i="157"/>
  <c r="C37" i="157"/>
  <c r="C36" i="157"/>
  <c r="C35" i="157"/>
  <c r="C34" i="157"/>
  <c r="C32" i="157"/>
  <c r="C31" i="157"/>
  <c r="C30" i="157"/>
  <c r="D28" i="147" l="1"/>
  <c r="D28" i="149"/>
  <c r="I28" i="149" s="1"/>
  <c r="D22" i="182"/>
  <c r="I22" i="182" s="1"/>
  <c r="H48" i="223"/>
  <c r="H30" i="223"/>
  <c r="H31" i="223"/>
  <c r="H49" i="223"/>
  <c r="H32" i="223"/>
  <c r="H50" i="223"/>
  <c r="H34" i="223"/>
  <c r="H52" i="223"/>
  <c r="H35" i="223"/>
  <c r="H53" i="223"/>
  <c r="H36" i="223"/>
  <c r="H54" i="223"/>
  <c r="H37" i="223"/>
  <c r="H55" i="223"/>
  <c r="H38" i="223"/>
  <c r="H56" i="223"/>
  <c r="H39" i="223"/>
  <c r="H57" i="223"/>
  <c r="H40" i="223"/>
  <c r="H58" i="223"/>
  <c r="H41" i="223"/>
  <c r="H59" i="223"/>
  <c r="H42" i="223"/>
  <c r="H60" i="223"/>
  <c r="H43" i="223"/>
  <c r="H61" i="223"/>
  <c r="H44" i="223"/>
  <c r="H62" i="223"/>
  <c r="H45" i="223"/>
  <c r="H63" i="223"/>
  <c r="H20" i="223"/>
  <c r="H48" i="225"/>
  <c r="H30" i="225"/>
  <c r="H12" i="225"/>
  <c r="H49" i="225"/>
  <c r="H13" i="225"/>
  <c r="H31" i="225"/>
  <c r="H32" i="225"/>
  <c r="H50" i="225"/>
  <c r="H14" i="225"/>
  <c r="H34" i="225"/>
  <c r="H16" i="225"/>
  <c r="H52" i="225"/>
  <c r="H53" i="225"/>
  <c r="H35" i="225"/>
  <c r="H17" i="225"/>
  <c r="H36" i="225"/>
  <c r="H54" i="225"/>
  <c r="H18" i="225"/>
  <c r="H19" i="225"/>
  <c r="H55" i="225"/>
  <c r="H37" i="225"/>
  <c r="H38" i="225"/>
  <c r="H56" i="225"/>
  <c r="H20" i="225"/>
  <c r="H57" i="225"/>
  <c r="H21" i="225"/>
  <c r="H39" i="225"/>
  <c r="H22" i="225"/>
  <c r="H40" i="225"/>
  <c r="H58" i="225"/>
  <c r="H59" i="225"/>
  <c r="H23" i="225"/>
  <c r="H41" i="225"/>
  <c r="H24" i="225"/>
  <c r="H42" i="225"/>
  <c r="H60" i="225"/>
  <c r="H26" i="225"/>
  <c r="H44" i="225"/>
  <c r="H62" i="225"/>
  <c r="H63" i="225"/>
  <c r="H45" i="225"/>
  <c r="H27" i="225"/>
  <c r="H30" i="226"/>
  <c r="H48" i="226"/>
  <c r="H12" i="226"/>
  <c r="H31" i="226"/>
  <c r="H49" i="226"/>
  <c r="H13" i="226"/>
  <c r="H32" i="226"/>
  <c r="H50" i="226"/>
  <c r="H14" i="226"/>
  <c r="H34" i="226"/>
  <c r="H52" i="226"/>
  <c r="H16" i="226"/>
  <c r="H35" i="226"/>
  <c r="H53" i="226"/>
  <c r="H17" i="226"/>
  <c r="H36" i="226"/>
  <c r="H54" i="226"/>
  <c r="H18" i="226"/>
  <c r="H37" i="226"/>
  <c r="H55" i="226"/>
  <c r="H19" i="226"/>
  <c r="H38" i="226"/>
  <c r="H56" i="226"/>
  <c r="H20" i="226"/>
  <c r="H39" i="226"/>
  <c r="H57" i="226"/>
  <c r="H21" i="226"/>
  <c r="H40" i="226"/>
  <c r="H58" i="226"/>
  <c r="H22" i="226"/>
  <c r="H41" i="226"/>
  <c r="H59" i="226"/>
  <c r="H23" i="226"/>
  <c r="H42" i="226"/>
  <c r="H60" i="226"/>
  <c r="H24" i="226"/>
  <c r="H43" i="226"/>
  <c r="H61" i="226"/>
  <c r="H25" i="226"/>
  <c r="H44" i="226"/>
  <c r="H62" i="226"/>
  <c r="H26" i="226"/>
  <c r="H45" i="226"/>
  <c r="H63" i="226"/>
  <c r="H27" i="226"/>
  <c r="H18" i="223"/>
  <c r="H25" i="223"/>
  <c r="H30" i="222"/>
  <c r="H48" i="222"/>
  <c r="H49" i="222"/>
  <c r="H13" i="222"/>
  <c r="H31" i="222"/>
  <c r="H32" i="222"/>
  <c r="H50" i="222"/>
  <c r="H16" i="222"/>
  <c r="H34" i="222"/>
  <c r="H52" i="222"/>
  <c r="H53" i="222"/>
  <c r="H35" i="222"/>
  <c r="H55" i="222"/>
  <c r="H19" i="222"/>
  <c r="H37" i="222"/>
  <c r="H21" i="222"/>
  <c r="H57" i="222"/>
  <c r="H39" i="222"/>
  <c r="H40" i="222"/>
  <c r="H22" i="222"/>
  <c r="H58" i="222"/>
  <c r="H23" i="222"/>
  <c r="H59" i="222"/>
  <c r="H41" i="222"/>
  <c r="H42" i="222"/>
  <c r="H24" i="222"/>
  <c r="H60" i="222"/>
  <c r="H44" i="222"/>
  <c r="H26" i="222"/>
  <c r="H62" i="222"/>
  <c r="H63" i="222"/>
  <c r="H45" i="222"/>
  <c r="C12" i="223"/>
  <c r="H12" i="223" s="1"/>
  <c r="C14" i="223"/>
  <c r="H14" i="223" s="1"/>
  <c r="C17" i="223"/>
  <c r="H17" i="223" s="1"/>
  <c r="C19" i="223"/>
  <c r="H19" i="223" s="1"/>
  <c r="C22" i="223"/>
  <c r="H22" i="223" s="1"/>
  <c r="C24" i="223"/>
  <c r="H24" i="223" s="1"/>
  <c r="C26" i="223"/>
  <c r="H26" i="223" s="1"/>
  <c r="C13" i="223"/>
  <c r="H13" i="223" s="1"/>
  <c r="C16" i="223"/>
  <c r="H16" i="223" s="1"/>
  <c r="C21" i="223"/>
  <c r="H21" i="223" s="1"/>
  <c r="C23" i="223"/>
  <c r="H23" i="223" s="1"/>
  <c r="C27" i="223"/>
  <c r="H27" i="223" s="1"/>
  <c r="D28" i="177"/>
  <c r="I28" i="177" s="1"/>
  <c r="D28" i="217"/>
  <c r="I28" i="217" s="1"/>
  <c r="D28" i="223"/>
  <c r="I28" i="223" s="1"/>
  <c r="D28" i="216"/>
  <c r="I28" i="216" s="1"/>
  <c r="D28" i="222"/>
  <c r="I28" i="222" s="1"/>
  <c r="D28" i="152"/>
  <c r="I28" i="152" s="1"/>
  <c r="I24" i="206"/>
  <c r="D26" i="182"/>
  <c r="I26" i="182" s="1"/>
  <c r="D12" i="182"/>
  <c r="I12" i="182" s="1"/>
  <c r="I16" i="206"/>
  <c r="I26" i="149"/>
  <c r="I21" i="153"/>
  <c r="I22" i="151"/>
  <c r="I26" i="148"/>
  <c r="D28" i="154"/>
  <c r="I28" i="154" s="1"/>
  <c r="D28" i="153"/>
  <c r="I28" i="153" s="1"/>
  <c r="D28" i="176"/>
  <c r="D14" i="182"/>
  <c r="I14" i="182" s="1"/>
  <c r="D28" i="175"/>
  <c r="I17" i="153"/>
  <c r="I24" i="149"/>
  <c r="I24" i="151"/>
  <c r="I28" i="155"/>
  <c r="D28" i="151"/>
  <c r="D16" i="182"/>
  <c r="D28" i="146"/>
  <c r="I28" i="146" s="1"/>
  <c r="I26" i="151"/>
  <c r="I26" i="150"/>
  <c r="I22" i="149"/>
  <c r="I14" i="151"/>
  <c r="I12" i="150"/>
  <c r="I12" i="148"/>
  <c r="I28" i="151"/>
  <c r="I28" i="205"/>
  <c r="I27" i="206"/>
  <c r="I25" i="206"/>
  <c r="I23" i="206"/>
  <c r="I21" i="206"/>
  <c r="I19" i="206"/>
  <c r="I28" i="202"/>
  <c r="I26" i="183"/>
  <c r="I14" i="183"/>
  <c r="I23" i="178"/>
  <c r="I15" i="178"/>
  <c r="I22" i="177"/>
  <c r="I27" i="176"/>
  <c r="I19" i="176"/>
  <c r="I26" i="175"/>
  <c r="I14" i="175"/>
  <c r="I23" i="205"/>
  <c r="I15" i="205"/>
  <c r="I16" i="181"/>
  <c r="I28" i="188"/>
  <c r="I20" i="205"/>
  <c r="I12" i="205"/>
  <c r="I22" i="206"/>
  <c r="I14" i="206"/>
  <c r="I13" i="175"/>
  <c r="I13" i="177"/>
  <c r="I15" i="206"/>
  <c r="I13" i="173"/>
  <c r="I16" i="183"/>
  <c r="I21" i="178"/>
  <c r="I13" i="178"/>
  <c r="I21" i="176"/>
  <c r="I12" i="175"/>
  <c r="I21" i="205"/>
  <c r="I13" i="205"/>
  <c r="I22" i="181"/>
  <c r="I28" i="190"/>
  <c r="I22" i="205"/>
  <c r="I14" i="205"/>
  <c r="I27" i="205"/>
  <c r="I28" i="196"/>
  <c r="I27" i="173"/>
  <c r="I21" i="173"/>
  <c r="I17" i="173"/>
  <c r="I28" i="183"/>
  <c r="I24" i="146"/>
  <c r="I28" i="160"/>
  <c r="I28" i="163"/>
  <c r="I19" i="154"/>
  <c r="I27" i="154"/>
  <c r="I13" i="146"/>
  <c r="I17" i="146"/>
  <c r="I23" i="146"/>
  <c r="I12" i="153"/>
  <c r="I16" i="153"/>
  <c r="I20" i="153"/>
  <c r="I24" i="153"/>
  <c r="I14" i="154"/>
  <c r="I22" i="154"/>
  <c r="I14" i="146"/>
  <c r="I26" i="154"/>
  <c r="I13" i="154"/>
  <c r="I15" i="154"/>
  <c r="I23" i="154"/>
  <c r="I15" i="146"/>
  <c r="I19" i="146"/>
  <c r="I21" i="146"/>
  <c r="I14" i="153"/>
  <c r="I18" i="153"/>
  <c r="I22" i="153"/>
  <c r="I26" i="153"/>
  <c r="I12" i="154"/>
  <c r="I16" i="154"/>
  <c r="I26" i="146"/>
  <c r="I22" i="146"/>
  <c r="I21" i="154"/>
  <c r="H52" i="174"/>
  <c r="H34" i="174"/>
  <c r="H16" i="174"/>
  <c r="H55" i="174"/>
  <c r="H37" i="174"/>
  <c r="H19" i="174"/>
  <c r="H56" i="174"/>
  <c r="H38" i="174"/>
  <c r="H20" i="174"/>
  <c r="H57" i="174"/>
  <c r="H39" i="174"/>
  <c r="H21" i="174"/>
  <c r="H58" i="174"/>
  <c r="H40" i="174"/>
  <c r="H22" i="174"/>
  <c r="H59" i="174"/>
  <c r="H41" i="174"/>
  <c r="H23" i="174"/>
  <c r="H60" i="174"/>
  <c r="H42" i="174"/>
  <c r="H24" i="174"/>
  <c r="H61" i="174"/>
  <c r="H43" i="174"/>
  <c r="H25" i="174"/>
  <c r="H62" i="174"/>
  <c r="H44" i="174"/>
  <c r="H26" i="174"/>
  <c r="H63" i="174"/>
  <c r="H45" i="174"/>
  <c r="H27" i="174"/>
  <c r="I28" i="203"/>
  <c r="I28" i="194"/>
  <c r="I22" i="183"/>
  <c r="I27" i="178"/>
  <c r="I19" i="178"/>
  <c r="I26" i="177"/>
  <c r="I14" i="177"/>
  <c r="I23" i="176"/>
  <c r="I15" i="176"/>
  <c r="I22" i="175"/>
  <c r="I28" i="185"/>
  <c r="I19" i="205"/>
  <c r="I24" i="181"/>
  <c r="I12" i="181"/>
  <c r="I24" i="205"/>
  <c r="I16" i="205"/>
  <c r="I26" i="206"/>
  <c r="I18" i="206"/>
  <c r="I13" i="183"/>
  <c r="I13" i="181"/>
  <c r="I17" i="206"/>
  <c r="I13" i="206"/>
  <c r="I28" i="197"/>
  <c r="I12" i="183"/>
  <c r="I17" i="178"/>
  <c r="I12" i="177"/>
  <c r="I25" i="205"/>
  <c r="I17" i="205"/>
  <c r="I26" i="181"/>
  <c r="I14" i="181"/>
  <c r="I26" i="205"/>
  <c r="I18" i="205"/>
  <c r="I24" i="182"/>
  <c r="I28" i="200"/>
  <c r="I28" i="198"/>
  <c r="I23" i="173"/>
  <c r="I19" i="173"/>
  <c r="I15" i="173"/>
  <c r="I28" i="147"/>
  <c r="I27" i="146"/>
  <c r="I16" i="146"/>
  <c r="I12" i="146"/>
  <c r="I24" i="154"/>
  <c r="I17" i="154"/>
  <c r="I28" i="167"/>
  <c r="I28" i="156"/>
  <c r="I21" i="151"/>
  <c r="I23" i="151"/>
  <c r="I27" i="151"/>
  <c r="I13" i="151"/>
  <c r="I15" i="151"/>
  <c r="I17" i="151"/>
  <c r="I19" i="151"/>
  <c r="I13" i="150"/>
  <c r="I21" i="150"/>
  <c r="I15" i="149"/>
  <c r="I19" i="149"/>
  <c r="I21" i="149"/>
  <c r="I23" i="149"/>
  <c r="I27" i="149"/>
  <c r="I13" i="148"/>
  <c r="I21" i="148"/>
  <c r="I13" i="147"/>
  <c r="I15" i="147"/>
  <c r="I28" i="174"/>
  <c r="I20" i="206"/>
  <c r="D28" i="150"/>
  <c r="D28" i="148"/>
  <c r="I46" i="148"/>
  <c r="C56" i="174"/>
  <c r="C57" i="174"/>
  <c r="C58" i="174"/>
  <c r="C59" i="174"/>
  <c r="C60" i="174"/>
  <c r="C61" i="174"/>
  <c r="C62" i="174"/>
  <c r="C63" i="174"/>
  <c r="C48" i="174"/>
  <c r="H48" i="174" s="1"/>
  <c r="C49" i="174"/>
  <c r="H49" i="174" s="1"/>
  <c r="C50" i="174"/>
  <c r="H50" i="174" s="1"/>
  <c r="C52" i="174"/>
  <c r="C53" i="174"/>
  <c r="H53" i="174" s="1"/>
  <c r="C54" i="174"/>
  <c r="C55" i="174"/>
  <c r="D17" i="182"/>
  <c r="D28" i="173"/>
  <c r="D15" i="182"/>
  <c r="D27" i="182"/>
  <c r="D23" i="182"/>
  <c r="D21" i="182"/>
  <c r="D19" i="182"/>
  <c r="D28" i="180"/>
  <c r="D28" i="178"/>
  <c r="D13" i="182"/>
  <c r="D28" i="181"/>
  <c r="D28" i="206"/>
  <c r="D46" i="182"/>
  <c r="I46" i="182" s="1"/>
  <c r="D189" i="213"/>
  <c r="C189" i="213"/>
  <c r="C202" i="213" s="1"/>
  <c r="D153" i="213"/>
  <c r="C153" i="213"/>
  <c r="D117" i="213"/>
  <c r="C117" i="213"/>
  <c r="D99" i="213"/>
  <c r="C99" i="213"/>
  <c r="C112" i="213" s="1"/>
  <c r="D81" i="213"/>
  <c r="C81" i="213"/>
  <c r="C94" i="213" s="1"/>
  <c r="D63" i="213"/>
  <c r="C63" i="213"/>
  <c r="C76" i="213" s="1"/>
  <c r="D45" i="213"/>
  <c r="C45" i="213"/>
  <c r="C58" i="213" s="1"/>
  <c r="D27" i="213"/>
  <c r="C27" i="213"/>
  <c r="C40" i="213" s="1"/>
  <c r="D9" i="213"/>
  <c r="C9" i="213"/>
  <c r="C22" i="213" s="1"/>
  <c r="C189" i="211"/>
  <c r="C202" i="211" s="1"/>
  <c r="B189" i="211"/>
  <c r="B202" i="211" s="1"/>
  <c r="C153" i="211"/>
  <c r="B153" i="211"/>
  <c r="B166" i="211" s="1"/>
  <c r="C99" i="211"/>
  <c r="C112" i="211" s="1"/>
  <c r="B99" i="211"/>
  <c r="B112" i="211" s="1"/>
  <c r="C81" i="211"/>
  <c r="C94" i="211" s="1"/>
  <c r="B81" i="211"/>
  <c r="B94" i="211" s="1"/>
  <c r="C63" i="211"/>
  <c r="C76" i="211" s="1"/>
  <c r="B63" i="211"/>
  <c r="B76" i="211" s="1"/>
  <c r="C45" i="211"/>
  <c r="C58" i="211" s="1"/>
  <c r="B45" i="211"/>
  <c r="B58" i="211" s="1"/>
  <c r="C27" i="211"/>
  <c r="C40" i="211" s="1"/>
  <c r="B27" i="211"/>
  <c r="B40" i="211" s="1"/>
  <c r="C9" i="211"/>
  <c r="C22" i="211" s="1"/>
  <c r="B9" i="211"/>
  <c r="B22" i="211" s="1"/>
  <c r="C51" i="203"/>
  <c r="C33" i="203"/>
  <c r="C51" i="202"/>
  <c r="C33" i="202"/>
  <c r="C51" i="200"/>
  <c r="C33" i="200"/>
  <c r="C51" i="199"/>
  <c r="C33" i="199"/>
  <c r="C51" i="198"/>
  <c r="C33" i="198"/>
  <c r="C51" i="197"/>
  <c r="C33" i="197"/>
  <c r="C51" i="196"/>
  <c r="C33" i="196"/>
  <c r="C51" i="195"/>
  <c r="C33" i="195"/>
  <c r="C51" i="194"/>
  <c r="C33" i="194"/>
  <c r="C51" i="192"/>
  <c r="C33" i="192"/>
  <c r="C51" i="191"/>
  <c r="C33" i="191"/>
  <c r="C51" i="190"/>
  <c r="C33" i="190"/>
  <c r="C51" i="189"/>
  <c r="C33" i="189"/>
  <c r="C51" i="188"/>
  <c r="C33" i="188"/>
  <c r="C51" i="187"/>
  <c r="C33" i="187"/>
  <c r="C51" i="186"/>
  <c r="C51" i="174" s="1"/>
  <c r="C33" i="186"/>
  <c r="C51" i="185"/>
  <c r="C33" i="185"/>
  <c r="C69" i="171"/>
  <c r="C51" i="171"/>
  <c r="C33" i="171"/>
  <c r="C69" i="170"/>
  <c r="C51" i="170"/>
  <c r="C33" i="170"/>
  <c r="C69" i="169"/>
  <c r="H69" i="169" s="1"/>
  <c r="C51" i="169"/>
  <c r="H51" i="169" s="1"/>
  <c r="C33" i="169"/>
  <c r="H33" i="169" s="1"/>
  <c r="C69" i="168"/>
  <c r="C51" i="168"/>
  <c r="C33" i="168"/>
  <c r="C69" i="167"/>
  <c r="C51" i="167"/>
  <c r="C33" i="167"/>
  <c r="C69" i="166"/>
  <c r="C51" i="166"/>
  <c r="C33" i="166"/>
  <c r="C69" i="165"/>
  <c r="C51" i="165"/>
  <c r="C33" i="165"/>
  <c r="C69" i="164"/>
  <c r="C51" i="164"/>
  <c r="C33" i="164"/>
  <c r="C69" i="163"/>
  <c r="C51" i="163"/>
  <c r="C33" i="163"/>
  <c r="C69" i="162"/>
  <c r="C51" i="162"/>
  <c r="C33" i="162"/>
  <c r="C69" i="161"/>
  <c r="H69" i="161" s="1"/>
  <c r="C51" i="161"/>
  <c r="H51" i="161" s="1"/>
  <c r="C33" i="161"/>
  <c r="H33" i="161" s="1"/>
  <c r="C69" i="160"/>
  <c r="C51" i="160"/>
  <c r="C33" i="160"/>
  <c r="C69" i="159"/>
  <c r="C51" i="159"/>
  <c r="C33" i="159"/>
  <c r="C69" i="158"/>
  <c r="C51" i="158"/>
  <c r="C33" i="158"/>
  <c r="C69" i="157"/>
  <c r="C51" i="157"/>
  <c r="C33" i="157"/>
  <c r="C69" i="156"/>
  <c r="C51" i="156"/>
  <c r="C33" i="156"/>
  <c r="C69" i="155"/>
  <c r="C51" i="155"/>
  <c r="C33" i="155"/>
  <c r="H15" i="136"/>
  <c r="C15" i="136"/>
  <c r="H15" i="135"/>
  <c r="C15" i="135"/>
  <c r="H15" i="134"/>
  <c r="I28" i="175" l="1"/>
  <c r="I28" i="176"/>
  <c r="H33" i="223"/>
  <c r="H51" i="223"/>
  <c r="H15" i="225"/>
  <c r="H51" i="225"/>
  <c r="H33" i="225"/>
  <c r="H33" i="226"/>
  <c r="H51" i="226"/>
  <c r="H15" i="226"/>
  <c r="H51" i="222"/>
  <c r="H33" i="222"/>
  <c r="C15" i="223"/>
  <c r="H15" i="223" s="1"/>
  <c r="C15" i="216"/>
  <c r="C15" i="222"/>
  <c r="H15" i="222" s="1"/>
  <c r="C130" i="213"/>
  <c r="C166" i="213"/>
  <c r="C26" i="216"/>
  <c r="C22" i="216"/>
  <c r="C19" i="216"/>
  <c r="C14" i="216"/>
  <c r="C26" i="222"/>
  <c r="C22" i="222"/>
  <c r="C19" i="222"/>
  <c r="C14" i="222"/>
  <c r="H14" i="222" s="1"/>
  <c r="C25" i="216"/>
  <c r="C21" i="216"/>
  <c r="C18" i="216"/>
  <c r="C13" i="216"/>
  <c r="C27" i="222"/>
  <c r="H27" i="222" s="1"/>
  <c r="C23" i="222"/>
  <c r="C16" i="222"/>
  <c r="C166" i="211"/>
  <c r="D166" i="211" s="1"/>
  <c r="C24" i="216"/>
  <c r="C20" i="216"/>
  <c r="C17" i="216"/>
  <c r="C12" i="216"/>
  <c r="C24" i="222"/>
  <c r="C20" i="222"/>
  <c r="C17" i="222"/>
  <c r="H17" i="222" s="1"/>
  <c r="C12" i="222"/>
  <c r="H12" i="222" s="1"/>
  <c r="C27" i="216"/>
  <c r="C23" i="216"/>
  <c r="C16" i="216"/>
  <c r="C25" i="222"/>
  <c r="C21" i="222"/>
  <c r="C18" i="222"/>
  <c r="C13" i="222"/>
  <c r="D202" i="211"/>
  <c r="D22" i="211"/>
  <c r="D40" i="211"/>
  <c r="D76" i="211"/>
  <c r="D94" i="211"/>
  <c r="D112" i="211"/>
  <c r="D58" i="211"/>
  <c r="I16" i="182"/>
  <c r="I28" i="206"/>
  <c r="I13" i="182"/>
  <c r="I28" i="180"/>
  <c r="I21" i="182"/>
  <c r="I27" i="182"/>
  <c r="I28" i="173"/>
  <c r="I28" i="148"/>
  <c r="H51" i="174"/>
  <c r="I28" i="181"/>
  <c r="I28" i="178"/>
  <c r="I19" i="182"/>
  <c r="I23" i="182"/>
  <c r="I15" i="182"/>
  <c r="I17" i="182"/>
  <c r="I28" i="150"/>
  <c r="D28" i="182"/>
  <c r="H61" i="166"/>
  <c r="H43" i="166"/>
  <c r="H25" i="166"/>
  <c r="H64" i="225" l="1"/>
  <c r="H46" i="225"/>
  <c r="H28" i="225"/>
  <c r="H64" i="226"/>
  <c r="H46" i="226"/>
  <c r="H28" i="226"/>
  <c r="I28" i="182"/>
  <c r="C15" i="203"/>
  <c r="H15" i="203" s="1"/>
  <c r="C13" i="203"/>
  <c r="C63" i="180"/>
  <c r="H63" i="180" s="1"/>
  <c r="C62" i="180"/>
  <c r="H62" i="180" s="1"/>
  <c r="C61" i="180"/>
  <c r="C60" i="180"/>
  <c r="H60" i="180" s="1"/>
  <c r="C59" i="180"/>
  <c r="H59" i="180" s="1"/>
  <c r="C58" i="180"/>
  <c r="H58" i="180" s="1"/>
  <c r="C57" i="180"/>
  <c r="H57" i="180" s="1"/>
  <c r="C56" i="180"/>
  <c r="C55" i="180"/>
  <c r="H55" i="180" s="1"/>
  <c r="C54" i="180"/>
  <c r="C53" i="180"/>
  <c r="H53" i="180" s="1"/>
  <c r="C51" i="180"/>
  <c r="H51" i="180" s="1"/>
  <c r="C50" i="180"/>
  <c r="H50" i="180" s="1"/>
  <c r="C49" i="180"/>
  <c r="H49" i="180" s="1"/>
  <c r="C48" i="180"/>
  <c r="H48" i="180" s="1"/>
  <c r="C44" i="180"/>
  <c r="C42" i="180"/>
  <c r="H42" i="180" s="1"/>
  <c r="C40" i="180"/>
  <c r="C38" i="180"/>
  <c r="C36" i="180"/>
  <c r="C34" i="180"/>
  <c r="H34" i="180" s="1"/>
  <c r="C32" i="180"/>
  <c r="C30" i="180"/>
  <c r="H30" i="180" s="1"/>
  <c r="C15" i="200"/>
  <c r="C13" i="200"/>
  <c r="C24" i="199"/>
  <c r="C16" i="199"/>
  <c r="H16" i="199" s="1"/>
  <c r="C15" i="199"/>
  <c r="H15" i="199" s="1"/>
  <c r="C13" i="199"/>
  <c r="C12" i="199"/>
  <c r="C26" i="198"/>
  <c r="C25" i="198"/>
  <c r="C23" i="198"/>
  <c r="C22" i="198"/>
  <c r="C21" i="198"/>
  <c r="C19" i="198"/>
  <c r="C18" i="198"/>
  <c r="C17" i="198"/>
  <c r="C16" i="198"/>
  <c r="C15" i="198"/>
  <c r="C13" i="198"/>
  <c r="C12" i="198"/>
  <c r="C14" i="197"/>
  <c r="C13" i="197"/>
  <c r="C12" i="197"/>
  <c r="C14" i="196"/>
  <c r="C14" i="195"/>
  <c r="C12" i="195"/>
  <c r="C26" i="194"/>
  <c r="C25" i="194"/>
  <c r="C23" i="194"/>
  <c r="C22" i="194"/>
  <c r="C19" i="194"/>
  <c r="C18" i="194"/>
  <c r="C17" i="194"/>
  <c r="H17" i="194" s="1"/>
  <c r="C16" i="194"/>
  <c r="C15" i="194"/>
  <c r="C13" i="194"/>
  <c r="C12" i="194"/>
  <c r="C52" i="180"/>
  <c r="C57" i="206"/>
  <c r="C21" i="194"/>
  <c r="C15" i="195"/>
  <c r="C12" i="196"/>
  <c r="C21" i="196"/>
  <c r="H21" i="196" s="1"/>
  <c r="C15" i="197"/>
  <c r="C24" i="197"/>
  <c r="H24" i="197" s="1"/>
  <c r="C14" i="198"/>
  <c r="C20" i="198"/>
  <c r="C24" i="198"/>
  <c r="C14" i="199"/>
  <c r="H14" i="199" s="1"/>
  <c r="C20" i="199"/>
  <c r="C12" i="200"/>
  <c r="C14" i="200"/>
  <c r="C16" i="200"/>
  <c r="C24" i="200"/>
  <c r="C14" i="202"/>
  <c r="C20" i="202"/>
  <c r="C12" i="203"/>
  <c r="H12" i="203" s="1"/>
  <c r="C16" i="203"/>
  <c r="H16" i="203" s="1"/>
  <c r="C24" i="203"/>
  <c r="C62" i="181"/>
  <c r="C60" i="181"/>
  <c r="H60" i="181" s="1"/>
  <c r="C58" i="181"/>
  <c r="H58" i="181" s="1"/>
  <c r="C56" i="181"/>
  <c r="C54" i="181"/>
  <c r="C52" i="181"/>
  <c r="H52" i="181" s="1"/>
  <c r="C42" i="181"/>
  <c r="H42" i="181" s="1"/>
  <c r="C40" i="181"/>
  <c r="H40" i="181" s="1"/>
  <c r="C38" i="181"/>
  <c r="C37" i="181"/>
  <c r="H37" i="181" s="1"/>
  <c r="C36" i="181"/>
  <c r="C18" i="181" s="1"/>
  <c r="C34" i="181"/>
  <c r="C30" i="181"/>
  <c r="H30" i="181" s="1"/>
  <c r="C24" i="195"/>
  <c r="C30" i="206"/>
  <c r="C25" i="196"/>
  <c r="C20" i="197"/>
  <c r="C20" i="200"/>
  <c r="C20" i="203"/>
  <c r="C33" i="181"/>
  <c r="H33" i="181" s="1"/>
  <c r="C39" i="181"/>
  <c r="C41" i="181"/>
  <c r="H41" i="181" s="1"/>
  <c r="C43" i="181"/>
  <c r="C45" i="181"/>
  <c r="H45" i="181" s="1"/>
  <c r="C51" i="181"/>
  <c r="H51" i="181" s="1"/>
  <c r="C24" i="202"/>
  <c r="C16" i="202"/>
  <c r="C12" i="202"/>
  <c r="H12" i="202" s="1"/>
  <c r="C32" i="206"/>
  <c r="C38" i="206"/>
  <c r="C42" i="206"/>
  <c r="C48" i="206"/>
  <c r="C52" i="206"/>
  <c r="C54" i="206"/>
  <c r="C56" i="206"/>
  <c r="C58" i="206"/>
  <c r="C60" i="206"/>
  <c r="C62" i="206"/>
  <c r="C18" i="195"/>
  <c r="C20" i="195"/>
  <c r="C22" i="195"/>
  <c r="C26" i="195"/>
  <c r="C19" i="195"/>
  <c r="C21" i="195"/>
  <c r="C23" i="195"/>
  <c r="C25" i="195"/>
  <c r="C27" i="195"/>
  <c r="C18" i="196"/>
  <c r="C20" i="196"/>
  <c r="K82" i="209" s="1"/>
  <c r="C22" i="196"/>
  <c r="C24" i="196"/>
  <c r="C26" i="196"/>
  <c r="Q82" i="209" s="1"/>
  <c r="C18" i="197"/>
  <c r="I85" i="209" s="1"/>
  <c r="C22" i="197"/>
  <c r="C26" i="197"/>
  <c r="H26" i="197" s="1"/>
  <c r="C19" i="197"/>
  <c r="C21" i="197"/>
  <c r="C23" i="197"/>
  <c r="C25" i="197"/>
  <c r="C17" i="199"/>
  <c r="C19" i="199"/>
  <c r="C21" i="199"/>
  <c r="C23" i="199"/>
  <c r="C25" i="199"/>
  <c r="C27" i="199"/>
  <c r="C64" i="199"/>
  <c r="C18" i="199"/>
  <c r="C22" i="199"/>
  <c r="H22" i="199" s="1"/>
  <c r="C26" i="199"/>
  <c r="C18" i="200"/>
  <c r="C22" i="200"/>
  <c r="C26" i="200"/>
  <c r="C18" i="203"/>
  <c r="C22" i="203"/>
  <c r="H22" i="203" s="1"/>
  <c r="C26" i="203"/>
  <c r="C17" i="203"/>
  <c r="H17" i="203" s="1"/>
  <c r="C19" i="203"/>
  <c r="C40" i="206"/>
  <c r="C35" i="206"/>
  <c r="C37" i="206"/>
  <c r="C39" i="206"/>
  <c r="C41" i="206"/>
  <c r="C43" i="206"/>
  <c r="C51" i="206"/>
  <c r="C17" i="196"/>
  <c r="C44" i="206"/>
  <c r="C61" i="206"/>
  <c r="C25" i="206" s="1"/>
  <c r="C16" i="197"/>
  <c r="G85" i="209" s="1"/>
  <c r="C17" i="200"/>
  <c r="C19" i="200"/>
  <c r="H19" i="200" s="1"/>
  <c r="C21" i="200"/>
  <c r="C23" i="200"/>
  <c r="C25" i="200"/>
  <c r="C27" i="200"/>
  <c r="C21" i="203"/>
  <c r="C23" i="203"/>
  <c r="H23" i="203" s="1"/>
  <c r="C25" i="203"/>
  <c r="C27" i="203"/>
  <c r="H27" i="203" s="1"/>
  <c r="C31" i="206"/>
  <c r="C13" i="196"/>
  <c r="H13" i="196" s="1"/>
  <c r="C33" i="206"/>
  <c r="C15" i="196"/>
  <c r="C27" i="196"/>
  <c r="C45" i="206"/>
  <c r="C31" i="180"/>
  <c r="H31" i="180" s="1"/>
  <c r="C46" i="202"/>
  <c r="C46" i="223" s="1"/>
  <c r="C13" i="202"/>
  <c r="C35" i="180"/>
  <c r="H35" i="180" s="1"/>
  <c r="C17" i="202"/>
  <c r="C39" i="180"/>
  <c r="H39" i="180" s="1"/>
  <c r="C21" i="202"/>
  <c r="C43" i="180"/>
  <c r="C25" i="202"/>
  <c r="H25" i="202" s="1"/>
  <c r="C53" i="181"/>
  <c r="H53" i="181" s="1"/>
  <c r="C55" i="181"/>
  <c r="H55" i="181" s="1"/>
  <c r="C57" i="181"/>
  <c r="H57" i="181" s="1"/>
  <c r="C59" i="181"/>
  <c r="H59" i="181" s="1"/>
  <c r="C61" i="181"/>
  <c r="C63" i="181"/>
  <c r="H63" i="181" s="1"/>
  <c r="C26" i="202"/>
  <c r="C22" i="202"/>
  <c r="C18" i="202"/>
  <c r="C23" i="196"/>
  <c r="C19" i="196"/>
  <c r="C24" i="194"/>
  <c r="C20" i="194"/>
  <c r="C14" i="194"/>
  <c r="C63" i="206"/>
  <c r="C59" i="206"/>
  <c r="C55" i="206"/>
  <c r="C46" i="198"/>
  <c r="C33" i="180"/>
  <c r="H33" i="180" s="1"/>
  <c r="C15" i="202"/>
  <c r="H15" i="202" s="1"/>
  <c r="C37" i="180"/>
  <c r="C19" i="202"/>
  <c r="H19" i="202" s="1"/>
  <c r="C41" i="180"/>
  <c r="C23" i="180" s="1"/>
  <c r="C23" i="202"/>
  <c r="H23" i="202" s="1"/>
  <c r="C45" i="180"/>
  <c r="C27" i="202"/>
  <c r="H27" i="202" s="1"/>
  <c r="C44" i="181"/>
  <c r="H44" i="181" s="1"/>
  <c r="C48" i="181"/>
  <c r="H48" i="181" s="1"/>
  <c r="C16" i="195"/>
  <c r="C49" i="206"/>
  <c r="C53" i="206"/>
  <c r="C17" i="195"/>
  <c r="C34" i="206"/>
  <c r="C36" i="206"/>
  <c r="C17" i="197"/>
  <c r="C18" i="180"/>
  <c r="C27" i="198"/>
  <c r="C27" i="197"/>
  <c r="C46" i="199"/>
  <c r="C28" i="199" s="1"/>
  <c r="C35" i="181"/>
  <c r="H35" i="181" s="1"/>
  <c r="C64" i="202"/>
  <c r="C46" i="194"/>
  <c r="C64" i="194"/>
  <c r="C46" i="200"/>
  <c r="C46" i="203"/>
  <c r="C16" i="196"/>
  <c r="C46" i="196"/>
  <c r="C64" i="198"/>
  <c r="C32" i="181"/>
  <c r="H32" i="181" s="1"/>
  <c r="C50" i="181"/>
  <c r="H50" i="181" s="1"/>
  <c r="C14" i="203"/>
  <c r="C50" i="206"/>
  <c r="C14" i="206" s="1"/>
  <c r="C64" i="195"/>
  <c r="C46" i="195"/>
  <c r="C64" i="197"/>
  <c r="C64" i="200"/>
  <c r="C64" i="203"/>
  <c r="C28" i="203" s="1"/>
  <c r="C31" i="181"/>
  <c r="C49" i="181"/>
  <c r="C13" i="195"/>
  <c r="C46" i="197"/>
  <c r="C64" i="196"/>
  <c r="C63" i="175"/>
  <c r="C62" i="175"/>
  <c r="H62" i="175" s="1"/>
  <c r="C61" i="175"/>
  <c r="C60" i="175"/>
  <c r="C59" i="175"/>
  <c r="H59" i="175" s="1"/>
  <c r="C58" i="175"/>
  <c r="H58" i="175" s="1"/>
  <c r="C57" i="175"/>
  <c r="H57" i="175" s="1"/>
  <c r="C56" i="175"/>
  <c r="C55" i="175"/>
  <c r="C54" i="175"/>
  <c r="C53" i="175"/>
  <c r="C52" i="175"/>
  <c r="C51" i="175"/>
  <c r="C50" i="175"/>
  <c r="C49" i="175"/>
  <c r="H49" i="175" s="1"/>
  <c r="C48" i="175"/>
  <c r="H48" i="175" s="1"/>
  <c r="C63" i="176"/>
  <c r="H63" i="176" s="1"/>
  <c r="C62" i="176"/>
  <c r="H62" i="176" s="1"/>
  <c r="C61" i="176"/>
  <c r="C60" i="176"/>
  <c r="H60" i="176" s="1"/>
  <c r="C59" i="176"/>
  <c r="H59" i="176" s="1"/>
  <c r="C58" i="176"/>
  <c r="H58" i="176" s="1"/>
  <c r="C57" i="176"/>
  <c r="H57" i="176" s="1"/>
  <c r="C56" i="176"/>
  <c r="C55" i="176"/>
  <c r="H55" i="176" s="1"/>
  <c r="C54" i="176"/>
  <c r="C53" i="176"/>
  <c r="H53" i="176" s="1"/>
  <c r="C52" i="176"/>
  <c r="H52" i="176" s="1"/>
  <c r="C51" i="176"/>
  <c r="H51" i="176" s="1"/>
  <c r="C50" i="176"/>
  <c r="C49" i="176"/>
  <c r="C48" i="176"/>
  <c r="C63" i="177"/>
  <c r="C62" i="177"/>
  <c r="H62" i="177" s="1"/>
  <c r="C61" i="177"/>
  <c r="C60" i="177"/>
  <c r="C59" i="177"/>
  <c r="H59" i="177" s="1"/>
  <c r="C58" i="177"/>
  <c r="H58" i="177" s="1"/>
  <c r="C57" i="177"/>
  <c r="H57" i="177" s="1"/>
  <c r="C56" i="177"/>
  <c r="C55" i="177"/>
  <c r="C54" i="177"/>
  <c r="C53" i="177"/>
  <c r="C52" i="177"/>
  <c r="C51" i="177"/>
  <c r="C50" i="177"/>
  <c r="H50" i="177" s="1"/>
  <c r="C49" i="177"/>
  <c r="H49" i="177" s="1"/>
  <c r="C48" i="177"/>
  <c r="H48" i="177" s="1"/>
  <c r="C63" i="178"/>
  <c r="H63" i="178" s="1"/>
  <c r="C62" i="178"/>
  <c r="H62" i="178" s="1"/>
  <c r="C61" i="178"/>
  <c r="C60" i="178"/>
  <c r="C59" i="178"/>
  <c r="H59" i="178" s="1"/>
  <c r="C58" i="178"/>
  <c r="H58" i="178" s="1"/>
  <c r="C57" i="178"/>
  <c r="H57" i="178" s="1"/>
  <c r="C56" i="178"/>
  <c r="C55" i="178"/>
  <c r="H55" i="178" s="1"/>
  <c r="C54" i="178"/>
  <c r="C53" i="178"/>
  <c r="H53" i="178" s="1"/>
  <c r="C52" i="178"/>
  <c r="H52" i="178" s="1"/>
  <c r="C51" i="178"/>
  <c r="H51" i="178" s="1"/>
  <c r="C50" i="178"/>
  <c r="H50" i="178" s="1"/>
  <c r="C49" i="178"/>
  <c r="H49" i="178" s="1"/>
  <c r="C48" i="178"/>
  <c r="H48" i="178" s="1"/>
  <c r="C63" i="183"/>
  <c r="H63" i="183" s="1"/>
  <c r="C62" i="183"/>
  <c r="H62" i="183" s="1"/>
  <c r="C61" i="183"/>
  <c r="C60" i="183"/>
  <c r="C59" i="183"/>
  <c r="H59" i="183" s="1"/>
  <c r="C58" i="183"/>
  <c r="H58" i="183" s="1"/>
  <c r="C57" i="183"/>
  <c r="H57" i="183" s="1"/>
  <c r="C56" i="183"/>
  <c r="C55" i="183"/>
  <c r="H55" i="183" s="1"/>
  <c r="C54" i="183"/>
  <c r="C53" i="183"/>
  <c r="H53" i="183" s="1"/>
  <c r="C52" i="183"/>
  <c r="H52" i="183" s="1"/>
  <c r="C51" i="183"/>
  <c r="H51" i="183" s="1"/>
  <c r="C50" i="183"/>
  <c r="H50" i="183" s="1"/>
  <c r="C49" i="183"/>
  <c r="H49" i="183" s="1"/>
  <c r="C48" i="183"/>
  <c r="H48" i="183" s="1"/>
  <c r="C63" i="173"/>
  <c r="H63" i="173" s="1"/>
  <c r="C62" i="173"/>
  <c r="H62" i="173" s="1"/>
  <c r="C61" i="173"/>
  <c r="C60" i="173"/>
  <c r="H60" i="173" s="1"/>
  <c r="C59" i="173"/>
  <c r="H59" i="173" s="1"/>
  <c r="C58" i="173"/>
  <c r="H58" i="173" s="1"/>
  <c r="C57" i="173"/>
  <c r="H57" i="173" s="1"/>
  <c r="C56" i="173"/>
  <c r="C55" i="173"/>
  <c r="H55" i="173" s="1"/>
  <c r="C54" i="173"/>
  <c r="C53" i="173"/>
  <c r="H53" i="173" s="1"/>
  <c r="C52" i="173"/>
  <c r="H52" i="173" s="1"/>
  <c r="C51" i="173"/>
  <c r="H51" i="173" s="1"/>
  <c r="C50" i="173"/>
  <c r="H50" i="173" s="1"/>
  <c r="C49" i="173"/>
  <c r="H49" i="173" s="1"/>
  <c r="C48" i="173"/>
  <c r="H48" i="173" s="1"/>
  <c r="C45" i="173"/>
  <c r="C44" i="173"/>
  <c r="C26" i="173" s="1"/>
  <c r="C43" i="173"/>
  <c r="C25" i="173" s="1"/>
  <c r="C42" i="173"/>
  <c r="C41" i="173"/>
  <c r="C40" i="173"/>
  <c r="C39" i="173"/>
  <c r="C38" i="173"/>
  <c r="C20" i="173" s="1"/>
  <c r="C37" i="173"/>
  <c r="C36" i="173"/>
  <c r="C18" i="173" s="1"/>
  <c r="I77" i="209" s="1"/>
  <c r="C35" i="173"/>
  <c r="C17" i="173" s="1"/>
  <c r="C34" i="173"/>
  <c r="C16" i="173" s="1"/>
  <c r="H16" i="173" s="1"/>
  <c r="C33" i="173"/>
  <c r="C32" i="173"/>
  <c r="C14" i="173" s="1"/>
  <c r="C31" i="173"/>
  <c r="C30" i="173"/>
  <c r="C45" i="174"/>
  <c r="C27" i="174" s="1"/>
  <c r="C44" i="174"/>
  <c r="C26" i="174" s="1"/>
  <c r="C43" i="174"/>
  <c r="C25" i="174" s="1"/>
  <c r="C42" i="174"/>
  <c r="C24" i="174" s="1"/>
  <c r="C41" i="174"/>
  <c r="C23" i="174" s="1"/>
  <c r="C40" i="174"/>
  <c r="C22" i="174" s="1"/>
  <c r="C39" i="174"/>
  <c r="C21" i="174" s="1"/>
  <c r="C38" i="174"/>
  <c r="C20" i="174" s="1"/>
  <c r="C37" i="174"/>
  <c r="C36" i="174"/>
  <c r="C18" i="174" s="1"/>
  <c r="I80" i="209" s="1"/>
  <c r="C35" i="174"/>
  <c r="H35" i="174" s="1"/>
  <c r="C34" i="174"/>
  <c r="C16" i="174" s="1"/>
  <c r="C33" i="174"/>
  <c r="H33" i="174" s="1"/>
  <c r="C32" i="174"/>
  <c r="H32" i="174" s="1"/>
  <c r="C31" i="174"/>
  <c r="H31" i="174" s="1"/>
  <c r="C30" i="174"/>
  <c r="H30" i="174" s="1"/>
  <c r="C45" i="175"/>
  <c r="C44" i="175"/>
  <c r="C43" i="175"/>
  <c r="C42" i="175"/>
  <c r="C24" i="175" s="1"/>
  <c r="C41" i="175"/>
  <c r="H41" i="175" s="1"/>
  <c r="C40" i="175"/>
  <c r="C22" i="175" s="1"/>
  <c r="C39" i="175"/>
  <c r="H39" i="175" s="1"/>
  <c r="C38" i="175"/>
  <c r="C20" i="175" s="1"/>
  <c r="K83" i="209" s="1"/>
  <c r="C37" i="175"/>
  <c r="C36" i="175"/>
  <c r="C18" i="175" s="1"/>
  <c r="C35" i="175"/>
  <c r="C34" i="175"/>
  <c r="C16" i="175" s="1"/>
  <c r="C33" i="175"/>
  <c r="C32" i="175"/>
  <c r="C31" i="175"/>
  <c r="H31" i="175" s="1"/>
  <c r="C30" i="175"/>
  <c r="C12" i="175" s="1"/>
  <c r="H12" i="175" s="1"/>
  <c r="C45" i="176"/>
  <c r="H45" i="176" s="1"/>
  <c r="C44" i="176"/>
  <c r="C43" i="176"/>
  <c r="C42" i="176"/>
  <c r="C24" i="176" s="1"/>
  <c r="H24" i="176" s="1"/>
  <c r="C41" i="176"/>
  <c r="H41" i="176" s="1"/>
  <c r="C40" i="176"/>
  <c r="C39" i="176"/>
  <c r="H39" i="176" s="1"/>
  <c r="C38" i="176"/>
  <c r="C20" i="176" s="1"/>
  <c r="C37" i="176"/>
  <c r="H37" i="176" s="1"/>
  <c r="C36" i="176"/>
  <c r="C18" i="176" s="1"/>
  <c r="C35" i="176"/>
  <c r="C34" i="176"/>
  <c r="C33" i="176"/>
  <c r="C32" i="176"/>
  <c r="C14" i="176" s="1"/>
  <c r="C31" i="176"/>
  <c r="C13" i="176" s="1"/>
  <c r="C30" i="176"/>
  <c r="C12" i="176" s="1"/>
  <c r="C45" i="177"/>
  <c r="C44" i="177"/>
  <c r="C26" i="177" s="1"/>
  <c r="C43" i="177"/>
  <c r="C25" i="177" s="1"/>
  <c r="C42" i="177"/>
  <c r="C24" i="177" s="1"/>
  <c r="C41" i="177"/>
  <c r="C40" i="177"/>
  <c r="C22" i="177" s="1"/>
  <c r="C39" i="177"/>
  <c r="C21" i="177" s="1"/>
  <c r="C38" i="177"/>
  <c r="C20" i="177" s="1"/>
  <c r="K89" i="209" s="1"/>
  <c r="C37" i="177"/>
  <c r="C19" i="177" s="1"/>
  <c r="C36" i="177"/>
  <c r="C18" i="177" s="1"/>
  <c r="I89" i="209" s="1"/>
  <c r="C35" i="177"/>
  <c r="C17" i="177" s="1"/>
  <c r="C34" i="177"/>
  <c r="C16" i="177" s="1"/>
  <c r="G89" i="209" s="1"/>
  <c r="C33" i="177"/>
  <c r="C15" i="177" s="1"/>
  <c r="C32" i="177"/>
  <c r="C31" i="177"/>
  <c r="C30" i="177"/>
  <c r="C12" i="177" s="1"/>
  <c r="H12" i="177" s="1"/>
  <c r="C45" i="178"/>
  <c r="C44" i="178"/>
  <c r="C43" i="178"/>
  <c r="C25" i="178" s="1"/>
  <c r="C42" i="178"/>
  <c r="C41" i="178"/>
  <c r="C40" i="178"/>
  <c r="C39" i="178"/>
  <c r="C38" i="178"/>
  <c r="C20" i="178" s="1"/>
  <c r="K92" i="209" s="1"/>
  <c r="C37" i="178"/>
  <c r="C36" i="178"/>
  <c r="C18" i="178" s="1"/>
  <c r="C35" i="178"/>
  <c r="C34" i="178"/>
  <c r="C16" i="178" s="1"/>
  <c r="H16" i="178" s="1"/>
  <c r="C33" i="178"/>
  <c r="C32" i="178"/>
  <c r="C31" i="178"/>
  <c r="C30" i="178"/>
  <c r="C12" i="178" s="1"/>
  <c r="H12" i="178" s="1"/>
  <c r="C45" i="183"/>
  <c r="H45" i="183" s="1"/>
  <c r="C44" i="183"/>
  <c r="C26" i="183" s="1"/>
  <c r="H26" i="183" s="1"/>
  <c r="C43" i="183"/>
  <c r="C25" i="183" s="1"/>
  <c r="C42" i="183"/>
  <c r="C24" i="183" s="1"/>
  <c r="C41" i="183"/>
  <c r="C40" i="183"/>
  <c r="C39" i="183"/>
  <c r="C38" i="183"/>
  <c r="C20" i="183" s="1"/>
  <c r="C37" i="183"/>
  <c r="C36" i="183"/>
  <c r="C18" i="183" s="1"/>
  <c r="I95" i="209" s="1"/>
  <c r="C35" i="183"/>
  <c r="C34" i="183"/>
  <c r="C33" i="183"/>
  <c r="C32" i="183"/>
  <c r="C31" i="183"/>
  <c r="C13" i="183" s="1"/>
  <c r="C30" i="183"/>
  <c r="C12" i="183" s="1"/>
  <c r="C64" i="186"/>
  <c r="C64" i="174" s="1"/>
  <c r="C48" i="205"/>
  <c r="C50" i="205"/>
  <c r="C52" i="205"/>
  <c r="C54" i="205"/>
  <c r="C56" i="205"/>
  <c r="C58" i="205"/>
  <c r="C64" i="192"/>
  <c r="C49" i="205"/>
  <c r="C51" i="205"/>
  <c r="C53" i="205"/>
  <c r="C55" i="205"/>
  <c r="C57" i="205"/>
  <c r="C59" i="205"/>
  <c r="C60" i="205"/>
  <c r="C60" i="182" s="1"/>
  <c r="C61" i="205"/>
  <c r="C62" i="205"/>
  <c r="C63" i="205"/>
  <c r="C12" i="185"/>
  <c r="C13" i="185"/>
  <c r="D75" i="209" s="1"/>
  <c r="C14" i="185"/>
  <c r="C15" i="185"/>
  <c r="C17" i="185"/>
  <c r="C18" i="185"/>
  <c r="C19" i="185"/>
  <c r="C20" i="185"/>
  <c r="K75" i="209" s="1"/>
  <c r="C21" i="185"/>
  <c r="C22" i="185"/>
  <c r="C23" i="185"/>
  <c r="C24" i="185"/>
  <c r="O75" i="209" s="1"/>
  <c r="C25" i="185"/>
  <c r="C26" i="185"/>
  <c r="C27" i="185"/>
  <c r="C12" i="186"/>
  <c r="C13" i="186"/>
  <c r="C14" i="186"/>
  <c r="C15" i="186"/>
  <c r="C18" i="186"/>
  <c r="C19" i="186"/>
  <c r="C20" i="186"/>
  <c r="C21" i="186"/>
  <c r="C22" i="186"/>
  <c r="C23" i="186"/>
  <c r="C24" i="186"/>
  <c r="C25" i="186"/>
  <c r="C26" i="186"/>
  <c r="C27" i="186"/>
  <c r="C12" i="187"/>
  <c r="C13" i="187"/>
  <c r="C14" i="187"/>
  <c r="E81" i="209" s="1"/>
  <c r="C15" i="187"/>
  <c r="C18" i="187"/>
  <c r="I81" i="209" s="1"/>
  <c r="C20" i="187"/>
  <c r="C22" i="187"/>
  <c r="C24" i="187"/>
  <c r="C26" i="187"/>
  <c r="C27" i="187"/>
  <c r="C12" i="188"/>
  <c r="C14" i="188"/>
  <c r="C18" i="188"/>
  <c r="I84" i="209" s="1"/>
  <c r="C21" i="188"/>
  <c r="C22" i="188"/>
  <c r="C23" i="188"/>
  <c r="C24" i="188"/>
  <c r="C25" i="188"/>
  <c r="C26" i="188"/>
  <c r="C27" i="188"/>
  <c r="C12" i="189"/>
  <c r="C13" i="189"/>
  <c r="C14" i="189"/>
  <c r="E87" i="209" s="1"/>
  <c r="C15" i="189"/>
  <c r="C18" i="189"/>
  <c r="C20" i="189"/>
  <c r="C22" i="189"/>
  <c r="C23" i="189"/>
  <c r="C24" i="189"/>
  <c r="C25" i="189"/>
  <c r="C26" i="189"/>
  <c r="C27" i="189"/>
  <c r="C12" i="190"/>
  <c r="C13" i="190"/>
  <c r="C14" i="190"/>
  <c r="C15" i="190"/>
  <c r="F90" i="209" s="1"/>
  <c r="C18" i="190"/>
  <c r="I90" i="209" s="1"/>
  <c r="C19" i="190"/>
  <c r="C20" i="190"/>
  <c r="C23" i="190"/>
  <c r="C24" i="190"/>
  <c r="O90" i="209" s="1"/>
  <c r="C25" i="190"/>
  <c r="C26" i="190"/>
  <c r="Q90" i="209" s="1"/>
  <c r="C27" i="190"/>
  <c r="C12" i="191"/>
  <c r="C93" i="209" s="1"/>
  <c r="C13" i="191"/>
  <c r="C14" i="191"/>
  <c r="C15" i="191"/>
  <c r="F93" i="209" s="1"/>
  <c r="C19" i="191"/>
  <c r="C20" i="191"/>
  <c r="C22" i="191"/>
  <c r="M93" i="209" s="1"/>
  <c r="C24" i="191"/>
  <c r="C25" i="191"/>
  <c r="C12" i="192"/>
  <c r="C13" i="192"/>
  <c r="C14" i="192"/>
  <c r="C15" i="192"/>
  <c r="C16" i="192"/>
  <c r="C17" i="192"/>
  <c r="C18" i="192"/>
  <c r="C19" i="192"/>
  <c r="C20" i="192"/>
  <c r="C21" i="192"/>
  <c r="L99" i="209" s="1"/>
  <c r="C22" i="192"/>
  <c r="C23" i="192"/>
  <c r="N99" i="209" s="1"/>
  <c r="C24" i="192"/>
  <c r="C25" i="192"/>
  <c r="P99" i="209" s="1"/>
  <c r="C26" i="192"/>
  <c r="C27" i="192"/>
  <c r="R99" i="209" s="1"/>
  <c r="C27" i="191"/>
  <c r="R93" i="209" s="1"/>
  <c r="C17" i="191"/>
  <c r="H93" i="209" s="1"/>
  <c r="C19" i="189"/>
  <c r="J87" i="209" s="1"/>
  <c r="C17" i="189"/>
  <c r="H87" i="209" s="1"/>
  <c r="C19" i="188"/>
  <c r="J84" i="209" s="1"/>
  <c r="C15" i="188"/>
  <c r="F84" i="209" s="1"/>
  <c r="C13" i="188"/>
  <c r="C25" i="187"/>
  <c r="C23" i="187"/>
  <c r="N81" i="209" s="1"/>
  <c r="C21" i="187"/>
  <c r="C19" i="187"/>
  <c r="C17" i="187"/>
  <c r="C23" i="191"/>
  <c r="C26" i="191"/>
  <c r="C22" i="190"/>
  <c r="C21" i="191"/>
  <c r="C21" i="190"/>
  <c r="C21" i="189"/>
  <c r="C20" i="188"/>
  <c r="C18" i="191"/>
  <c r="I93" i="209" s="1"/>
  <c r="C17" i="190"/>
  <c r="C17" i="188"/>
  <c r="C17" i="186"/>
  <c r="C64" i="191"/>
  <c r="C64" i="188"/>
  <c r="C16" i="191"/>
  <c r="C16" i="190"/>
  <c r="C16" i="189"/>
  <c r="C16" i="188"/>
  <c r="C16" i="187"/>
  <c r="C16" i="186"/>
  <c r="C16" i="185"/>
  <c r="C64" i="190"/>
  <c r="C64" i="189"/>
  <c r="C64" i="187"/>
  <c r="C64" i="185"/>
  <c r="O86" i="209"/>
  <c r="H25" i="171"/>
  <c r="H25" i="170"/>
  <c r="H25" i="168"/>
  <c r="H27" i="167"/>
  <c r="H25" i="167"/>
  <c r="H24" i="167"/>
  <c r="H19" i="167"/>
  <c r="H17" i="167"/>
  <c r="H16" i="167"/>
  <c r="H15" i="167"/>
  <c r="H14" i="167"/>
  <c r="H18" i="166"/>
  <c r="H14" i="166"/>
  <c r="H13" i="166"/>
  <c r="H12" i="166"/>
  <c r="H27" i="165"/>
  <c r="H26" i="165"/>
  <c r="H25" i="165"/>
  <c r="H24" i="165"/>
  <c r="H19" i="165"/>
  <c r="H17" i="165"/>
  <c r="H53" i="165"/>
  <c r="H16" i="165"/>
  <c r="H15" i="165"/>
  <c r="H14" i="165"/>
  <c r="H27" i="164"/>
  <c r="H26" i="164"/>
  <c r="H80" i="164"/>
  <c r="H25" i="164"/>
  <c r="H24" i="164"/>
  <c r="H23" i="164"/>
  <c r="H22" i="164"/>
  <c r="H76" i="164"/>
  <c r="H21" i="164"/>
  <c r="H20" i="164"/>
  <c r="H19" i="164"/>
  <c r="H16" i="164"/>
  <c r="H13" i="164"/>
  <c r="H12" i="164"/>
  <c r="H81" i="164"/>
  <c r="H79" i="164"/>
  <c r="H78" i="164"/>
  <c r="H77" i="164"/>
  <c r="H75" i="164"/>
  <c r="H74" i="164"/>
  <c r="H73" i="164"/>
  <c r="H70" i="164"/>
  <c r="H67" i="164"/>
  <c r="H66" i="164"/>
  <c r="H63" i="164"/>
  <c r="H61" i="164"/>
  <c r="H59" i="164"/>
  <c r="H58" i="164"/>
  <c r="H57" i="164"/>
  <c r="H56" i="164"/>
  <c r="H55" i="164"/>
  <c r="H49" i="164"/>
  <c r="H48" i="164"/>
  <c r="H45" i="164"/>
  <c r="H44" i="164"/>
  <c r="H43" i="164"/>
  <c r="H42" i="164"/>
  <c r="H41" i="164"/>
  <c r="H39" i="164"/>
  <c r="H38" i="164"/>
  <c r="H37" i="164"/>
  <c r="H34" i="164"/>
  <c r="H31" i="164"/>
  <c r="H30" i="164"/>
  <c r="H81" i="165"/>
  <c r="H80" i="165"/>
  <c r="H79" i="165"/>
  <c r="H78" i="165"/>
  <c r="H73" i="165"/>
  <c r="H71" i="165"/>
  <c r="H70" i="165"/>
  <c r="H69" i="165"/>
  <c r="H68" i="165"/>
  <c r="H63" i="165"/>
  <c r="H62" i="165"/>
  <c r="H61" i="165"/>
  <c r="H60" i="165"/>
  <c r="H55" i="165"/>
  <c r="H52" i="165"/>
  <c r="H51" i="165"/>
  <c r="H50" i="165"/>
  <c r="H45" i="165"/>
  <c r="H44" i="165"/>
  <c r="H43" i="165"/>
  <c r="H42" i="165"/>
  <c r="H37" i="165"/>
  <c r="H35" i="165"/>
  <c r="H34" i="165"/>
  <c r="H33" i="165"/>
  <c r="H32" i="165"/>
  <c r="H72" i="166"/>
  <c r="H68" i="166"/>
  <c r="H67" i="166"/>
  <c r="H66" i="166"/>
  <c r="H54" i="166"/>
  <c r="H50" i="166"/>
  <c r="H49" i="166"/>
  <c r="H48" i="166"/>
  <c r="H36" i="166"/>
  <c r="H32" i="166"/>
  <c r="H31" i="166"/>
  <c r="H30" i="166"/>
  <c r="H81" i="167"/>
  <c r="H79" i="167"/>
  <c r="H78" i="167"/>
  <c r="H73" i="167"/>
  <c r="H70" i="167"/>
  <c r="H69" i="167"/>
  <c r="H68" i="167"/>
  <c r="H63" i="167"/>
  <c r="H61" i="167"/>
  <c r="H60" i="167"/>
  <c r="H55" i="167"/>
  <c r="H52" i="167"/>
  <c r="H51" i="167"/>
  <c r="H50" i="167"/>
  <c r="H45" i="167"/>
  <c r="H43" i="167"/>
  <c r="H42" i="167"/>
  <c r="H37" i="167"/>
  <c r="H34" i="167"/>
  <c r="H33" i="167"/>
  <c r="H32" i="167"/>
  <c r="H81" i="171"/>
  <c r="H80" i="171"/>
  <c r="H78" i="171"/>
  <c r="H77" i="171"/>
  <c r="H76" i="171"/>
  <c r="H75" i="171"/>
  <c r="H74" i="171"/>
  <c r="H73" i="171"/>
  <c r="H72" i="171"/>
  <c r="H70" i="171"/>
  <c r="H69" i="171"/>
  <c r="H66" i="171"/>
  <c r="H68" i="171"/>
  <c r="H67" i="171"/>
  <c r="H63" i="171"/>
  <c r="H62" i="171"/>
  <c r="H60" i="171"/>
  <c r="H58" i="171"/>
  <c r="H57" i="171"/>
  <c r="H56" i="171"/>
  <c r="H55" i="171"/>
  <c r="H54" i="171"/>
  <c r="H52" i="171"/>
  <c r="H51" i="171"/>
  <c r="H50" i="171"/>
  <c r="H49" i="171"/>
  <c r="H48" i="171"/>
  <c r="H45" i="171"/>
  <c r="H44" i="171"/>
  <c r="H42" i="171"/>
  <c r="H41" i="171"/>
  <c r="H40" i="171"/>
  <c r="H39" i="171"/>
  <c r="H38" i="171"/>
  <c r="H37" i="171"/>
  <c r="H36" i="171"/>
  <c r="H34" i="171"/>
  <c r="H33" i="171"/>
  <c r="H32" i="171"/>
  <c r="H31" i="171"/>
  <c r="H30" i="171"/>
  <c r="C81" i="153"/>
  <c r="C80" i="153"/>
  <c r="C79" i="153"/>
  <c r="C78" i="153"/>
  <c r="C77" i="153"/>
  <c r="C76" i="153"/>
  <c r="C75" i="153"/>
  <c r="C74" i="153"/>
  <c r="C73" i="153"/>
  <c r="C72" i="153"/>
  <c r="C71" i="153"/>
  <c r="C70" i="153"/>
  <c r="C69" i="153"/>
  <c r="C68" i="153"/>
  <c r="C67" i="153"/>
  <c r="C66" i="153"/>
  <c r="C63" i="153"/>
  <c r="C62" i="153"/>
  <c r="C61" i="153"/>
  <c r="C60" i="153"/>
  <c r="C58" i="153"/>
  <c r="C57" i="153"/>
  <c r="C56" i="153"/>
  <c r="C55" i="153"/>
  <c r="C54" i="153"/>
  <c r="C53" i="153"/>
  <c r="C52" i="153"/>
  <c r="C51" i="153"/>
  <c r="C50" i="153"/>
  <c r="C49" i="153"/>
  <c r="C48" i="153"/>
  <c r="C45" i="153"/>
  <c r="C44" i="153"/>
  <c r="C43" i="153"/>
  <c r="C42" i="153"/>
  <c r="C41" i="153"/>
  <c r="C40" i="153"/>
  <c r="C39" i="153"/>
  <c r="C38" i="153"/>
  <c r="C37" i="153"/>
  <c r="C36" i="153"/>
  <c r="C35" i="153"/>
  <c r="C34" i="153"/>
  <c r="C33" i="153"/>
  <c r="C32" i="153"/>
  <c r="C31" i="153"/>
  <c r="C30" i="153"/>
  <c r="H81" i="168"/>
  <c r="H80" i="168"/>
  <c r="H78" i="168"/>
  <c r="H76" i="168"/>
  <c r="H75" i="168"/>
  <c r="H74" i="168"/>
  <c r="H73" i="168"/>
  <c r="H72" i="168"/>
  <c r="H70" i="168"/>
  <c r="H69" i="168"/>
  <c r="H68" i="168"/>
  <c r="H67" i="168"/>
  <c r="H66" i="168"/>
  <c r="H63" i="168"/>
  <c r="H62" i="168"/>
  <c r="H60" i="168"/>
  <c r="H59" i="168"/>
  <c r="H58" i="168"/>
  <c r="H57" i="168"/>
  <c r="H56" i="168"/>
  <c r="H55" i="168"/>
  <c r="H54" i="168"/>
  <c r="H52" i="168"/>
  <c r="H51" i="168"/>
  <c r="H50" i="168"/>
  <c r="H49" i="168"/>
  <c r="H48" i="168"/>
  <c r="H45" i="168"/>
  <c r="H44" i="168"/>
  <c r="H42" i="168"/>
  <c r="H40" i="168"/>
  <c r="H39" i="168"/>
  <c r="H38" i="168"/>
  <c r="H37" i="168"/>
  <c r="H34" i="168"/>
  <c r="H33" i="168"/>
  <c r="H32" i="168"/>
  <c r="H31" i="168"/>
  <c r="H30" i="168"/>
  <c r="H80" i="167"/>
  <c r="H77" i="167"/>
  <c r="H76" i="167"/>
  <c r="H75" i="167"/>
  <c r="H74" i="167"/>
  <c r="H72" i="167"/>
  <c r="H67" i="167"/>
  <c r="H66" i="167"/>
  <c r="H62" i="167"/>
  <c r="H59" i="167"/>
  <c r="H58" i="167"/>
  <c r="H57" i="167"/>
  <c r="H56" i="167"/>
  <c r="H54" i="167"/>
  <c r="H49" i="167"/>
  <c r="H48" i="167"/>
  <c r="H44" i="167"/>
  <c r="H41" i="167"/>
  <c r="H40" i="167"/>
  <c r="H39" i="167"/>
  <c r="H38" i="167"/>
  <c r="H36" i="167"/>
  <c r="H31" i="167"/>
  <c r="H30" i="167"/>
  <c r="H81" i="166"/>
  <c r="H80" i="166"/>
  <c r="H78" i="166"/>
  <c r="H77" i="166"/>
  <c r="H76" i="166"/>
  <c r="H75" i="166"/>
  <c r="H74" i="166"/>
  <c r="H73" i="166"/>
  <c r="H70" i="166"/>
  <c r="H69" i="166"/>
  <c r="H63" i="166"/>
  <c r="H62" i="166"/>
  <c r="H60" i="166"/>
  <c r="H59" i="166"/>
  <c r="H58" i="166"/>
  <c r="H57" i="166"/>
  <c r="H56" i="166"/>
  <c r="H55" i="166"/>
  <c r="H52" i="166"/>
  <c r="H51" i="166"/>
  <c r="H45" i="166"/>
  <c r="H44" i="166"/>
  <c r="H42" i="166"/>
  <c r="H41" i="166"/>
  <c r="H40" i="166"/>
  <c r="H39" i="166"/>
  <c r="H38" i="166"/>
  <c r="H37" i="166"/>
  <c r="H34" i="166"/>
  <c r="H33" i="166"/>
  <c r="H77" i="165"/>
  <c r="H76" i="165"/>
  <c r="H75" i="165"/>
  <c r="H74" i="165"/>
  <c r="H72" i="165"/>
  <c r="H67" i="165"/>
  <c r="H66" i="165"/>
  <c r="H59" i="165"/>
  <c r="H58" i="165"/>
  <c r="H57" i="165"/>
  <c r="H56" i="165"/>
  <c r="H54" i="165"/>
  <c r="H49" i="165"/>
  <c r="H48" i="165"/>
  <c r="H41" i="165"/>
  <c r="H40" i="165"/>
  <c r="H39" i="165"/>
  <c r="H38" i="165"/>
  <c r="H36" i="165"/>
  <c r="H31" i="165"/>
  <c r="H30" i="165"/>
  <c r="H72" i="164"/>
  <c r="H69" i="164"/>
  <c r="H68" i="164"/>
  <c r="H54" i="164"/>
  <c r="H51" i="164"/>
  <c r="H50" i="164"/>
  <c r="H36" i="164"/>
  <c r="H33" i="164"/>
  <c r="H32" i="164"/>
  <c r="H81" i="163"/>
  <c r="H80" i="163"/>
  <c r="H78" i="163"/>
  <c r="H77" i="163"/>
  <c r="H76" i="163"/>
  <c r="H75" i="163"/>
  <c r="H74" i="163"/>
  <c r="H73" i="163"/>
  <c r="H72" i="163"/>
  <c r="H70" i="163"/>
  <c r="H69" i="163"/>
  <c r="H68" i="163"/>
  <c r="H67" i="163"/>
  <c r="H66" i="163"/>
  <c r="H63" i="163"/>
  <c r="H62" i="163"/>
  <c r="H60" i="163"/>
  <c r="H59" i="163"/>
  <c r="H58" i="163"/>
  <c r="H57" i="163"/>
  <c r="H56" i="163"/>
  <c r="H55" i="163"/>
  <c r="H54" i="163"/>
  <c r="H52" i="163"/>
  <c r="H51" i="163"/>
  <c r="H50" i="163"/>
  <c r="H49" i="163"/>
  <c r="H48" i="163"/>
  <c r="H45" i="163"/>
  <c r="H42" i="163"/>
  <c r="H41" i="163"/>
  <c r="H40" i="163"/>
  <c r="H39" i="163"/>
  <c r="H38" i="163"/>
  <c r="H37" i="163"/>
  <c r="H36" i="163"/>
  <c r="H34" i="163"/>
  <c r="H33" i="163"/>
  <c r="H32" i="163"/>
  <c r="H31" i="163"/>
  <c r="H30" i="163"/>
  <c r="H62" i="164"/>
  <c r="H40" i="164"/>
  <c r="H35" i="163"/>
  <c r="H53" i="163"/>
  <c r="H71" i="163"/>
  <c r="H35" i="166"/>
  <c r="H53" i="166"/>
  <c r="H71" i="166"/>
  <c r="H35" i="168"/>
  <c r="H53" i="168"/>
  <c r="H71" i="168"/>
  <c r="H35" i="171"/>
  <c r="H53" i="171"/>
  <c r="H71" i="171"/>
  <c r="H35" i="167"/>
  <c r="H53" i="167"/>
  <c r="H31" i="170"/>
  <c r="H33" i="170"/>
  <c r="H35" i="170"/>
  <c r="H37" i="170"/>
  <c r="H39" i="170"/>
  <c r="H42" i="170"/>
  <c r="H45" i="170"/>
  <c r="H49" i="170"/>
  <c r="H51" i="170"/>
  <c r="H53" i="170"/>
  <c r="H55" i="170"/>
  <c r="H57" i="170"/>
  <c r="H60" i="170"/>
  <c r="H63" i="170"/>
  <c r="H67" i="170"/>
  <c r="H69" i="170"/>
  <c r="H71" i="170"/>
  <c r="H73" i="170"/>
  <c r="H75" i="170"/>
  <c r="H78" i="170"/>
  <c r="H81" i="170"/>
  <c r="H59" i="170"/>
  <c r="C59" i="153"/>
  <c r="H30" i="170"/>
  <c r="H32" i="170"/>
  <c r="H34" i="170"/>
  <c r="H36" i="170"/>
  <c r="H38" i="170"/>
  <c r="H40" i="170"/>
  <c r="H44" i="170"/>
  <c r="H48" i="170"/>
  <c r="H50" i="170"/>
  <c r="H52" i="170"/>
  <c r="H54" i="170"/>
  <c r="H56" i="170"/>
  <c r="H58" i="170"/>
  <c r="H62" i="170"/>
  <c r="H66" i="170"/>
  <c r="H68" i="170"/>
  <c r="H70" i="170"/>
  <c r="H72" i="170"/>
  <c r="H74" i="170"/>
  <c r="H76" i="170"/>
  <c r="H80" i="170"/>
  <c r="H77" i="168"/>
  <c r="H41" i="168"/>
  <c r="H77" i="170"/>
  <c r="H41" i="170"/>
  <c r="H59" i="171"/>
  <c r="C82" i="165"/>
  <c r="C46" i="164"/>
  <c r="C12" i="164"/>
  <c r="C13" i="164"/>
  <c r="C14" i="164"/>
  <c r="C15" i="164"/>
  <c r="C16" i="164"/>
  <c r="C17" i="164"/>
  <c r="C18" i="164"/>
  <c r="C19" i="164"/>
  <c r="C20" i="164"/>
  <c r="C21" i="164"/>
  <c r="C22" i="164"/>
  <c r="C23" i="164"/>
  <c r="C24" i="164"/>
  <c r="C25" i="164"/>
  <c r="C26" i="164"/>
  <c r="C27" i="164"/>
  <c r="C12" i="165"/>
  <c r="C13" i="165"/>
  <c r="C14" i="165"/>
  <c r="C15" i="165"/>
  <c r="C16" i="165"/>
  <c r="C17" i="165"/>
  <c r="C18" i="165"/>
  <c r="C19" i="165"/>
  <c r="C20" i="165"/>
  <c r="C21" i="165"/>
  <c r="C22" i="165"/>
  <c r="C23" i="165"/>
  <c r="C24" i="165"/>
  <c r="C25" i="165"/>
  <c r="C26" i="165"/>
  <c r="C27" i="165"/>
  <c r="C12" i="166"/>
  <c r="C13" i="166"/>
  <c r="C14" i="166"/>
  <c r="C15" i="166"/>
  <c r="C16" i="166"/>
  <c r="C17" i="166"/>
  <c r="C18" i="166"/>
  <c r="C19" i="166"/>
  <c r="C20" i="166"/>
  <c r="H20" i="166" s="1"/>
  <c r="C21" i="166"/>
  <c r="C22" i="166"/>
  <c r="C23" i="166"/>
  <c r="C24" i="166"/>
  <c r="C25" i="166"/>
  <c r="C26" i="166"/>
  <c r="C27" i="166"/>
  <c r="C12" i="167"/>
  <c r="C13" i="167"/>
  <c r="C14" i="167"/>
  <c r="C15" i="167"/>
  <c r="C16" i="167"/>
  <c r="C17" i="167"/>
  <c r="C18" i="167"/>
  <c r="C19" i="167"/>
  <c r="C20" i="167"/>
  <c r="C21" i="167"/>
  <c r="C22" i="167"/>
  <c r="C23" i="167"/>
  <c r="C24" i="167"/>
  <c r="C25" i="167"/>
  <c r="C26" i="167"/>
  <c r="C27" i="167"/>
  <c r="C12" i="168"/>
  <c r="C13" i="168"/>
  <c r="C14" i="168"/>
  <c r="C15" i="168"/>
  <c r="F91" i="208" s="1"/>
  <c r="C16" i="168"/>
  <c r="C17" i="168"/>
  <c r="C18" i="168"/>
  <c r="C19" i="168"/>
  <c r="C20" i="168"/>
  <c r="C21" i="168"/>
  <c r="C22" i="168"/>
  <c r="C23" i="168"/>
  <c r="C24" i="168"/>
  <c r="C25" i="168"/>
  <c r="C26" i="168"/>
  <c r="C27" i="168"/>
  <c r="C12" i="169"/>
  <c r="H12" i="169" s="1"/>
  <c r="C13" i="169"/>
  <c r="C14" i="169"/>
  <c r="H14" i="169" s="1"/>
  <c r="C15" i="169"/>
  <c r="C16" i="169"/>
  <c r="H16" i="169" s="1"/>
  <c r="C17" i="169"/>
  <c r="H17" i="169" s="1"/>
  <c r="C18" i="169"/>
  <c r="H18" i="169" s="1"/>
  <c r="C19" i="169"/>
  <c r="H19" i="169" s="1"/>
  <c r="C20" i="169"/>
  <c r="H20" i="169" s="1"/>
  <c r="C21" i="169"/>
  <c r="H21" i="169" s="1"/>
  <c r="C22" i="169"/>
  <c r="H22" i="169" s="1"/>
  <c r="C23" i="169"/>
  <c r="H23" i="169" s="1"/>
  <c r="C24" i="169"/>
  <c r="C25" i="169"/>
  <c r="C26" i="169"/>
  <c r="H26" i="169" s="1"/>
  <c r="C27" i="169"/>
  <c r="H27" i="169" s="1"/>
  <c r="C12" i="170"/>
  <c r="C13" i="170"/>
  <c r="C14" i="170"/>
  <c r="C15" i="170"/>
  <c r="C16" i="170"/>
  <c r="C17" i="170"/>
  <c r="C18" i="170"/>
  <c r="C19" i="170"/>
  <c r="C20" i="170"/>
  <c r="C21" i="170"/>
  <c r="C22" i="170"/>
  <c r="M97" i="208" s="1"/>
  <c r="C23" i="170"/>
  <c r="C24" i="170"/>
  <c r="O97" i="208" s="1"/>
  <c r="C25" i="170"/>
  <c r="C26" i="170"/>
  <c r="Q97" i="208" s="1"/>
  <c r="C27" i="170"/>
  <c r="C12" i="171"/>
  <c r="C13" i="171"/>
  <c r="C14" i="171"/>
  <c r="C15" i="171"/>
  <c r="F100" i="208" s="1"/>
  <c r="C16" i="171"/>
  <c r="G100" i="208" s="1"/>
  <c r="C17" i="171"/>
  <c r="C18" i="171"/>
  <c r="I100" i="208" s="1"/>
  <c r="C19" i="171"/>
  <c r="C20" i="171"/>
  <c r="K100" i="208" s="1"/>
  <c r="C21" i="171"/>
  <c r="C22" i="171"/>
  <c r="M100" i="208" s="1"/>
  <c r="C23" i="171"/>
  <c r="C24" i="171"/>
  <c r="O100" i="208" s="1"/>
  <c r="C25" i="171"/>
  <c r="C26" i="171"/>
  <c r="C27" i="171"/>
  <c r="C12" i="163"/>
  <c r="C13" i="163"/>
  <c r="C14" i="163"/>
  <c r="C15" i="163"/>
  <c r="C16" i="163"/>
  <c r="G6" i="208" s="1"/>
  <c r="C17" i="163"/>
  <c r="C18" i="163"/>
  <c r="I6" i="208" s="1"/>
  <c r="C19" i="163"/>
  <c r="C20" i="163"/>
  <c r="C21" i="163"/>
  <c r="C22" i="163"/>
  <c r="M6" i="208" s="1"/>
  <c r="C23" i="163"/>
  <c r="C24" i="163"/>
  <c r="O6" i="208" s="1"/>
  <c r="C25" i="163"/>
  <c r="C26" i="163"/>
  <c r="C27" i="163"/>
  <c r="H45" i="159"/>
  <c r="H25" i="159"/>
  <c r="H23" i="159"/>
  <c r="H37" i="159"/>
  <c r="H17" i="159"/>
  <c r="H15" i="159"/>
  <c r="H13" i="158"/>
  <c r="H25" i="157"/>
  <c r="H23" i="157"/>
  <c r="H17" i="157"/>
  <c r="H27" i="157"/>
  <c r="H24" i="157"/>
  <c r="H19" i="157"/>
  <c r="H15" i="157"/>
  <c r="H14" i="157"/>
  <c r="H45" i="157"/>
  <c r="H42" i="157"/>
  <c r="H37" i="157"/>
  <c r="H33" i="157"/>
  <c r="H32" i="157"/>
  <c r="H63" i="157"/>
  <c r="H60" i="157"/>
  <c r="H55" i="157"/>
  <c r="H51" i="157"/>
  <c r="H50" i="157"/>
  <c r="H81" i="157"/>
  <c r="H78" i="157"/>
  <c r="H73" i="157"/>
  <c r="H69" i="157"/>
  <c r="H68" i="157"/>
  <c r="H14" i="158"/>
  <c r="H12" i="158"/>
  <c r="H32" i="158"/>
  <c r="H31" i="158"/>
  <c r="H30" i="158"/>
  <c r="H50" i="158"/>
  <c r="H48" i="158"/>
  <c r="H68" i="158"/>
  <c r="H67" i="158"/>
  <c r="H66" i="158"/>
  <c r="H27" i="159"/>
  <c r="H24" i="159"/>
  <c r="H19" i="159"/>
  <c r="H16" i="159"/>
  <c r="H14" i="159"/>
  <c r="H43" i="159"/>
  <c r="H42" i="159"/>
  <c r="H41" i="159"/>
  <c r="H35" i="159"/>
  <c r="H34" i="159"/>
  <c r="H33" i="159"/>
  <c r="H32" i="159"/>
  <c r="H63" i="159"/>
  <c r="H60" i="159"/>
  <c r="H55" i="159"/>
  <c r="H52" i="159"/>
  <c r="H50" i="159"/>
  <c r="H79" i="159"/>
  <c r="H78" i="159"/>
  <c r="H77" i="159"/>
  <c r="H71" i="159"/>
  <c r="H70" i="159"/>
  <c r="H69" i="159"/>
  <c r="H68" i="159"/>
  <c r="H27" i="156"/>
  <c r="H26" i="156"/>
  <c r="H25" i="156"/>
  <c r="H24" i="156"/>
  <c r="H23" i="156"/>
  <c r="H22" i="156"/>
  <c r="H21" i="156"/>
  <c r="H20" i="156"/>
  <c r="H19" i="156"/>
  <c r="H16" i="156"/>
  <c r="H45" i="156"/>
  <c r="H44" i="156"/>
  <c r="H43" i="156"/>
  <c r="H42" i="156"/>
  <c r="H41" i="156"/>
  <c r="H40" i="156"/>
  <c r="H39" i="156"/>
  <c r="H38" i="156"/>
  <c r="H37" i="156"/>
  <c r="H34" i="156"/>
  <c r="H63" i="156"/>
  <c r="H62" i="156"/>
  <c r="H61" i="156"/>
  <c r="H60" i="156"/>
  <c r="H59" i="156"/>
  <c r="H58" i="156"/>
  <c r="H57" i="156"/>
  <c r="H56" i="156"/>
  <c r="H55" i="156"/>
  <c r="H52" i="156"/>
  <c r="H81" i="156"/>
  <c r="H80" i="156"/>
  <c r="H79" i="156"/>
  <c r="H78" i="156"/>
  <c r="H77" i="156"/>
  <c r="H76" i="156"/>
  <c r="H75" i="156"/>
  <c r="H74" i="156"/>
  <c r="H73" i="156"/>
  <c r="H70" i="156"/>
  <c r="C45" i="147"/>
  <c r="C44" i="147"/>
  <c r="C43" i="147"/>
  <c r="C42" i="147"/>
  <c r="C41" i="147"/>
  <c r="C40" i="147"/>
  <c r="C39" i="147"/>
  <c r="C38" i="147"/>
  <c r="C37" i="147"/>
  <c r="C34" i="147"/>
  <c r="C63" i="147"/>
  <c r="C62" i="147"/>
  <c r="C61" i="147"/>
  <c r="C60" i="147"/>
  <c r="C59" i="147"/>
  <c r="C58" i="147"/>
  <c r="C57" i="147"/>
  <c r="C56" i="147"/>
  <c r="C55" i="147"/>
  <c r="C52" i="147"/>
  <c r="C81" i="147"/>
  <c r="C80" i="147"/>
  <c r="C79" i="147"/>
  <c r="C78" i="147"/>
  <c r="C77" i="147"/>
  <c r="C76" i="147"/>
  <c r="C75" i="147"/>
  <c r="C74" i="147"/>
  <c r="C73" i="147"/>
  <c r="C70" i="147"/>
  <c r="C45" i="148"/>
  <c r="C43" i="148"/>
  <c r="C42" i="148"/>
  <c r="C41" i="148"/>
  <c r="C37" i="148"/>
  <c r="C35" i="148"/>
  <c r="C33" i="148"/>
  <c r="C32" i="148"/>
  <c r="C63" i="148"/>
  <c r="C61" i="148"/>
  <c r="C60" i="148"/>
  <c r="C59" i="148"/>
  <c r="C55" i="148"/>
  <c r="C53" i="148"/>
  <c r="C51" i="148"/>
  <c r="C50" i="148"/>
  <c r="C81" i="148"/>
  <c r="C79" i="148"/>
  <c r="C78" i="148"/>
  <c r="C77" i="148"/>
  <c r="C73" i="148"/>
  <c r="C18" i="157"/>
  <c r="C71" i="148"/>
  <c r="C69" i="148"/>
  <c r="C68" i="148"/>
  <c r="C13" i="157"/>
  <c r="C32" i="149"/>
  <c r="C31" i="149"/>
  <c r="C30" i="149"/>
  <c r="C50" i="149"/>
  <c r="C49" i="149"/>
  <c r="C48" i="149"/>
  <c r="C82" i="158"/>
  <c r="C68" i="149"/>
  <c r="C67" i="149"/>
  <c r="C66" i="149"/>
  <c r="C45" i="150"/>
  <c r="C43" i="150"/>
  <c r="C42" i="150"/>
  <c r="C41" i="150"/>
  <c r="C37" i="150"/>
  <c r="C35" i="150"/>
  <c r="C34" i="150"/>
  <c r="C33" i="150"/>
  <c r="C32" i="150"/>
  <c r="C46" i="159"/>
  <c r="C63" i="150"/>
  <c r="C61" i="150"/>
  <c r="C60" i="150"/>
  <c r="C59" i="150"/>
  <c r="C21" i="159"/>
  <c r="C55" i="150"/>
  <c r="C53" i="150"/>
  <c r="C52" i="150"/>
  <c r="C51" i="150"/>
  <c r="C50" i="150"/>
  <c r="C81" i="150"/>
  <c r="C79" i="150"/>
  <c r="C78" i="150"/>
  <c r="C77" i="150"/>
  <c r="C73" i="150"/>
  <c r="C71" i="150"/>
  <c r="C70" i="150"/>
  <c r="C69" i="150"/>
  <c r="C68" i="150"/>
  <c r="C25" i="160"/>
  <c r="C23" i="160"/>
  <c r="C21" i="160"/>
  <c r="C19" i="160"/>
  <c r="C17" i="160"/>
  <c r="C15" i="160"/>
  <c r="C13" i="160"/>
  <c r="C42" i="152"/>
  <c r="C60" i="152"/>
  <c r="C78" i="152"/>
  <c r="C26" i="155"/>
  <c r="C24" i="155"/>
  <c r="C22" i="155"/>
  <c r="C20" i="155"/>
  <c r="C18" i="155"/>
  <c r="C16" i="155"/>
  <c r="C14" i="155"/>
  <c r="C82" i="156"/>
  <c r="C82" i="157"/>
  <c r="C64" i="156"/>
  <c r="C46" i="156"/>
  <c r="C46" i="157"/>
  <c r="C12" i="156"/>
  <c r="H12" i="156" s="1"/>
  <c r="C13" i="156"/>
  <c r="H13" i="156" s="1"/>
  <c r="C14" i="156"/>
  <c r="C15" i="156"/>
  <c r="C16" i="156"/>
  <c r="C17" i="156"/>
  <c r="H17" i="156" s="1"/>
  <c r="C18" i="156"/>
  <c r="C19" i="156"/>
  <c r="J78" i="208" s="1"/>
  <c r="C20" i="156"/>
  <c r="K78" i="208" s="1"/>
  <c r="C21" i="156"/>
  <c r="C22" i="156"/>
  <c r="C23" i="156"/>
  <c r="C24" i="156"/>
  <c r="C25" i="156"/>
  <c r="C26" i="156"/>
  <c r="C27" i="156"/>
  <c r="C12" i="157"/>
  <c r="C15" i="157"/>
  <c r="C16" i="157"/>
  <c r="C17" i="157"/>
  <c r="C19" i="157"/>
  <c r="J81" i="208" s="1"/>
  <c r="C20" i="157"/>
  <c r="C21" i="157"/>
  <c r="C22" i="157"/>
  <c r="H22" i="157" s="1"/>
  <c r="C23" i="157"/>
  <c r="C24" i="157"/>
  <c r="C25" i="157"/>
  <c r="C26" i="157"/>
  <c r="C27" i="157"/>
  <c r="C15" i="158"/>
  <c r="H15" i="158" s="1"/>
  <c r="C16" i="158"/>
  <c r="C17" i="158"/>
  <c r="C18" i="158"/>
  <c r="C19" i="158"/>
  <c r="H19" i="158" s="1"/>
  <c r="C20" i="158"/>
  <c r="C21" i="158"/>
  <c r="C22" i="158"/>
  <c r="C23" i="158"/>
  <c r="C24" i="158"/>
  <c r="C25" i="158"/>
  <c r="H25" i="158" s="1"/>
  <c r="C26" i="158"/>
  <c r="H26" i="158" s="1"/>
  <c r="C27" i="158"/>
  <c r="C13" i="159"/>
  <c r="C15" i="159"/>
  <c r="C19" i="159"/>
  <c r="C25" i="159"/>
  <c r="C27" i="159"/>
  <c r="C12" i="160"/>
  <c r="C14" i="160"/>
  <c r="C16" i="160"/>
  <c r="H16" i="160" s="1"/>
  <c r="C18" i="160"/>
  <c r="C20" i="160"/>
  <c r="H20" i="160" s="1"/>
  <c r="C22" i="160"/>
  <c r="C24" i="160"/>
  <c r="C26" i="160"/>
  <c r="C12" i="161"/>
  <c r="H12" i="161" s="1"/>
  <c r="C13" i="161"/>
  <c r="H13" i="161" s="1"/>
  <c r="C14" i="161"/>
  <c r="H14" i="161" s="1"/>
  <c r="C15" i="161"/>
  <c r="H15" i="161" s="1"/>
  <c r="C16" i="161"/>
  <c r="H16" i="161" s="1"/>
  <c r="C17" i="161"/>
  <c r="H17" i="161" s="1"/>
  <c r="C18" i="161"/>
  <c r="H18" i="161" s="1"/>
  <c r="C19" i="161"/>
  <c r="H19" i="161" s="1"/>
  <c r="C20" i="161"/>
  <c r="H20" i="161" s="1"/>
  <c r="C21" i="161"/>
  <c r="H21" i="161" s="1"/>
  <c r="C22" i="161"/>
  <c r="H22" i="161" s="1"/>
  <c r="C23" i="161"/>
  <c r="H23" i="161" s="1"/>
  <c r="C24" i="161"/>
  <c r="C25" i="161"/>
  <c r="H25" i="161" s="1"/>
  <c r="C26" i="161"/>
  <c r="H26" i="161" s="1"/>
  <c r="C27" i="161"/>
  <c r="H27" i="161" s="1"/>
  <c r="C12" i="162"/>
  <c r="H12" i="162" s="1"/>
  <c r="C13" i="162"/>
  <c r="H13" i="162" s="1"/>
  <c r="C14" i="162"/>
  <c r="C15" i="162"/>
  <c r="C16" i="162"/>
  <c r="H16" i="162" s="1"/>
  <c r="C17" i="162"/>
  <c r="H17" i="162" s="1"/>
  <c r="C18" i="162"/>
  <c r="C19" i="162"/>
  <c r="H19" i="162" s="1"/>
  <c r="C20" i="162"/>
  <c r="H20" i="162" s="1"/>
  <c r="C21" i="162"/>
  <c r="H21" i="162" s="1"/>
  <c r="C22" i="162"/>
  <c r="C23" i="162"/>
  <c r="C24" i="162"/>
  <c r="H24" i="162" s="1"/>
  <c r="C25" i="162"/>
  <c r="H25" i="162" s="1"/>
  <c r="C26" i="162"/>
  <c r="C27" i="162"/>
  <c r="H27" i="162" s="1"/>
  <c r="C13" i="155"/>
  <c r="H13" i="155" s="1"/>
  <c r="C15" i="155"/>
  <c r="C17" i="155"/>
  <c r="C19" i="155"/>
  <c r="H19" i="155" s="1"/>
  <c r="C21" i="155"/>
  <c r="C23" i="155"/>
  <c r="C25" i="155"/>
  <c r="H25" i="155" s="1"/>
  <c r="C27" i="155"/>
  <c r="F35" i="215"/>
  <c r="H28" i="136" s="1"/>
  <c r="B200" i="213"/>
  <c r="B198" i="213"/>
  <c r="B196" i="213"/>
  <c r="B195" i="213"/>
  <c r="H57" i="192" s="1"/>
  <c r="B193" i="213"/>
  <c r="B191" i="213"/>
  <c r="B190" i="213"/>
  <c r="B188" i="213"/>
  <c r="B165" i="213"/>
  <c r="B163" i="213"/>
  <c r="B161" i="213"/>
  <c r="B159" i="213"/>
  <c r="B157" i="213"/>
  <c r="B155" i="213"/>
  <c r="B154" i="213"/>
  <c r="B151" i="213"/>
  <c r="B129" i="213"/>
  <c r="B127" i="213"/>
  <c r="B125" i="213"/>
  <c r="B123" i="213"/>
  <c r="B122" i="213"/>
  <c r="B120" i="213"/>
  <c r="B119" i="213"/>
  <c r="B117" i="213"/>
  <c r="B114" i="213"/>
  <c r="B110" i="213"/>
  <c r="B108" i="213"/>
  <c r="B106" i="213"/>
  <c r="B104" i="213"/>
  <c r="B102" i="213"/>
  <c r="B101" i="213"/>
  <c r="B99" i="213"/>
  <c r="B98" i="213"/>
  <c r="B92" i="213"/>
  <c r="B90" i="213"/>
  <c r="B88" i="213"/>
  <c r="B87" i="213"/>
  <c r="B85" i="213"/>
  <c r="B83" i="213"/>
  <c r="H53" i="189" s="1"/>
  <c r="B82" i="213"/>
  <c r="B75" i="213"/>
  <c r="B73" i="213"/>
  <c r="B71" i="213"/>
  <c r="B69" i="213"/>
  <c r="B66" i="213"/>
  <c r="B62" i="213"/>
  <c r="B54" i="213"/>
  <c r="B50" i="213"/>
  <c r="B46" i="213"/>
  <c r="D204" i="213"/>
  <c r="D218" i="213"/>
  <c r="D216" i="213"/>
  <c r="D215" i="213"/>
  <c r="D214" i="213"/>
  <c r="D213" i="213"/>
  <c r="D211" i="213"/>
  <c r="D210" i="213"/>
  <c r="D209" i="213"/>
  <c r="B29" i="213"/>
  <c r="C208" i="213"/>
  <c r="C207" i="213"/>
  <c r="B25" i="213"/>
  <c r="B20" i="213"/>
  <c r="B16" i="213"/>
  <c r="B12" i="213"/>
  <c r="C209" i="213"/>
  <c r="B8" i="213"/>
  <c r="H50" i="185" s="1"/>
  <c r="B6" i="213"/>
  <c r="D205" i="213"/>
  <c r="D207" i="213"/>
  <c r="D208" i="213"/>
  <c r="C210" i="213"/>
  <c r="C211" i="213"/>
  <c r="C212" i="213"/>
  <c r="C213" i="213"/>
  <c r="C214" i="213"/>
  <c r="C215" i="213"/>
  <c r="C216" i="213"/>
  <c r="C217" i="213"/>
  <c r="C218" i="213"/>
  <c r="C219" i="213"/>
  <c r="B189" i="213"/>
  <c r="B192" i="213"/>
  <c r="H36" i="192" s="1"/>
  <c r="B194" i="213"/>
  <c r="B197" i="213"/>
  <c r="B199" i="213"/>
  <c r="H43" i="192" s="1"/>
  <c r="B201" i="213"/>
  <c r="B150" i="213"/>
  <c r="B153" i="213"/>
  <c r="B156" i="213"/>
  <c r="B158" i="213"/>
  <c r="B160" i="213"/>
  <c r="B162" i="213"/>
  <c r="B164" i="213"/>
  <c r="B118" i="213"/>
  <c r="B121" i="213"/>
  <c r="B124" i="213"/>
  <c r="B126" i="213"/>
  <c r="B128" i="213"/>
  <c r="B96" i="213"/>
  <c r="B100" i="213"/>
  <c r="B103" i="213"/>
  <c r="B105" i="213"/>
  <c r="B107" i="213"/>
  <c r="B109" i="213"/>
  <c r="H43" i="190" s="1"/>
  <c r="B111" i="213"/>
  <c r="B81" i="213"/>
  <c r="H15" i="189" s="1"/>
  <c r="B84" i="213"/>
  <c r="H54" i="189" s="1"/>
  <c r="B86" i="213"/>
  <c r="B89" i="213"/>
  <c r="H41" i="189" s="1"/>
  <c r="B91" i="213"/>
  <c r="B93" i="213"/>
  <c r="H27" i="189" s="1"/>
  <c r="B64" i="213"/>
  <c r="B68" i="213"/>
  <c r="H38" i="188" s="1"/>
  <c r="B70" i="213"/>
  <c r="B72" i="213"/>
  <c r="H60" i="188" s="1"/>
  <c r="B74" i="213"/>
  <c r="H44" i="188" s="1"/>
  <c r="B43" i="213"/>
  <c r="H31" i="187" s="1"/>
  <c r="B48" i="213"/>
  <c r="H54" i="187" s="1"/>
  <c r="B52" i="213"/>
  <c r="H58" i="187" s="1"/>
  <c r="B56" i="213"/>
  <c r="H44" i="187" s="1"/>
  <c r="B26" i="213"/>
  <c r="B31" i="213"/>
  <c r="B35" i="213"/>
  <c r="H41" i="186" s="1"/>
  <c r="B39" i="213"/>
  <c r="B10" i="213"/>
  <c r="H16" i="185" s="1"/>
  <c r="B14" i="213"/>
  <c r="B18" i="213"/>
  <c r="D186" i="211"/>
  <c r="D187" i="211"/>
  <c r="D188" i="211"/>
  <c r="D189" i="211"/>
  <c r="D190" i="211"/>
  <c r="D191" i="211"/>
  <c r="D192" i="211"/>
  <c r="D193" i="211"/>
  <c r="D194" i="211"/>
  <c r="D195" i="211"/>
  <c r="D196" i="211"/>
  <c r="D197" i="211"/>
  <c r="D198" i="211"/>
  <c r="D199" i="211"/>
  <c r="D200" i="211"/>
  <c r="D201" i="211"/>
  <c r="D150" i="211"/>
  <c r="D151" i="211"/>
  <c r="D152" i="211"/>
  <c r="D153" i="211"/>
  <c r="D154" i="211"/>
  <c r="D155" i="211"/>
  <c r="D156" i="211"/>
  <c r="D157" i="211"/>
  <c r="D158" i="211"/>
  <c r="D159" i="211"/>
  <c r="D160" i="211"/>
  <c r="D161" i="211"/>
  <c r="D162" i="211"/>
  <c r="D163" i="211"/>
  <c r="D164" i="211"/>
  <c r="D165" i="211"/>
  <c r="D96" i="211"/>
  <c r="D97" i="211"/>
  <c r="D98" i="211"/>
  <c r="D99" i="211"/>
  <c r="D100" i="211"/>
  <c r="D101" i="211"/>
  <c r="D102" i="211"/>
  <c r="D103" i="211"/>
  <c r="D104" i="211"/>
  <c r="D105" i="211"/>
  <c r="D106" i="211"/>
  <c r="D107" i="211"/>
  <c r="D108" i="211"/>
  <c r="D109" i="211"/>
  <c r="D110" i="211"/>
  <c r="D111" i="211"/>
  <c r="D78" i="211"/>
  <c r="D79" i="211"/>
  <c r="D80" i="211"/>
  <c r="D81" i="211"/>
  <c r="D82" i="211"/>
  <c r="D83" i="211"/>
  <c r="H71" i="150" s="1"/>
  <c r="D84" i="211"/>
  <c r="D85" i="211"/>
  <c r="D86" i="211"/>
  <c r="D87" i="211"/>
  <c r="D88" i="211"/>
  <c r="D89" i="211"/>
  <c r="D90" i="211"/>
  <c r="D91" i="211"/>
  <c r="H43" i="150" s="1"/>
  <c r="D92" i="211"/>
  <c r="D93" i="211"/>
  <c r="D60" i="211"/>
  <c r="D61" i="211"/>
  <c r="H49" i="149" s="1"/>
  <c r="D62" i="211"/>
  <c r="D63" i="211"/>
  <c r="D64" i="211"/>
  <c r="D65" i="211"/>
  <c r="D66" i="211"/>
  <c r="D67" i="211"/>
  <c r="D68" i="211"/>
  <c r="D69" i="211"/>
  <c r="D70" i="211"/>
  <c r="D71" i="211"/>
  <c r="D72" i="211"/>
  <c r="D73" i="211"/>
  <c r="D74" i="211"/>
  <c r="D75" i="211"/>
  <c r="D42" i="211"/>
  <c r="D43" i="211"/>
  <c r="D44" i="211"/>
  <c r="D45" i="211"/>
  <c r="D46" i="211"/>
  <c r="D47" i="211"/>
  <c r="H53" i="148" s="1"/>
  <c r="D48" i="211"/>
  <c r="D49" i="211"/>
  <c r="D50" i="211"/>
  <c r="D51" i="211"/>
  <c r="D52" i="211"/>
  <c r="D53" i="211"/>
  <c r="D54" i="211"/>
  <c r="D55" i="211"/>
  <c r="H79" i="148" s="1"/>
  <c r="D56" i="211"/>
  <c r="D57" i="211"/>
  <c r="D39" i="211"/>
  <c r="D38" i="211"/>
  <c r="H80" i="147" s="1"/>
  <c r="D37" i="211"/>
  <c r="D36" i="211"/>
  <c r="D35" i="211"/>
  <c r="D34" i="211"/>
  <c r="H76" i="147" s="1"/>
  <c r="D33" i="211"/>
  <c r="D32" i="211"/>
  <c r="D31" i="211"/>
  <c r="D30" i="211"/>
  <c r="D29" i="211"/>
  <c r="D28" i="211"/>
  <c r="H70" i="147" s="1"/>
  <c r="D27" i="211"/>
  <c r="D26" i="211"/>
  <c r="D25" i="211"/>
  <c r="D24" i="211"/>
  <c r="D6" i="211"/>
  <c r="D7" i="211"/>
  <c r="D8" i="211"/>
  <c r="D9" i="211"/>
  <c r="D10" i="211"/>
  <c r="D11" i="211"/>
  <c r="D12" i="211"/>
  <c r="D13" i="211"/>
  <c r="D14" i="211"/>
  <c r="D15" i="211"/>
  <c r="D16" i="211"/>
  <c r="D17" i="211"/>
  <c r="D18" i="211"/>
  <c r="D19" i="211"/>
  <c r="D20" i="211"/>
  <c r="D21" i="211"/>
  <c r="C25" i="134"/>
  <c r="C21" i="134"/>
  <c r="C13" i="134"/>
  <c r="C18" i="134"/>
  <c r="C17" i="134"/>
  <c r="C12" i="134"/>
  <c r="C14" i="134"/>
  <c r="C20" i="134"/>
  <c r="C24" i="134"/>
  <c r="C26" i="134"/>
  <c r="C12" i="159"/>
  <c r="C18" i="159"/>
  <c r="H18" i="159" s="1"/>
  <c r="C20" i="159"/>
  <c r="C22" i="159"/>
  <c r="C26" i="159"/>
  <c r="C16" i="134"/>
  <c r="C22" i="134"/>
  <c r="C64" i="160"/>
  <c r="C46" i="160"/>
  <c r="H46" i="160" s="1"/>
  <c r="C24" i="159"/>
  <c r="C16" i="159"/>
  <c r="G87" i="208" s="1"/>
  <c r="C14" i="159"/>
  <c r="E87" i="208" s="1"/>
  <c r="D33" i="215"/>
  <c r="C28" i="136"/>
  <c r="C46" i="155"/>
  <c r="C64" i="159"/>
  <c r="C64" i="155"/>
  <c r="F34" i="215"/>
  <c r="H28" i="135" s="1"/>
  <c r="D206" i="213"/>
  <c r="H51" i="175"/>
  <c r="H15" i="175"/>
  <c r="H33" i="175"/>
  <c r="H34" i="175"/>
  <c r="H52" i="175"/>
  <c r="H16" i="175"/>
  <c r="H53" i="175"/>
  <c r="H17" i="175"/>
  <c r="H35" i="175"/>
  <c r="H37" i="175"/>
  <c r="H55" i="175"/>
  <c r="H19" i="175"/>
  <c r="H42" i="175"/>
  <c r="H24" i="175"/>
  <c r="H60" i="175"/>
  <c r="H45" i="175"/>
  <c r="H63" i="175"/>
  <c r="H27" i="175"/>
  <c r="H48" i="176"/>
  <c r="H30" i="176"/>
  <c r="H12" i="176"/>
  <c r="H13" i="176"/>
  <c r="H49" i="176"/>
  <c r="H31" i="176"/>
  <c r="H50" i="176"/>
  <c r="H32" i="176"/>
  <c r="H14" i="176"/>
  <c r="B80" i="213"/>
  <c r="H51" i="177"/>
  <c r="H33" i="177"/>
  <c r="H15" i="177"/>
  <c r="H16" i="177"/>
  <c r="H52" i="177"/>
  <c r="H34" i="177"/>
  <c r="H53" i="177"/>
  <c r="H35" i="177"/>
  <c r="H17" i="177"/>
  <c r="H19" i="177"/>
  <c r="H55" i="177"/>
  <c r="H37" i="177"/>
  <c r="H60" i="177"/>
  <c r="H42" i="177"/>
  <c r="H24" i="177"/>
  <c r="H27" i="177"/>
  <c r="H63" i="177"/>
  <c r="H45" i="177"/>
  <c r="H60" i="178"/>
  <c r="B116" i="213"/>
  <c r="H60" i="183"/>
  <c r="H42" i="183"/>
  <c r="H24" i="183"/>
  <c r="B152" i="213"/>
  <c r="H52" i="180"/>
  <c r="H31" i="181"/>
  <c r="H39" i="181"/>
  <c r="H62" i="181"/>
  <c r="O99" i="208"/>
  <c r="C99" i="208"/>
  <c r="C204" i="213"/>
  <c r="H30" i="206" s="1"/>
  <c r="H48" i="194"/>
  <c r="H30" i="194"/>
  <c r="C205" i="213"/>
  <c r="H49" i="194"/>
  <c r="H31" i="194"/>
  <c r="H13" i="194"/>
  <c r="C206" i="213"/>
  <c r="H50" i="194"/>
  <c r="H32" i="194"/>
  <c r="B9" i="213"/>
  <c r="H51" i="194"/>
  <c r="H33" i="194"/>
  <c r="H52" i="194"/>
  <c r="H34" i="194"/>
  <c r="B11" i="213"/>
  <c r="H53" i="194"/>
  <c r="H35" i="194"/>
  <c r="H54" i="194"/>
  <c r="H36" i="194"/>
  <c r="B13" i="213"/>
  <c r="H55" i="185" s="1"/>
  <c r="H55" i="194"/>
  <c r="H37" i="194"/>
  <c r="H56" i="194"/>
  <c r="H38" i="194"/>
  <c r="B15" i="213"/>
  <c r="H57" i="194"/>
  <c r="H39" i="194"/>
  <c r="H58" i="194"/>
  <c r="H40" i="194"/>
  <c r="H22" i="194"/>
  <c r="B17" i="213"/>
  <c r="H59" i="185" s="1"/>
  <c r="H59" i="194"/>
  <c r="H41" i="194"/>
  <c r="H60" i="194"/>
  <c r="H42" i="194"/>
  <c r="H24" i="194"/>
  <c r="B19" i="213"/>
  <c r="H43" i="185" s="1"/>
  <c r="H61" i="194"/>
  <c r="H43" i="194"/>
  <c r="H25" i="194"/>
  <c r="H62" i="194"/>
  <c r="H44" i="194"/>
  <c r="B21" i="213"/>
  <c r="H63" i="194"/>
  <c r="H45" i="194"/>
  <c r="B24" i="213"/>
  <c r="H48" i="195"/>
  <c r="H30" i="195"/>
  <c r="H12" i="195"/>
  <c r="H13" i="195"/>
  <c r="H49" i="195"/>
  <c r="H31" i="195"/>
  <c r="H50" i="195"/>
  <c r="H32" i="195"/>
  <c r="H51" i="195"/>
  <c r="H33" i="195"/>
  <c r="B28" i="213"/>
  <c r="H16" i="186" s="1"/>
  <c r="H52" i="195"/>
  <c r="H34" i="195"/>
  <c r="H16" i="195"/>
  <c r="H17" i="195"/>
  <c r="H53" i="195"/>
  <c r="H35" i="195"/>
  <c r="B30" i="213"/>
  <c r="H54" i="195"/>
  <c r="H36" i="195"/>
  <c r="H55" i="195"/>
  <c r="H37" i="195"/>
  <c r="H19" i="195"/>
  <c r="B32" i="213"/>
  <c r="H56" i="186" s="1"/>
  <c r="H56" i="195"/>
  <c r="H38" i="195"/>
  <c r="H20" i="195"/>
  <c r="H57" i="195"/>
  <c r="H39" i="195"/>
  <c r="H21" i="195"/>
  <c r="B34" i="213"/>
  <c r="H58" i="195"/>
  <c r="H40" i="195"/>
  <c r="H22" i="195"/>
  <c r="H59" i="195"/>
  <c r="H41" i="195"/>
  <c r="H23" i="195"/>
  <c r="B36" i="213"/>
  <c r="H60" i="195"/>
  <c r="H42" i="195"/>
  <c r="H24" i="195"/>
  <c r="H61" i="195"/>
  <c r="H43" i="195"/>
  <c r="H25" i="195"/>
  <c r="B38" i="213"/>
  <c r="H62" i="195"/>
  <c r="H44" i="195"/>
  <c r="H26" i="195"/>
  <c r="H63" i="195"/>
  <c r="H45" i="195"/>
  <c r="H27" i="195"/>
  <c r="B42" i="213"/>
  <c r="H30" i="187" s="1"/>
  <c r="H48" i="196"/>
  <c r="H30" i="196"/>
  <c r="H49" i="196"/>
  <c r="H31" i="196"/>
  <c r="H50" i="196"/>
  <c r="H32" i="196"/>
  <c r="B45" i="213"/>
  <c r="H51" i="187" s="1"/>
  <c r="H51" i="196"/>
  <c r="H33" i="196"/>
  <c r="H15" i="196"/>
  <c r="H16" i="196"/>
  <c r="H52" i="196"/>
  <c r="H34" i="196"/>
  <c r="B47" i="213"/>
  <c r="H53" i="196"/>
  <c r="H35" i="196"/>
  <c r="H17" i="196"/>
  <c r="H54" i="196"/>
  <c r="H36" i="196"/>
  <c r="B49" i="213"/>
  <c r="H55" i="196"/>
  <c r="H37" i="196"/>
  <c r="H19" i="196"/>
  <c r="H56" i="196"/>
  <c r="H38" i="196"/>
  <c r="B51" i="213"/>
  <c r="H57" i="187" s="1"/>
  <c r="H57" i="196"/>
  <c r="H39" i="196"/>
  <c r="H58" i="196"/>
  <c r="H40" i="196"/>
  <c r="B53" i="213"/>
  <c r="H59" i="196"/>
  <c r="H41" i="196"/>
  <c r="H60" i="196"/>
  <c r="H42" i="196"/>
  <c r="H24" i="196"/>
  <c r="B55" i="213"/>
  <c r="H61" i="196"/>
  <c r="H43" i="196"/>
  <c r="H25" i="196"/>
  <c r="H62" i="196"/>
  <c r="H44" i="196"/>
  <c r="H26" i="196"/>
  <c r="B57" i="213"/>
  <c r="H63" i="187" s="1"/>
  <c r="H63" i="196"/>
  <c r="H45" i="196"/>
  <c r="H27" i="196"/>
  <c r="B60" i="213"/>
  <c r="H48" i="197"/>
  <c r="H30" i="197"/>
  <c r="H12" i="197"/>
  <c r="H49" i="197"/>
  <c r="H31" i="197"/>
  <c r="H13" i="197"/>
  <c r="H50" i="197"/>
  <c r="H32" i="197"/>
  <c r="H14" i="197"/>
  <c r="B63" i="213"/>
  <c r="H33" i="188" s="1"/>
  <c r="H51" i="197"/>
  <c r="H33" i="197"/>
  <c r="H52" i="197"/>
  <c r="H34" i="197"/>
  <c r="B65" i="213"/>
  <c r="H35" i="188" s="1"/>
  <c r="H53" i="197"/>
  <c r="H35" i="197"/>
  <c r="H18" i="197"/>
  <c r="H54" i="197"/>
  <c r="H36" i="197"/>
  <c r="B67" i="213"/>
  <c r="H37" i="188" s="1"/>
  <c r="H55" i="197"/>
  <c r="H37" i="197"/>
  <c r="H56" i="197"/>
  <c r="H38" i="197"/>
  <c r="H57" i="197"/>
  <c r="H39" i="197"/>
  <c r="H58" i="197"/>
  <c r="H40" i="197"/>
  <c r="H59" i="197"/>
  <c r="H41" i="197"/>
  <c r="H60" i="197"/>
  <c r="H42" i="197"/>
  <c r="H61" i="197"/>
  <c r="H43" i="197"/>
  <c r="H62" i="197"/>
  <c r="H44" i="197"/>
  <c r="H63" i="197"/>
  <c r="H45" i="197"/>
  <c r="H48" i="198"/>
  <c r="H30" i="198"/>
  <c r="H49" i="198"/>
  <c r="H31" i="198"/>
  <c r="H50" i="198"/>
  <c r="H32" i="198"/>
  <c r="H14" i="198"/>
  <c r="H51" i="198"/>
  <c r="H33" i="198"/>
  <c r="H15" i="198"/>
  <c r="H52" i="198"/>
  <c r="H34" i="198"/>
  <c r="H16" i="198"/>
  <c r="H53" i="198"/>
  <c r="H35" i="198"/>
  <c r="H17" i="198"/>
  <c r="H54" i="198"/>
  <c r="H36" i="198"/>
  <c r="H55" i="198"/>
  <c r="H37" i="198"/>
  <c r="H19" i="198"/>
  <c r="H56" i="198"/>
  <c r="H38" i="198"/>
  <c r="H57" i="198"/>
  <c r="H39" i="198"/>
  <c r="H58" i="198"/>
  <c r="H40" i="198"/>
  <c r="H59" i="198"/>
  <c r="H41" i="198"/>
  <c r="H24" i="198"/>
  <c r="H60" i="198"/>
  <c r="H42" i="198"/>
  <c r="H61" i="198"/>
  <c r="H43" i="198"/>
  <c r="H25" i="198"/>
  <c r="H62" i="198"/>
  <c r="H44" i="198"/>
  <c r="H63" i="198"/>
  <c r="H45" i="198"/>
  <c r="H27" i="198"/>
  <c r="H48" i="199"/>
  <c r="H30" i="199"/>
  <c r="H49" i="199"/>
  <c r="H31" i="199"/>
  <c r="H50" i="199"/>
  <c r="H32" i="199"/>
  <c r="H51" i="199"/>
  <c r="H33" i="199"/>
  <c r="H52" i="199"/>
  <c r="H34" i="199"/>
  <c r="H53" i="199"/>
  <c r="H35" i="199"/>
  <c r="H54" i="199"/>
  <c r="H36" i="199"/>
  <c r="H55" i="199"/>
  <c r="H37" i="199"/>
  <c r="H56" i="199"/>
  <c r="H38" i="199"/>
  <c r="H20" i="199"/>
  <c r="H57" i="199"/>
  <c r="H39" i="199"/>
  <c r="H58" i="199"/>
  <c r="H40" i="199"/>
  <c r="H59" i="199"/>
  <c r="H41" i="199"/>
  <c r="H60" i="199"/>
  <c r="H42" i="199"/>
  <c r="H61" i="199"/>
  <c r="H43" i="199"/>
  <c r="H62" i="199"/>
  <c r="H44" i="199"/>
  <c r="H63" i="199"/>
  <c r="H45" i="199"/>
  <c r="H48" i="200"/>
  <c r="H30" i="200"/>
  <c r="H13" i="200"/>
  <c r="H49" i="200"/>
  <c r="H31" i="200"/>
  <c r="H50" i="200"/>
  <c r="H32" i="200"/>
  <c r="H51" i="200"/>
  <c r="H33" i="200"/>
  <c r="H52" i="200"/>
  <c r="H34" i="200"/>
  <c r="H53" i="200"/>
  <c r="H35" i="200"/>
  <c r="H54" i="200"/>
  <c r="H36" i="200"/>
  <c r="H55" i="200"/>
  <c r="H37" i="200"/>
  <c r="H56" i="200"/>
  <c r="H38" i="200"/>
  <c r="H57" i="200"/>
  <c r="H39" i="200"/>
  <c r="H58" i="200"/>
  <c r="H40" i="200"/>
  <c r="H59" i="200"/>
  <c r="H41" i="200"/>
  <c r="H60" i="200"/>
  <c r="H42" i="200"/>
  <c r="H24" i="200"/>
  <c r="H61" i="200"/>
  <c r="H43" i="200"/>
  <c r="H62" i="200"/>
  <c r="H44" i="200"/>
  <c r="H63" i="200"/>
  <c r="H45" i="200"/>
  <c r="H48" i="202"/>
  <c r="H30" i="202"/>
  <c r="H49" i="202"/>
  <c r="H31" i="202"/>
  <c r="H50" i="202"/>
  <c r="H32" i="202"/>
  <c r="H51" i="202"/>
  <c r="H33" i="202"/>
  <c r="H52" i="202"/>
  <c r="H34" i="202"/>
  <c r="H53" i="202"/>
  <c r="H35" i="202"/>
  <c r="H54" i="202"/>
  <c r="H36" i="202"/>
  <c r="H55" i="202"/>
  <c r="H37" i="202"/>
  <c r="H56" i="202"/>
  <c r="H38" i="202"/>
  <c r="H57" i="202"/>
  <c r="H39" i="202"/>
  <c r="H58" i="202"/>
  <c r="H40" i="202"/>
  <c r="H22" i="202"/>
  <c r="H59" i="202"/>
  <c r="H41" i="202"/>
  <c r="H60" i="202"/>
  <c r="H42" i="202"/>
  <c r="H61" i="202"/>
  <c r="H43" i="202"/>
  <c r="H62" i="202"/>
  <c r="H44" i="202"/>
  <c r="H63" i="202"/>
  <c r="H45" i="202"/>
  <c r="H48" i="203"/>
  <c r="H30" i="203"/>
  <c r="H49" i="203"/>
  <c r="H31" i="203"/>
  <c r="H50" i="203"/>
  <c r="H32" i="203"/>
  <c r="H51" i="203"/>
  <c r="H33" i="203"/>
  <c r="H52" i="203"/>
  <c r="H34" i="203"/>
  <c r="H53" i="203"/>
  <c r="H35" i="203"/>
  <c r="H54" i="203"/>
  <c r="H36" i="203"/>
  <c r="H55" i="203"/>
  <c r="H37" i="203"/>
  <c r="H56" i="203"/>
  <c r="H38" i="203"/>
  <c r="H57" i="203"/>
  <c r="H39" i="203"/>
  <c r="H21" i="203"/>
  <c r="H58" i="203"/>
  <c r="H40" i="203"/>
  <c r="H59" i="203"/>
  <c r="H41" i="203"/>
  <c r="H60" i="203"/>
  <c r="H42" i="203"/>
  <c r="H61" i="203"/>
  <c r="H43" i="203"/>
  <c r="H25" i="203"/>
  <c r="H62" i="203"/>
  <c r="H44" i="203"/>
  <c r="H63" i="203"/>
  <c r="H45" i="203"/>
  <c r="R99" i="208"/>
  <c r="J99" i="208"/>
  <c r="H30" i="192"/>
  <c r="H48" i="192"/>
  <c r="B44" i="213"/>
  <c r="H16" i="157"/>
  <c r="H66" i="155"/>
  <c r="C66" i="146"/>
  <c r="H68" i="155"/>
  <c r="C68" i="146"/>
  <c r="H70" i="155"/>
  <c r="C70" i="146"/>
  <c r="H72" i="155"/>
  <c r="C72" i="146"/>
  <c r="H74" i="155"/>
  <c r="C74" i="146"/>
  <c r="H76" i="155"/>
  <c r="C76" i="146"/>
  <c r="H78" i="155"/>
  <c r="C78" i="146"/>
  <c r="H80" i="155"/>
  <c r="C80" i="146"/>
  <c r="H48" i="155"/>
  <c r="C48" i="146"/>
  <c r="H50" i="155"/>
  <c r="C50" i="146"/>
  <c r="H52" i="155"/>
  <c r="C52" i="146"/>
  <c r="H54" i="155"/>
  <c r="C54" i="146"/>
  <c r="H56" i="155"/>
  <c r="C56" i="146"/>
  <c r="H58" i="155"/>
  <c r="C58" i="146"/>
  <c r="H60" i="155"/>
  <c r="C60" i="146"/>
  <c r="H62" i="155"/>
  <c r="C62" i="146"/>
  <c r="H30" i="155"/>
  <c r="C30" i="146"/>
  <c r="C12" i="146" s="1"/>
  <c r="H32" i="155"/>
  <c r="C32" i="146"/>
  <c r="H34" i="155"/>
  <c r="C34" i="146"/>
  <c r="C16" i="146" s="1"/>
  <c r="G77" i="208" s="1"/>
  <c r="H36" i="155"/>
  <c r="C36" i="146"/>
  <c r="C18" i="146" s="1"/>
  <c r="H38" i="155"/>
  <c r="C38" i="146"/>
  <c r="C20" i="146" s="1"/>
  <c r="K77" i="208" s="1"/>
  <c r="H40" i="155"/>
  <c r="C40" i="146"/>
  <c r="C22" i="146" s="1"/>
  <c r="H42" i="155"/>
  <c r="C42" i="146"/>
  <c r="C24" i="146" s="1"/>
  <c r="H44" i="155"/>
  <c r="C44" i="146"/>
  <c r="H66" i="162"/>
  <c r="C66" i="154"/>
  <c r="H68" i="162"/>
  <c r="C68" i="154"/>
  <c r="H70" i="162"/>
  <c r="C70" i="154"/>
  <c r="H72" i="162"/>
  <c r="C72" i="154"/>
  <c r="H74" i="162"/>
  <c r="C74" i="154"/>
  <c r="H76" i="162"/>
  <c r="C76" i="154"/>
  <c r="H78" i="162"/>
  <c r="C78" i="154"/>
  <c r="H80" i="162"/>
  <c r="C80" i="154"/>
  <c r="H48" i="162"/>
  <c r="C48" i="154"/>
  <c r="H50" i="162"/>
  <c r="C50" i="154"/>
  <c r="H52" i="162"/>
  <c r="C52" i="154"/>
  <c r="H54" i="162"/>
  <c r="C54" i="154"/>
  <c r="H56" i="162"/>
  <c r="C56" i="154"/>
  <c r="H58" i="162"/>
  <c r="C58" i="154"/>
  <c r="H60" i="162"/>
  <c r="C60" i="154"/>
  <c r="H62" i="162"/>
  <c r="C62" i="154"/>
  <c r="H30" i="162"/>
  <c r="C30" i="154"/>
  <c r="H32" i="162"/>
  <c r="C32" i="154"/>
  <c r="C14" i="154" s="1"/>
  <c r="H34" i="162"/>
  <c r="C34" i="154"/>
  <c r="C16" i="154" s="1"/>
  <c r="G101" i="208" s="1"/>
  <c r="H36" i="162"/>
  <c r="C36" i="154"/>
  <c r="C18" i="154" s="1"/>
  <c r="I101" i="208" s="1"/>
  <c r="H38" i="162"/>
  <c r="C38" i="154"/>
  <c r="C20" i="154" s="1"/>
  <c r="H40" i="162"/>
  <c r="C40" i="154"/>
  <c r="C22" i="154" s="1"/>
  <c r="M101" i="208" s="1"/>
  <c r="H42" i="162"/>
  <c r="C42" i="154"/>
  <c r="C24" i="154" s="1"/>
  <c r="H44" i="162"/>
  <c r="C44" i="154"/>
  <c r="C26" i="154" s="1"/>
  <c r="Q101" i="208" s="1"/>
  <c r="C66" i="152"/>
  <c r="H66" i="152" s="1"/>
  <c r="C68" i="152"/>
  <c r="H68" i="152" s="1"/>
  <c r="C70" i="152"/>
  <c r="H70" i="152" s="1"/>
  <c r="C72" i="152"/>
  <c r="C74" i="152"/>
  <c r="C76" i="152"/>
  <c r="H76" i="152" s="1"/>
  <c r="C80" i="152"/>
  <c r="H80" i="152" s="1"/>
  <c r="C48" i="152"/>
  <c r="H48" i="152" s="1"/>
  <c r="C50" i="152"/>
  <c r="H50" i="152" s="1"/>
  <c r="C52" i="152"/>
  <c r="H52" i="152" s="1"/>
  <c r="C54" i="152"/>
  <c r="H54" i="152" s="1"/>
  <c r="C56" i="152"/>
  <c r="C58" i="152"/>
  <c r="H58" i="152" s="1"/>
  <c r="C62" i="152"/>
  <c r="H62" i="152" s="1"/>
  <c r="C30" i="152"/>
  <c r="H30" i="152" s="1"/>
  <c r="C32" i="152"/>
  <c r="C34" i="152"/>
  <c r="H34" i="152" s="1"/>
  <c r="C36" i="152"/>
  <c r="C38" i="152"/>
  <c r="C40" i="152"/>
  <c r="C44" i="152"/>
  <c r="H44" i="152" s="1"/>
  <c r="H66" i="160"/>
  <c r="C66" i="151"/>
  <c r="H68" i="160"/>
  <c r="C68" i="151"/>
  <c r="H70" i="160"/>
  <c r="C70" i="151"/>
  <c r="H72" i="160"/>
  <c r="C72" i="151"/>
  <c r="H74" i="160"/>
  <c r="C74" i="151"/>
  <c r="H76" i="160"/>
  <c r="C76" i="151"/>
  <c r="H78" i="160"/>
  <c r="C78" i="151"/>
  <c r="H80" i="160"/>
  <c r="C80" i="151"/>
  <c r="H48" i="160"/>
  <c r="C48" i="151"/>
  <c r="H50" i="160"/>
  <c r="C50" i="151"/>
  <c r="H52" i="160"/>
  <c r="C52" i="151"/>
  <c r="H54" i="160"/>
  <c r="C54" i="151"/>
  <c r="H56" i="160"/>
  <c r="C56" i="151"/>
  <c r="H58" i="160"/>
  <c r="C58" i="151"/>
  <c r="H60" i="160"/>
  <c r="C60" i="151"/>
  <c r="H62" i="160"/>
  <c r="C62" i="151"/>
  <c r="H30" i="160"/>
  <c r="C30" i="151"/>
  <c r="H32" i="160"/>
  <c r="C32" i="151"/>
  <c r="H34" i="160"/>
  <c r="C34" i="151"/>
  <c r="H36" i="160"/>
  <c r="C36" i="151"/>
  <c r="H38" i="160"/>
  <c r="C38" i="151"/>
  <c r="H40" i="160"/>
  <c r="C40" i="151"/>
  <c r="H42" i="160"/>
  <c r="C42" i="151"/>
  <c r="H44" i="160"/>
  <c r="C44" i="151"/>
  <c r="H66" i="159"/>
  <c r="C66" i="150"/>
  <c r="H72" i="159"/>
  <c r="C72" i="150"/>
  <c r="H74" i="159"/>
  <c r="C74" i="150"/>
  <c r="H76" i="159"/>
  <c r="C76" i="150"/>
  <c r="H80" i="159"/>
  <c r="C80" i="150"/>
  <c r="H48" i="159"/>
  <c r="C48" i="150"/>
  <c r="H54" i="159"/>
  <c r="C54" i="150"/>
  <c r="H56" i="159"/>
  <c r="C56" i="150"/>
  <c r="H58" i="159"/>
  <c r="C58" i="150"/>
  <c r="H62" i="159"/>
  <c r="C62" i="150"/>
  <c r="H30" i="159"/>
  <c r="C30" i="150"/>
  <c r="H36" i="159"/>
  <c r="C36" i="150"/>
  <c r="H38" i="159"/>
  <c r="C38" i="150"/>
  <c r="H40" i="159"/>
  <c r="C40" i="150"/>
  <c r="H44" i="159"/>
  <c r="C44" i="150"/>
  <c r="H70" i="158"/>
  <c r="C70" i="149"/>
  <c r="H72" i="158"/>
  <c r="C72" i="149"/>
  <c r="H74" i="158"/>
  <c r="C74" i="149"/>
  <c r="H76" i="158"/>
  <c r="C76" i="149"/>
  <c r="H78" i="158"/>
  <c r="C78" i="149"/>
  <c r="H80" i="158"/>
  <c r="C80" i="149"/>
  <c r="H52" i="158"/>
  <c r="C52" i="149"/>
  <c r="H54" i="158"/>
  <c r="C54" i="149"/>
  <c r="H56" i="158"/>
  <c r="C56" i="149"/>
  <c r="H58" i="158"/>
  <c r="C58" i="149"/>
  <c r="H60" i="158"/>
  <c r="C60" i="149"/>
  <c r="H62" i="158"/>
  <c r="C62" i="149"/>
  <c r="H34" i="158"/>
  <c r="C34" i="149"/>
  <c r="H36" i="158"/>
  <c r="C36" i="149"/>
  <c r="H38" i="158"/>
  <c r="C38" i="149"/>
  <c r="H40" i="158"/>
  <c r="C40" i="149"/>
  <c r="H42" i="158"/>
  <c r="C42" i="149"/>
  <c r="H44" i="158"/>
  <c r="C44" i="149"/>
  <c r="H66" i="157"/>
  <c r="C66" i="148"/>
  <c r="H70" i="157"/>
  <c r="C70" i="148"/>
  <c r="H72" i="157"/>
  <c r="C72" i="148"/>
  <c r="H74" i="157"/>
  <c r="C74" i="148"/>
  <c r="H76" i="157"/>
  <c r="C76" i="148"/>
  <c r="H80" i="157"/>
  <c r="C80" i="148"/>
  <c r="H48" i="157"/>
  <c r="C48" i="148"/>
  <c r="H52" i="157"/>
  <c r="C52" i="148"/>
  <c r="H54" i="157"/>
  <c r="C54" i="148"/>
  <c r="H56" i="157"/>
  <c r="C56" i="148"/>
  <c r="H58" i="157"/>
  <c r="C58" i="148"/>
  <c r="H62" i="157"/>
  <c r="C62" i="148"/>
  <c r="H30" i="157"/>
  <c r="C30" i="148"/>
  <c r="H34" i="157"/>
  <c r="C34" i="148"/>
  <c r="C16" i="148" s="1"/>
  <c r="G83" i="208" s="1"/>
  <c r="H36" i="157"/>
  <c r="C36" i="148"/>
  <c r="C18" i="148" s="1"/>
  <c r="H38" i="157"/>
  <c r="C38" i="148"/>
  <c r="C20" i="148" s="1"/>
  <c r="H40" i="157"/>
  <c r="C40" i="148"/>
  <c r="C22" i="148" s="1"/>
  <c r="M83" i="208" s="1"/>
  <c r="H44" i="157"/>
  <c r="C44" i="148"/>
  <c r="H66" i="156"/>
  <c r="C66" i="147"/>
  <c r="H68" i="156"/>
  <c r="C68" i="147"/>
  <c r="H72" i="156"/>
  <c r="C72" i="147"/>
  <c r="H48" i="156"/>
  <c r="C48" i="147"/>
  <c r="H50" i="156"/>
  <c r="C50" i="147"/>
  <c r="H54" i="156"/>
  <c r="C54" i="147"/>
  <c r="H30" i="156"/>
  <c r="C30" i="147"/>
  <c r="H32" i="156"/>
  <c r="C32" i="147"/>
  <c r="H36" i="156"/>
  <c r="C36" i="147"/>
  <c r="C15" i="134"/>
  <c r="C19" i="134"/>
  <c r="C27" i="134"/>
  <c r="B78" i="213"/>
  <c r="H67" i="155"/>
  <c r="C67" i="146"/>
  <c r="H69" i="155"/>
  <c r="C69" i="146"/>
  <c r="H71" i="155"/>
  <c r="C71" i="146"/>
  <c r="H73" i="155"/>
  <c r="C73" i="146"/>
  <c r="H75" i="155"/>
  <c r="C75" i="146"/>
  <c r="H79" i="155"/>
  <c r="C79" i="146"/>
  <c r="H81" i="155"/>
  <c r="C81" i="146"/>
  <c r="H49" i="155"/>
  <c r="C49" i="146"/>
  <c r="H51" i="155"/>
  <c r="C51" i="146"/>
  <c r="H53" i="155"/>
  <c r="C53" i="146"/>
  <c r="H55" i="155"/>
  <c r="C55" i="146"/>
  <c r="H57" i="155"/>
  <c r="C57" i="146"/>
  <c r="H61" i="155"/>
  <c r="C61" i="146"/>
  <c r="H63" i="155"/>
  <c r="C63" i="146"/>
  <c r="H31" i="155"/>
  <c r="C31" i="146"/>
  <c r="H33" i="155"/>
  <c r="C33" i="146"/>
  <c r="H35" i="155"/>
  <c r="C35" i="146"/>
  <c r="C17" i="146" s="1"/>
  <c r="H77" i="208" s="1"/>
  <c r="H37" i="155"/>
  <c r="C37" i="146"/>
  <c r="H39" i="155"/>
  <c r="C39" i="146"/>
  <c r="C21" i="146" s="1"/>
  <c r="H43" i="155"/>
  <c r="C43" i="146"/>
  <c r="H45" i="155"/>
  <c r="C45" i="146"/>
  <c r="C27" i="146" s="1"/>
  <c r="H67" i="162"/>
  <c r="C67" i="154"/>
  <c r="H69" i="162"/>
  <c r="C69" i="154"/>
  <c r="H71" i="162"/>
  <c r="C71" i="154"/>
  <c r="H73" i="162"/>
  <c r="C73" i="154"/>
  <c r="H75" i="162"/>
  <c r="C75" i="154"/>
  <c r="H79" i="162"/>
  <c r="C79" i="154"/>
  <c r="H81" i="162"/>
  <c r="C81" i="154"/>
  <c r="H49" i="162"/>
  <c r="C49" i="154"/>
  <c r="H51" i="162"/>
  <c r="C51" i="154"/>
  <c r="H53" i="162"/>
  <c r="C53" i="154"/>
  <c r="H55" i="162"/>
  <c r="C55" i="154"/>
  <c r="H57" i="162"/>
  <c r="C57" i="154"/>
  <c r="H61" i="162"/>
  <c r="C61" i="154"/>
  <c r="H63" i="162"/>
  <c r="C63" i="154"/>
  <c r="H31" i="162"/>
  <c r="C31" i="154"/>
  <c r="H33" i="162"/>
  <c r="C33" i="154"/>
  <c r="C15" i="154" s="1"/>
  <c r="F101" i="208" s="1"/>
  <c r="H35" i="162"/>
  <c r="C35" i="154"/>
  <c r="H37" i="162"/>
  <c r="C37" i="154"/>
  <c r="C19" i="154" s="1"/>
  <c r="H39" i="162"/>
  <c r="C39" i="154"/>
  <c r="H43" i="162"/>
  <c r="C43" i="154"/>
  <c r="C25" i="154" s="1"/>
  <c r="H45" i="162"/>
  <c r="C45" i="154"/>
  <c r="C67" i="152"/>
  <c r="H67" i="152" s="1"/>
  <c r="C69" i="152"/>
  <c r="H69" i="152" s="1"/>
  <c r="C71" i="152"/>
  <c r="H71" i="152" s="1"/>
  <c r="C73" i="152"/>
  <c r="H73" i="152" s="1"/>
  <c r="C75" i="152"/>
  <c r="H75" i="152" s="1"/>
  <c r="C79" i="152"/>
  <c r="C81" i="152"/>
  <c r="H81" i="152" s="1"/>
  <c r="C49" i="152"/>
  <c r="H49" i="152" s="1"/>
  <c r="C51" i="152"/>
  <c r="H51" i="152" s="1"/>
  <c r="C53" i="152"/>
  <c r="H53" i="152" s="1"/>
  <c r="C55" i="152"/>
  <c r="H55" i="152" s="1"/>
  <c r="C57" i="152"/>
  <c r="H57" i="152" s="1"/>
  <c r="C61" i="152"/>
  <c r="C63" i="152"/>
  <c r="H63" i="152" s="1"/>
  <c r="C31" i="152"/>
  <c r="H31" i="152" s="1"/>
  <c r="C33" i="152"/>
  <c r="H33" i="152" s="1"/>
  <c r="C35" i="152"/>
  <c r="H35" i="152" s="1"/>
  <c r="C37" i="152"/>
  <c r="H37" i="152" s="1"/>
  <c r="C39" i="152"/>
  <c r="H39" i="152" s="1"/>
  <c r="C43" i="152"/>
  <c r="C45" i="152"/>
  <c r="H45" i="152" s="1"/>
  <c r="H67" i="160"/>
  <c r="C67" i="151"/>
  <c r="H69" i="160"/>
  <c r="C69" i="151"/>
  <c r="H71" i="160"/>
  <c r="C71" i="151"/>
  <c r="H73" i="160"/>
  <c r="C73" i="151"/>
  <c r="H75" i="160"/>
  <c r="C75" i="151"/>
  <c r="H79" i="160"/>
  <c r="C79" i="151"/>
  <c r="H81" i="160"/>
  <c r="C81" i="151"/>
  <c r="H49" i="160"/>
  <c r="C49" i="151"/>
  <c r="H51" i="160"/>
  <c r="C51" i="151"/>
  <c r="H53" i="160"/>
  <c r="C53" i="151"/>
  <c r="H55" i="160"/>
  <c r="C55" i="151"/>
  <c r="H57" i="160"/>
  <c r="C57" i="151"/>
  <c r="H61" i="160"/>
  <c r="C61" i="151"/>
  <c r="H63" i="160"/>
  <c r="C63" i="151"/>
  <c r="H31" i="160"/>
  <c r="C31" i="151"/>
  <c r="H33" i="160"/>
  <c r="C33" i="151"/>
  <c r="H35" i="160"/>
  <c r="C35" i="151"/>
  <c r="H37" i="160"/>
  <c r="C37" i="151"/>
  <c r="H39" i="160"/>
  <c r="C39" i="151"/>
  <c r="H43" i="160"/>
  <c r="C43" i="151"/>
  <c r="H45" i="160"/>
  <c r="C45" i="151"/>
  <c r="H67" i="159"/>
  <c r="C67" i="150"/>
  <c r="H75" i="159"/>
  <c r="C75" i="150"/>
  <c r="H49" i="159"/>
  <c r="C49" i="150"/>
  <c r="H57" i="159"/>
  <c r="C57" i="150"/>
  <c r="H31" i="159"/>
  <c r="C31" i="150"/>
  <c r="C13" i="150" s="1"/>
  <c r="D89" i="208" s="1"/>
  <c r="H39" i="159"/>
  <c r="C39" i="150"/>
  <c r="H69" i="158"/>
  <c r="C69" i="149"/>
  <c r="H71" i="158"/>
  <c r="C71" i="149"/>
  <c r="H73" i="158"/>
  <c r="C73" i="149"/>
  <c r="H75" i="158"/>
  <c r="C75" i="149"/>
  <c r="H79" i="158"/>
  <c r="C79" i="149"/>
  <c r="H81" i="158"/>
  <c r="C81" i="149"/>
  <c r="H51" i="158"/>
  <c r="C51" i="149"/>
  <c r="H53" i="158"/>
  <c r="C53" i="149"/>
  <c r="H55" i="158"/>
  <c r="C55" i="149"/>
  <c r="H57" i="158"/>
  <c r="C57" i="149"/>
  <c r="H61" i="158"/>
  <c r="C61" i="149"/>
  <c r="H63" i="158"/>
  <c r="C63" i="149"/>
  <c r="H33" i="158"/>
  <c r="C33" i="149"/>
  <c r="H35" i="158"/>
  <c r="C35" i="149"/>
  <c r="H37" i="158"/>
  <c r="C37" i="149"/>
  <c r="H39" i="158"/>
  <c r="C39" i="149"/>
  <c r="H43" i="158"/>
  <c r="C43" i="149"/>
  <c r="H45" i="158"/>
  <c r="C45" i="149"/>
  <c r="H67" i="157"/>
  <c r="C67" i="148"/>
  <c r="H75" i="157"/>
  <c r="C75" i="148"/>
  <c r="H49" i="157"/>
  <c r="C49" i="148"/>
  <c r="H57" i="157"/>
  <c r="C57" i="148"/>
  <c r="H31" i="157"/>
  <c r="C31" i="148"/>
  <c r="H39" i="157"/>
  <c r="C39" i="148"/>
  <c r="H67" i="156"/>
  <c r="C67" i="147"/>
  <c r="H69" i="156"/>
  <c r="C69" i="147"/>
  <c r="H71" i="156"/>
  <c r="C71" i="147"/>
  <c r="H49" i="156"/>
  <c r="C49" i="147"/>
  <c r="H51" i="156"/>
  <c r="C51" i="147"/>
  <c r="H53" i="156"/>
  <c r="C53" i="147"/>
  <c r="H31" i="156"/>
  <c r="C31" i="147"/>
  <c r="H33" i="156"/>
  <c r="C33" i="147"/>
  <c r="C15" i="147" s="1"/>
  <c r="F80" i="208" s="1"/>
  <c r="H35" i="156"/>
  <c r="C35" i="147"/>
  <c r="C23" i="134"/>
  <c r="C82" i="159"/>
  <c r="H77" i="155"/>
  <c r="C77" i="146"/>
  <c r="H59" i="155"/>
  <c r="C59" i="146"/>
  <c r="H41" i="155"/>
  <c r="C41" i="146"/>
  <c r="H77" i="162"/>
  <c r="C77" i="154"/>
  <c r="H59" i="162"/>
  <c r="C59" i="154"/>
  <c r="H41" i="162"/>
  <c r="C41" i="154"/>
  <c r="C23" i="154" s="1"/>
  <c r="N101" i="208" s="1"/>
  <c r="C77" i="152"/>
  <c r="H77" i="152" s="1"/>
  <c r="C59" i="152"/>
  <c r="H59" i="152" s="1"/>
  <c r="C41" i="152"/>
  <c r="H77" i="160"/>
  <c r="C77" i="151"/>
  <c r="H59" i="160"/>
  <c r="C59" i="151"/>
  <c r="H41" i="160"/>
  <c r="C41" i="151"/>
  <c r="H77" i="158"/>
  <c r="C77" i="149"/>
  <c r="H59" i="158"/>
  <c r="C59" i="149"/>
  <c r="H41" i="158"/>
  <c r="C41" i="149"/>
  <c r="B7" i="213"/>
  <c r="E33" i="215"/>
  <c r="C12" i="155"/>
  <c r="H12" i="155" s="1"/>
  <c r="C46" i="161"/>
  <c r="H46" i="161" s="1"/>
  <c r="C82" i="161"/>
  <c r="H82" i="161" s="1"/>
  <c r="C46" i="158"/>
  <c r="C64" i="157"/>
  <c r="C46" i="163"/>
  <c r="C64" i="165"/>
  <c r="C46" i="168"/>
  <c r="C64" i="169"/>
  <c r="H64" i="169" s="1"/>
  <c r="C46" i="166"/>
  <c r="C46" i="170"/>
  <c r="C82" i="169"/>
  <c r="H82" i="169" s="1"/>
  <c r="C46" i="169"/>
  <c r="H46" i="169" s="1"/>
  <c r="C46" i="171"/>
  <c r="C46" i="167"/>
  <c r="C46" i="165"/>
  <c r="C64" i="163"/>
  <c r="C64" i="171"/>
  <c r="C64" i="168"/>
  <c r="C64" i="167"/>
  <c r="C64" i="164"/>
  <c r="C82" i="163"/>
  <c r="C82" i="168"/>
  <c r="C82" i="167"/>
  <c r="C82" i="164"/>
  <c r="C64" i="170"/>
  <c r="C64" i="166"/>
  <c r="C82" i="171"/>
  <c r="C82" i="170"/>
  <c r="C82" i="166"/>
  <c r="C46" i="162"/>
  <c r="C64" i="161"/>
  <c r="H64" i="161" s="1"/>
  <c r="C82" i="155"/>
  <c r="C82" i="160"/>
  <c r="H82" i="160" s="1"/>
  <c r="C64" i="162"/>
  <c r="C82" i="162"/>
  <c r="H82" i="162" s="1"/>
  <c r="B187" i="213"/>
  <c r="B115" i="213"/>
  <c r="B97" i="213"/>
  <c r="B79" i="213"/>
  <c r="B61" i="213"/>
  <c r="C28" i="135"/>
  <c r="C46" i="186"/>
  <c r="C46" i="188"/>
  <c r="C46" i="190"/>
  <c r="C46" i="192"/>
  <c r="C30" i="205"/>
  <c r="C31" i="205"/>
  <c r="C31" i="182" s="1"/>
  <c r="C32" i="205"/>
  <c r="C33" i="205"/>
  <c r="C37" i="205"/>
  <c r="C38" i="205"/>
  <c r="C20" i="205" s="1"/>
  <c r="C39" i="205"/>
  <c r="C40" i="205"/>
  <c r="C41" i="205"/>
  <c r="C42" i="205"/>
  <c r="C43" i="205"/>
  <c r="C44" i="205"/>
  <c r="C45" i="205"/>
  <c r="C35" i="205"/>
  <c r="C34" i="205"/>
  <c r="C16" i="205" s="1"/>
  <c r="C36" i="205"/>
  <c r="C46" i="191"/>
  <c r="C46" i="189"/>
  <c r="C46" i="177" s="1"/>
  <c r="C46" i="187"/>
  <c r="C46" i="185"/>
  <c r="C46" i="173" s="1"/>
  <c r="C41" i="208"/>
  <c r="C40" i="208"/>
  <c r="C6" i="208"/>
  <c r="D6" i="208"/>
  <c r="E6" i="208"/>
  <c r="H6" i="208"/>
  <c r="J6" i="208"/>
  <c r="N6" i="208"/>
  <c r="P6" i="208"/>
  <c r="D40" i="208"/>
  <c r="S68" i="208"/>
  <c r="P101" i="208"/>
  <c r="H101" i="208"/>
  <c r="S67" i="208"/>
  <c r="R100" i="208"/>
  <c r="P100" i="208"/>
  <c r="N100" i="208"/>
  <c r="L100" i="208"/>
  <c r="J100" i="208"/>
  <c r="H100" i="208"/>
  <c r="E100" i="208"/>
  <c r="D100" i="208"/>
  <c r="C100" i="208"/>
  <c r="S66" i="208"/>
  <c r="K99" i="208"/>
  <c r="G99" i="208"/>
  <c r="S65" i="208"/>
  <c r="S64" i="208"/>
  <c r="R97" i="208"/>
  <c r="P97" i="208"/>
  <c r="N97" i="208"/>
  <c r="L97" i="208"/>
  <c r="K97" i="208"/>
  <c r="J97" i="208"/>
  <c r="I97" i="208"/>
  <c r="H97" i="208"/>
  <c r="G97" i="208"/>
  <c r="F97" i="208"/>
  <c r="E97" i="208"/>
  <c r="D97" i="208"/>
  <c r="C97" i="208"/>
  <c r="S63" i="208"/>
  <c r="S96" i="208" s="1"/>
  <c r="R96" i="208"/>
  <c r="Q96" i="208"/>
  <c r="P96" i="208"/>
  <c r="O96" i="208"/>
  <c r="N96" i="208"/>
  <c r="M96" i="208"/>
  <c r="L96" i="208"/>
  <c r="K96" i="208"/>
  <c r="J96" i="208"/>
  <c r="I96" i="208"/>
  <c r="H96" i="208"/>
  <c r="G96" i="208"/>
  <c r="F96" i="208"/>
  <c r="E96" i="208"/>
  <c r="D96" i="208"/>
  <c r="C96" i="208"/>
  <c r="S62" i="208"/>
  <c r="O95" i="208"/>
  <c r="M95" i="208"/>
  <c r="I95" i="208"/>
  <c r="S61" i="208"/>
  <c r="R94" i="208"/>
  <c r="Q94" i="208"/>
  <c r="P94" i="208"/>
  <c r="O94" i="208"/>
  <c r="N94" i="208"/>
  <c r="M94" i="208"/>
  <c r="L94" i="208"/>
  <c r="K94" i="208"/>
  <c r="J94" i="208"/>
  <c r="I94" i="208"/>
  <c r="H94" i="208"/>
  <c r="G94" i="208"/>
  <c r="E94" i="208"/>
  <c r="D94" i="208"/>
  <c r="C94" i="208"/>
  <c r="S60" i="208"/>
  <c r="P93" i="208"/>
  <c r="O93" i="208"/>
  <c r="K93" i="208"/>
  <c r="J93" i="208"/>
  <c r="G93" i="208"/>
  <c r="C93" i="208"/>
  <c r="S59" i="208"/>
  <c r="S58" i="208"/>
  <c r="R91" i="208"/>
  <c r="Q91" i="208"/>
  <c r="P91" i="208"/>
  <c r="O91" i="208"/>
  <c r="N91" i="208"/>
  <c r="M91" i="208"/>
  <c r="L91" i="208"/>
  <c r="K91" i="208"/>
  <c r="J91" i="208"/>
  <c r="I91" i="208"/>
  <c r="H91" i="208"/>
  <c r="G91" i="208"/>
  <c r="E91" i="208"/>
  <c r="D91" i="208"/>
  <c r="C91" i="208"/>
  <c r="S57" i="208"/>
  <c r="M90" i="208"/>
  <c r="K90" i="208"/>
  <c r="G90" i="208"/>
  <c r="E90" i="208"/>
  <c r="S56" i="208"/>
  <c r="R89" i="208"/>
  <c r="P89" i="208"/>
  <c r="O89" i="208"/>
  <c r="S55" i="208"/>
  <c r="R88" i="208"/>
  <c r="Q88" i="208"/>
  <c r="P88" i="208"/>
  <c r="O88" i="208"/>
  <c r="N88" i="208"/>
  <c r="M88" i="208"/>
  <c r="L88" i="208"/>
  <c r="K88" i="208"/>
  <c r="J88" i="208"/>
  <c r="I88" i="208"/>
  <c r="H88" i="208"/>
  <c r="G88" i="208"/>
  <c r="E88" i="208"/>
  <c r="D88" i="208"/>
  <c r="C88" i="208"/>
  <c r="S54" i="208"/>
  <c r="R87" i="208"/>
  <c r="Q87" i="208"/>
  <c r="P87" i="208"/>
  <c r="O87" i="208"/>
  <c r="K87" i="208"/>
  <c r="J87" i="208"/>
  <c r="I87" i="208"/>
  <c r="F87" i="208"/>
  <c r="D87" i="208"/>
  <c r="C87" i="208"/>
  <c r="S53" i="208"/>
  <c r="E86" i="208"/>
  <c r="D86" i="208"/>
  <c r="C86" i="208"/>
  <c r="S52" i="208"/>
  <c r="Q85" i="208"/>
  <c r="P85" i="208"/>
  <c r="O85" i="208"/>
  <c r="N85" i="208"/>
  <c r="M85" i="208"/>
  <c r="K85" i="208"/>
  <c r="J85" i="208"/>
  <c r="I85" i="208"/>
  <c r="H85" i="208"/>
  <c r="G85" i="208"/>
  <c r="F85" i="208"/>
  <c r="E85" i="208"/>
  <c r="D85" i="208"/>
  <c r="C85" i="208"/>
  <c r="S51" i="208"/>
  <c r="Q84" i="208"/>
  <c r="P84" i="208"/>
  <c r="M84" i="208"/>
  <c r="J84" i="208"/>
  <c r="F84" i="208"/>
  <c r="E84" i="208"/>
  <c r="D84" i="208"/>
  <c r="C84" i="208"/>
  <c r="S50" i="208"/>
  <c r="R83" i="208"/>
  <c r="P83" i="208"/>
  <c r="O83" i="208"/>
  <c r="K83" i="208"/>
  <c r="F83" i="208"/>
  <c r="S49" i="208"/>
  <c r="R82" i="208"/>
  <c r="Q82" i="208"/>
  <c r="P82" i="208"/>
  <c r="O82" i="208"/>
  <c r="N82" i="208"/>
  <c r="M82" i="208"/>
  <c r="L82" i="208"/>
  <c r="K82" i="208"/>
  <c r="J82" i="208"/>
  <c r="I82" i="208"/>
  <c r="H82" i="208"/>
  <c r="G82" i="208"/>
  <c r="F82" i="208"/>
  <c r="E82" i="208"/>
  <c r="D82" i="208"/>
  <c r="C82" i="208"/>
  <c r="S48" i="208"/>
  <c r="R81" i="208"/>
  <c r="P81" i="208"/>
  <c r="O81" i="208"/>
  <c r="N81" i="208"/>
  <c r="M81" i="208"/>
  <c r="H81" i="208"/>
  <c r="G81" i="208"/>
  <c r="F81" i="208"/>
  <c r="S47" i="208"/>
  <c r="R80" i="208"/>
  <c r="Q80" i="208"/>
  <c r="P80" i="208"/>
  <c r="O80" i="208"/>
  <c r="N80" i="208"/>
  <c r="M80" i="208"/>
  <c r="H80" i="208"/>
  <c r="G80" i="208"/>
  <c r="S46" i="208"/>
  <c r="R79" i="208"/>
  <c r="Q79" i="208"/>
  <c r="P79" i="208"/>
  <c r="O79" i="208"/>
  <c r="N79" i="208"/>
  <c r="M79" i="208"/>
  <c r="L79" i="208"/>
  <c r="K79" i="208"/>
  <c r="J79" i="208"/>
  <c r="I79" i="208"/>
  <c r="H79" i="208"/>
  <c r="G79" i="208"/>
  <c r="F79" i="208"/>
  <c r="E79" i="208"/>
  <c r="D79" i="208"/>
  <c r="C79" i="208"/>
  <c r="S45" i="208"/>
  <c r="R78" i="208"/>
  <c r="Q78" i="208"/>
  <c r="P78" i="208"/>
  <c r="O78" i="208"/>
  <c r="N78" i="208"/>
  <c r="M78" i="208"/>
  <c r="L78" i="208"/>
  <c r="H78" i="208"/>
  <c r="G78" i="208"/>
  <c r="E78" i="208"/>
  <c r="D78" i="208"/>
  <c r="C78" i="208"/>
  <c r="S44" i="208"/>
  <c r="M77" i="208"/>
  <c r="J77" i="208"/>
  <c r="C77" i="208"/>
  <c r="S43" i="208"/>
  <c r="R76" i="208"/>
  <c r="Q76" i="208"/>
  <c r="P76" i="208"/>
  <c r="O76" i="208"/>
  <c r="N76" i="208"/>
  <c r="M76" i="208"/>
  <c r="L76" i="208"/>
  <c r="K76" i="208"/>
  <c r="J76" i="208"/>
  <c r="I76" i="208"/>
  <c r="H76" i="208"/>
  <c r="G76" i="208"/>
  <c r="F76" i="208"/>
  <c r="E76" i="208"/>
  <c r="D76" i="208"/>
  <c r="C76" i="208"/>
  <c r="S42" i="208"/>
  <c r="P75" i="208"/>
  <c r="N75" i="208"/>
  <c r="J75" i="208"/>
  <c r="F75" i="208"/>
  <c r="D75" i="208"/>
  <c r="D41" i="208"/>
  <c r="E41" i="208"/>
  <c r="F41" i="208"/>
  <c r="G41" i="208"/>
  <c r="H41" i="208"/>
  <c r="I41" i="208"/>
  <c r="J41" i="208"/>
  <c r="K41" i="208"/>
  <c r="L41" i="208"/>
  <c r="M41" i="208"/>
  <c r="N41" i="208"/>
  <c r="O41" i="208"/>
  <c r="P41" i="208"/>
  <c r="Q41" i="208"/>
  <c r="R41" i="208"/>
  <c r="E40" i="208"/>
  <c r="F40" i="208"/>
  <c r="G40" i="208"/>
  <c r="H40" i="208"/>
  <c r="I40" i="208"/>
  <c r="J40" i="208"/>
  <c r="K40" i="208"/>
  <c r="L40" i="208"/>
  <c r="M40" i="208"/>
  <c r="N40" i="208"/>
  <c r="O40" i="208"/>
  <c r="P40" i="208"/>
  <c r="Q40" i="208"/>
  <c r="R40" i="208"/>
  <c r="C39" i="208"/>
  <c r="D39" i="208"/>
  <c r="E39" i="208"/>
  <c r="F39" i="208"/>
  <c r="G39" i="208"/>
  <c r="H39" i="208"/>
  <c r="I39" i="208"/>
  <c r="J39" i="208"/>
  <c r="K39" i="208"/>
  <c r="L39" i="208"/>
  <c r="M39" i="208"/>
  <c r="N39" i="208"/>
  <c r="O39" i="208"/>
  <c r="P39" i="208"/>
  <c r="Q39" i="208"/>
  <c r="R39" i="208"/>
  <c r="C40" i="209"/>
  <c r="D40" i="209"/>
  <c r="E40" i="209"/>
  <c r="F40" i="209"/>
  <c r="G40" i="209"/>
  <c r="H40" i="209"/>
  <c r="I40" i="209"/>
  <c r="J40" i="209"/>
  <c r="J73" i="209" s="1"/>
  <c r="K40" i="209"/>
  <c r="L40" i="209"/>
  <c r="M40" i="209"/>
  <c r="N40" i="209"/>
  <c r="O40" i="209"/>
  <c r="P40" i="209"/>
  <c r="P73" i="209" s="1"/>
  <c r="Q40" i="209"/>
  <c r="R40" i="209"/>
  <c r="C41" i="209"/>
  <c r="D41" i="209"/>
  <c r="E41" i="209"/>
  <c r="F41" i="209"/>
  <c r="G41" i="209"/>
  <c r="H41" i="209"/>
  <c r="I41" i="209"/>
  <c r="J41" i="209"/>
  <c r="K41" i="209"/>
  <c r="L41" i="209"/>
  <c r="M41" i="209"/>
  <c r="N41" i="209"/>
  <c r="O41" i="209"/>
  <c r="P41" i="209"/>
  <c r="Q41" i="209"/>
  <c r="R41" i="209"/>
  <c r="C75" i="209"/>
  <c r="E75" i="209"/>
  <c r="G75" i="209"/>
  <c r="I75" i="209"/>
  <c r="M75" i="209"/>
  <c r="Q75" i="209"/>
  <c r="S42" i="209"/>
  <c r="D76" i="209"/>
  <c r="H76" i="209"/>
  <c r="I76" i="209"/>
  <c r="M76" i="209"/>
  <c r="O76" i="209"/>
  <c r="P76" i="209"/>
  <c r="S43" i="209"/>
  <c r="K77" i="209"/>
  <c r="P77" i="209"/>
  <c r="S44" i="209"/>
  <c r="C78" i="209"/>
  <c r="D78" i="209"/>
  <c r="E78" i="209"/>
  <c r="F78" i="209"/>
  <c r="G78" i="209"/>
  <c r="H78" i="209"/>
  <c r="I78" i="209"/>
  <c r="J78" i="209"/>
  <c r="K78" i="209"/>
  <c r="L78" i="209"/>
  <c r="M78" i="209"/>
  <c r="N78" i="209"/>
  <c r="O78" i="209"/>
  <c r="P78" i="209"/>
  <c r="Q78" i="209"/>
  <c r="R78" i="209"/>
  <c r="S45" i="209"/>
  <c r="C79" i="209"/>
  <c r="D79" i="209"/>
  <c r="G79" i="209"/>
  <c r="H79" i="209"/>
  <c r="J79" i="209"/>
  <c r="K79" i="209"/>
  <c r="L79" i="209"/>
  <c r="M79" i="209"/>
  <c r="N79" i="209"/>
  <c r="O79" i="209"/>
  <c r="P79" i="209"/>
  <c r="Q79" i="209"/>
  <c r="R79" i="209"/>
  <c r="S46" i="209"/>
  <c r="G80" i="209"/>
  <c r="J80" i="209"/>
  <c r="K80" i="209"/>
  <c r="L80" i="209"/>
  <c r="M80" i="209"/>
  <c r="N80" i="209"/>
  <c r="O80" i="209"/>
  <c r="P80" i="209"/>
  <c r="Q80" i="209"/>
  <c r="R80" i="209"/>
  <c r="S47" i="209"/>
  <c r="C81" i="209"/>
  <c r="F81" i="209"/>
  <c r="G81" i="209"/>
  <c r="H81" i="209"/>
  <c r="J81" i="209"/>
  <c r="K81" i="209"/>
  <c r="M81" i="209"/>
  <c r="O81" i="209"/>
  <c r="P81" i="209"/>
  <c r="Q81" i="209"/>
  <c r="R81" i="209"/>
  <c r="S48" i="209"/>
  <c r="C82" i="209"/>
  <c r="D82" i="209"/>
  <c r="E82" i="209"/>
  <c r="F82" i="209"/>
  <c r="G82" i="209"/>
  <c r="H82" i="209"/>
  <c r="J82" i="209"/>
  <c r="O82" i="209"/>
  <c r="P82" i="209"/>
  <c r="R82" i="209"/>
  <c r="S49" i="209"/>
  <c r="F83" i="209"/>
  <c r="I83" i="209"/>
  <c r="O83" i="209"/>
  <c r="P83" i="209"/>
  <c r="R83" i="209"/>
  <c r="S50" i="209"/>
  <c r="C84" i="209"/>
  <c r="D84" i="209"/>
  <c r="E84" i="209"/>
  <c r="G84" i="209"/>
  <c r="H84" i="209"/>
  <c r="K84" i="209"/>
  <c r="L84" i="209"/>
  <c r="N84" i="209"/>
  <c r="O84" i="209"/>
  <c r="P84" i="209"/>
  <c r="Q84" i="209"/>
  <c r="R84" i="209"/>
  <c r="S51" i="209"/>
  <c r="S84" i="209" s="1"/>
  <c r="C85" i="209"/>
  <c r="D85" i="209"/>
  <c r="E85" i="209"/>
  <c r="F85" i="209"/>
  <c r="H85" i="209"/>
  <c r="K85" i="209"/>
  <c r="O85" i="209"/>
  <c r="Q85" i="209"/>
  <c r="R85" i="209"/>
  <c r="S52" i="209"/>
  <c r="C86" i="209"/>
  <c r="D86" i="209"/>
  <c r="E86" i="209"/>
  <c r="I86" i="209"/>
  <c r="S53" i="209"/>
  <c r="C87" i="209"/>
  <c r="F87" i="209"/>
  <c r="G87" i="209"/>
  <c r="I87" i="209"/>
  <c r="K87" i="209"/>
  <c r="M87" i="209"/>
  <c r="N87" i="209"/>
  <c r="O87" i="209"/>
  <c r="P87" i="209"/>
  <c r="Q87" i="209"/>
  <c r="R87" i="209"/>
  <c r="S54" i="209"/>
  <c r="E88" i="209"/>
  <c r="F88" i="209"/>
  <c r="G88" i="209"/>
  <c r="H88" i="209"/>
  <c r="J88" i="209"/>
  <c r="O88" i="209"/>
  <c r="P88" i="209"/>
  <c r="R88" i="209"/>
  <c r="S55" i="209"/>
  <c r="H89" i="209"/>
  <c r="J89" i="209"/>
  <c r="O89" i="209"/>
  <c r="P89" i="209"/>
  <c r="R89" i="209"/>
  <c r="S56" i="209"/>
  <c r="C90" i="209"/>
  <c r="D90" i="209"/>
  <c r="E90" i="209"/>
  <c r="G90" i="209"/>
  <c r="H90" i="209"/>
  <c r="K90" i="209"/>
  <c r="L90" i="209"/>
  <c r="M90" i="209"/>
  <c r="P90" i="209"/>
  <c r="S57" i="209"/>
  <c r="E91" i="209"/>
  <c r="F91" i="209"/>
  <c r="G91" i="209"/>
  <c r="K91" i="209"/>
  <c r="M91" i="209"/>
  <c r="O91" i="209"/>
  <c r="S58" i="209"/>
  <c r="I92" i="209"/>
  <c r="P92" i="209"/>
  <c r="S59" i="209"/>
  <c r="K93" i="209"/>
  <c r="O93" i="209"/>
  <c r="Q93" i="209"/>
  <c r="S60" i="209"/>
  <c r="D94" i="209"/>
  <c r="F94" i="209"/>
  <c r="J94" i="209"/>
  <c r="M94" i="209"/>
  <c r="O94" i="209"/>
  <c r="P94" i="209"/>
  <c r="S61" i="209"/>
  <c r="K95" i="209"/>
  <c r="O95" i="209"/>
  <c r="P95" i="209"/>
  <c r="S62" i="209"/>
  <c r="C96" i="209"/>
  <c r="D96" i="209"/>
  <c r="E96" i="209"/>
  <c r="F96" i="209"/>
  <c r="G96" i="209"/>
  <c r="H96" i="209"/>
  <c r="I96" i="209"/>
  <c r="J96" i="209"/>
  <c r="K96" i="209"/>
  <c r="L96" i="209"/>
  <c r="M96" i="209"/>
  <c r="N96" i="209"/>
  <c r="O96" i="209"/>
  <c r="P96" i="209"/>
  <c r="Q96" i="209"/>
  <c r="R96" i="209"/>
  <c r="S63" i="209"/>
  <c r="S96" i="209" s="1"/>
  <c r="C97" i="209"/>
  <c r="D97" i="209"/>
  <c r="G97" i="209"/>
  <c r="M97" i="209"/>
  <c r="S64" i="209"/>
  <c r="I98" i="209"/>
  <c r="S65" i="209"/>
  <c r="D99" i="209"/>
  <c r="E99" i="209"/>
  <c r="F99" i="209"/>
  <c r="G99" i="209"/>
  <c r="H99" i="209"/>
  <c r="I99" i="209"/>
  <c r="J99" i="209"/>
  <c r="M99" i="209"/>
  <c r="O99" i="209"/>
  <c r="Q99" i="209"/>
  <c r="S66" i="209"/>
  <c r="C100" i="209"/>
  <c r="F100" i="209"/>
  <c r="H100" i="209"/>
  <c r="J100" i="209"/>
  <c r="L100" i="209"/>
  <c r="M100" i="209"/>
  <c r="N100" i="209"/>
  <c r="P100" i="209"/>
  <c r="R100" i="209"/>
  <c r="S67" i="209"/>
  <c r="I101" i="209"/>
  <c r="S68" i="209"/>
  <c r="D39" i="209"/>
  <c r="E39" i="209"/>
  <c r="F39" i="209"/>
  <c r="G39" i="209"/>
  <c r="H39" i="209"/>
  <c r="I39" i="209"/>
  <c r="J39" i="209"/>
  <c r="K39" i="209"/>
  <c r="L39" i="209"/>
  <c r="M39" i="209"/>
  <c r="N39" i="209"/>
  <c r="O39" i="209"/>
  <c r="P39" i="209"/>
  <c r="Q39" i="209"/>
  <c r="Q72" i="209" s="1"/>
  <c r="R39" i="209"/>
  <c r="C39" i="209"/>
  <c r="C46" i="183"/>
  <c r="C36" i="182"/>
  <c r="K101" i="208"/>
  <c r="P93" i="209"/>
  <c r="N93" i="209"/>
  <c r="L75" i="209"/>
  <c r="L81" i="209"/>
  <c r="L87" i="209"/>
  <c r="L93" i="209"/>
  <c r="J93" i="209"/>
  <c r="H75" i="209"/>
  <c r="F75" i="209"/>
  <c r="D87" i="209"/>
  <c r="D93" i="209"/>
  <c r="K86" i="209"/>
  <c r="F89" i="209"/>
  <c r="I77" i="208"/>
  <c r="C92" i="209"/>
  <c r="G83" i="209"/>
  <c r="D101" i="208"/>
  <c r="C28" i="185" l="1"/>
  <c r="H41" i="146"/>
  <c r="H31" i="148"/>
  <c r="H57" i="148"/>
  <c r="H49" i="148"/>
  <c r="H75" i="148"/>
  <c r="H67" i="148"/>
  <c r="H63" i="149"/>
  <c r="H57" i="149"/>
  <c r="H55" i="149"/>
  <c r="H53" i="149"/>
  <c r="H51" i="149"/>
  <c r="H81" i="149"/>
  <c r="H75" i="149"/>
  <c r="H73" i="149"/>
  <c r="H71" i="149"/>
  <c r="H69" i="149"/>
  <c r="H39" i="150"/>
  <c r="H57" i="150"/>
  <c r="H49" i="150"/>
  <c r="H75" i="150"/>
  <c r="H67" i="150"/>
  <c r="H45" i="151"/>
  <c r="H35" i="151"/>
  <c r="H33" i="151"/>
  <c r="H31" i="151"/>
  <c r="H63" i="151"/>
  <c r="H57" i="151"/>
  <c r="H55" i="151"/>
  <c r="H53" i="151"/>
  <c r="H51" i="151"/>
  <c r="H49" i="151"/>
  <c r="H81" i="151"/>
  <c r="H75" i="151"/>
  <c r="H73" i="151"/>
  <c r="H71" i="151"/>
  <c r="H69" i="151"/>
  <c r="H67" i="151"/>
  <c r="C34" i="182"/>
  <c r="M73" i="208"/>
  <c r="C28" i="134"/>
  <c r="H63" i="154"/>
  <c r="H61" i="154"/>
  <c r="H57" i="154"/>
  <c r="H55" i="154"/>
  <c r="H53" i="154"/>
  <c r="H51" i="154"/>
  <c r="H49" i="154"/>
  <c r="H81" i="154"/>
  <c r="H75" i="154"/>
  <c r="H73" i="154"/>
  <c r="H71" i="154"/>
  <c r="H69" i="154"/>
  <c r="H67" i="154"/>
  <c r="H33" i="146"/>
  <c r="H31" i="146"/>
  <c r="H63" i="146"/>
  <c r="H57" i="146"/>
  <c r="H55" i="146"/>
  <c r="H53" i="146"/>
  <c r="H51" i="146"/>
  <c r="H49" i="146"/>
  <c r="H81" i="146"/>
  <c r="H75" i="146"/>
  <c r="H73" i="146"/>
  <c r="H71" i="146"/>
  <c r="H69" i="146"/>
  <c r="H67" i="146"/>
  <c r="C27" i="154"/>
  <c r="R101" i="208" s="1"/>
  <c r="C21" i="154"/>
  <c r="L101" i="208" s="1"/>
  <c r="C17" i="154"/>
  <c r="H17" i="154" s="1"/>
  <c r="C13" i="154"/>
  <c r="H13" i="154" s="1"/>
  <c r="C25" i="146"/>
  <c r="P77" i="208" s="1"/>
  <c r="C19" i="146"/>
  <c r="H19" i="146" s="1"/>
  <c r="C18" i="152"/>
  <c r="B210" i="213"/>
  <c r="H54" i="205" s="1"/>
  <c r="H34" i="182"/>
  <c r="C17" i="147"/>
  <c r="C13" i="147"/>
  <c r="D80" i="208" s="1"/>
  <c r="C28" i="197"/>
  <c r="H28" i="197" s="1"/>
  <c r="C19" i="180"/>
  <c r="H19" i="180" s="1"/>
  <c r="C22" i="206"/>
  <c r="H22" i="206" s="1"/>
  <c r="H31" i="224"/>
  <c r="H13" i="224"/>
  <c r="H49" i="224"/>
  <c r="H62" i="224"/>
  <c r="H44" i="224"/>
  <c r="H26" i="224"/>
  <c r="H58" i="224"/>
  <c r="H22" i="224"/>
  <c r="H40" i="224"/>
  <c r="H52" i="224"/>
  <c r="H34" i="224"/>
  <c r="H16" i="224"/>
  <c r="H12" i="224"/>
  <c r="H48" i="224"/>
  <c r="H30" i="224"/>
  <c r="H35" i="224"/>
  <c r="H53" i="224"/>
  <c r="H17" i="224"/>
  <c r="H56" i="224"/>
  <c r="H38" i="224"/>
  <c r="H20" i="224"/>
  <c r="H59" i="224"/>
  <c r="H41" i="224"/>
  <c r="H23" i="224"/>
  <c r="H63" i="224"/>
  <c r="H45" i="224"/>
  <c r="H27" i="224"/>
  <c r="H50" i="224"/>
  <c r="H32" i="224"/>
  <c r="H14" i="224"/>
  <c r="H60" i="224"/>
  <c r="H42" i="224"/>
  <c r="H24" i="224"/>
  <c r="H37" i="224"/>
  <c r="H19" i="224"/>
  <c r="H55" i="224"/>
  <c r="H33" i="224"/>
  <c r="H51" i="224"/>
  <c r="H15" i="224"/>
  <c r="H54" i="224"/>
  <c r="H36" i="224"/>
  <c r="H18" i="224"/>
  <c r="H39" i="224"/>
  <c r="H57" i="224"/>
  <c r="H21" i="224"/>
  <c r="H61" i="224"/>
  <c r="H43" i="224"/>
  <c r="H25" i="224"/>
  <c r="C20" i="152"/>
  <c r="K95" i="208" s="1"/>
  <c r="F94" i="208"/>
  <c r="H15" i="169"/>
  <c r="C23" i="152"/>
  <c r="H41" i="152"/>
  <c r="C22" i="152"/>
  <c r="H22" i="152" s="1"/>
  <c r="H40" i="152"/>
  <c r="C14" i="152"/>
  <c r="H14" i="152" s="1"/>
  <c r="H32" i="152"/>
  <c r="E95" i="208"/>
  <c r="N95" i="208"/>
  <c r="H23" i="152"/>
  <c r="C64" i="151"/>
  <c r="H64" i="151" s="1"/>
  <c r="C64" i="152"/>
  <c r="H64" i="152" s="1"/>
  <c r="C64" i="153"/>
  <c r="H64" i="153" s="1"/>
  <c r="H34" i="153"/>
  <c r="H66" i="153"/>
  <c r="H62" i="191"/>
  <c r="H58" i="191"/>
  <c r="C64" i="180"/>
  <c r="C64" i="223"/>
  <c r="C28" i="222"/>
  <c r="C82" i="153"/>
  <c r="H82" i="153" s="1"/>
  <c r="C46" i="153"/>
  <c r="H50" i="191"/>
  <c r="H60" i="191"/>
  <c r="C28" i="187"/>
  <c r="C18" i="205"/>
  <c r="C46" i="147"/>
  <c r="H46" i="156"/>
  <c r="H31" i="182"/>
  <c r="C28" i="188"/>
  <c r="B202" i="213"/>
  <c r="D202" i="213" s="1"/>
  <c r="C46" i="150"/>
  <c r="H46" i="150" s="1"/>
  <c r="C46" i="205"/>
  <c r="H41" i="180"/>
  <c r="E73" i="208"/>
  <c r="H44" i="153"/>
  <c r="H56" i="153"/>
  <c r="H52" i="153"/>
  <c r="B94" i="213"/>
  <c r="D94" i="213" s="1"/>
  <c r="H46" i="177" s="1"/>
  <c r="B58" i="213"/>
  <c r="D58" i="213" s="1"/>
  <c r="B130" i="213"/>
  <c r="H64" i="191" s="1"/>
  <c r="H30" i="188"/>
  <c r="B76" i="213"/>
  <c r="D76" i="213" s="1"/>
  <c r="H48" i="190"/>
  <c r="B112" i="213"/>
  <c r="D112" i="213" s="1"/>
  <c r="B166" i="213"/>
  <c r="D166" i="213" s="1"/>
  <c r="C220" i="213"/>
  <c r="B22" i="213"/>
  <c r="D22" i="213" s="1"/>
  <c r="H46" i="173" s="1"/>
  <c r="C28" i="156"/>
  <c r="H28" i="156" s="1"/>
  <c r="H82" i="168"/>
  <c r="C64" i="147"/>
  <c r="H64" i="147" s="1"/>
  <c r="C64" i="146"/>
  <c r="H64" i="165"/>
  <c r="C28" i="157"/>
  <c r="H28" i="157" s="1"/>
  <c r="F33" i="215"/>
  <c r="H28" i="134" s="1"/>
  <c r="H32" i="147"/>
  <c r="H30" i="147"/>
  <c r="H54" i="147"/>
  <c r="H50" i="147"/>
  <c r="H48" i="147"/>
  <c r="H68" i="147"/>
  <c r="H66" i="147"/>
  <c r="H34" i="178"/>
  <c r="H20" i="189"/>
  <c r="C26" i="205"/>
  <c r="H63" i="185"/>
  <c r="B219" i="213"/>
  <c r="H63" i="205" s="1"/>
  <c r="C53" i="182"/>
  <c r="H53" i="182" s="1"/>
  <c r="C17" i="205"/>
  <c r="C27" i="180"/>
  <c r="H27" i="180" s="1"/>
  <c r="H45" i="180"/>
  <c r="C19" i="206"/>
  <c r="K94" i="209"/>
  <c r="H20" i="200"/>
  <c r="E97" i="209"/>
  <c r="H14" i="202"/>
  <c r="C14" i="146"/>
  <c r="E77" i="208" s="1"/>
  <c r="H32" i="146"/>
  <c r="H12" i="188"/>
  <c r="C45" i="182"/>
  <c r="C41" i="182"/>
  <c r="H41" i="182" s="1"/>
  <c r="C37" i="182"/>
  <c r="H37" i="182" s="1"/>
  <c r="C19" i="205"/>
  <c r="C46" i="178"/>
  <c r="H64" i="156"/>
  <c r="H82" i="156"/>
  <c r="H40" i="206"/>
  <c r="Q93" i="208"/>
  <c r="C44" i="182"/>
  <c r="H44" i="182" s="1"/>
  <c r="C40" i="182"/>
  <c r="H40" i="182" s="1"/>
  <c r="C46" i="181"/>
  <c r="H59" i="149"/>
  <c r="H77" i="149"/>
  <c r="H59" i="151"/>
  <c r="H77" i="151"/>
  <c r="H59" i="154"/>
  <c r="H77" i="154"/>
  <c r="H59" i="146"/>
  <c r="H77" i="146"/>
  <c r="C16" i="180"/>
  <c r="H16" i="180" s="1"/>
  <c r="H31" i="188"/>
  <c r="H55" i="188"/>
  <c r="H61" i="187"/>
  <c r="H33" i="187"/>
  <c r="H48" i="187"/>
  <c r="H20" i="186"/>
  <c r="H36" i="186"/>
  <c r="H37" i="185"/>
  <c r="H53" i="185"/>
  <c r="H49" i="187"/>
  <c r="H42" i="188"/>
  <c r="H36" i="189"/>
  <c r="H30" i="190"/>
  <c r="H39" i="192"/>
  <c r="H30" i="189"/>
  <c r="H32" i="187"/>
  <c r="H48" i="188"/>
  <c r="H53" i="187"/>
  <c r="H44" i="186"/>
  <c r="H45" i="185"/>
  <c r="H61" i="185"/>
  <c r="H41" i="185"/>
  <c r="H48" i="206"/>
  <c r="H32" i="191"/>
  <c r="H38" i="185"/>
  <c r="H62" i="188"/>
  <c r="H58" i="188"/>
  <c r="H61" i="189"/>
  <c r="H51" i="189"/>
  <c r="H61" i="190"/>
  <c r="H52" i="191"/>
  <c r="H54" i="192"/>
  <c r="H35" i="191"/>
  <c r="C12" i="174"/>
  <c r="H12" i="174" s="1"/>
  <c r="C14" i="174"/>
  <c r="H14" i="174" s="1"/>
  <c r="H21" i="147"/>
  <c r="H23" i="147"/>
  <c r="H25" i="147"/>
  <c r="H46" i="164"/>
  <c r="H82" i="157"/>
  <c r="H70" i="148"/>
  <c r="H78" i="150"/>
  <c r="H74" i="147"/>
  <c r="H78" i="147"/>
  <c r="H82" i="165"/>
  <c r="H81" i="148"/>
  <c r="H19" i="148"/>
  <c r="H51" i="148"/>
  <c r="H45" i="150"/>
  <c r="H55" i="150"/>
  <c r="H69" i="150"/>
  <c r="N73" i="208"/>
  <c r="H30" i="151"/>
  <c r="C13" i="205"/>
  <c r="C28" i="186"/>
  <c r="S78" i="209" s="1"/>
  <c r="H46" i="194"/>
  <c r="H31" i="206"/>
  <c r="C42" i="182"/>
  <c r="I72" i="209"/>
  <c r="C24" i="205"/>
  <c r="O72" i="209" s="1"/>
  <c r="C33" i="182"/>
  <c r="H33" i="182" s="1"/>
  <c r="H14" i="187"/>
  <c r="H17" i="185"/>
  <c r="H37" i="154"/>
  <c r="H19" i="203"/>
  <c r="H16" i="202"/>
  <c r="H13" i="202"/>
  <c r="H25" i="200"/>
  <c r="H22" i="200"/>
  <c r="H15" i="200"/>
  <c r="H24" i="199"/>
  <c r="H27" i="197"/>
  <c r="H20" i="197"/>
  <c r="H15" i="197"/>
  <c r="H20" i="196"/>
  <c r="H14" i="196"/>
  <c r="H12" i="196"/>
  <c r="H18" i="194"/>
  <c r="C28" i="155"/>
  <c r="H28" i="155" s="1"/>
  <c r="H64" i="155"/>
  <c r="H46" i="162"/>
  <c r="H64" i="162"/>
  <c r="H52" i="188"/>
  <c r="H34" i="188"/>
  <c r="H57" i="190"/>
  <c r="H39" i="190"/>
  <c r="H25" i="206"/>
  <c r="H53" i="186"/>
  <c r="H17" i="186"/>
  <c r="H50" i="190"/>
  <c r="H32" i="190"/>
  <c r="H23" i="162"/>
  <c r="N99" i="208"/>
  <c r="H15" i="162"/>
  <c r="F99" i="208"/>
  <c r="F93" i="208"/>
  <c r="I90" i="208"/>
  <c r="H18" i="160"/>
  <c r="I84" i="208"/>
  <c r="H18" i="158"/>
  <c r="H21" i="166"/>
  <c r="P97" i="209"/>
  <c r="G100" i="209"/>
  <c r="J101" i="208"/>
  <c r="H19" i="154"/>
  <c r="L77" i="208"/>
  <c r="H21" i="146"/>
  <c r="C99" i="209"/>
  <c r="H12" i="192"/>
  <c r="C23" i="177"/>
  <c r="H41" i="177"/>
  <c r="C17" i="176"/>
  <c r="H35" i="176"/>
  <c r="H17" i="202"/>
  <c r="H97" i="209"/>
  <c r="Q91" i="209"/>
  <c r="H26" i="199"/>
  <c r="N91" i="209"/>
  <c r="H23" i="199"/>
  <c r="J91" i="209"/>
  <c r="H19" i="199"/>
  <c r="P85" i="209"/>
  <c r="H25" i="197"/>
  <c r="L85" i="209"/>
  <c r="H21" i="197"/>
  <c r="I79" i="209"/>
  <c r="H18" i="195"/>
  <c r="K100" i="209"/>
  <c r="H20" i="203"/>
  <c r="K97" i="209"/>
  <c r="H20" i="202"/>
  <c r="E94" i="209"/>
  <c r="H14" i="200"/>
  <c r="L76" i="209"/>
  <c r="H21" i="194"/>
  <c r="G76" i="209"/>
  <c r="H16" i="194"/>
  <c r="C88" i="209"/>
  <c r="H12" i="198"/>
  <c r="M88" i="209"/>
  <c r="H22" i="198"/>
  <c r="C91" i="209"/>
  <c r="H12" i="199"/>
  <c r="C22" i="180"/>
  <c r="H22" i="180" s="1"/>
  <c r="H40" i="180"/>
  <c r="C21" i="205"/>
  <c r="C32" i="182"/>
  <c r="H32" i="182" s="1"/>
  <c r="C30" i="182"/>
  <c r="H30" i="182" s="1"/>
  <c r="H82" i="155"/>
  <c r="C46" i="146"/>
  <c r="H46" i="158"/>
  <c r="H44" i="151"/>
  <c r="H42" i="151"/>
  <c r="H34" i="151"/>
  <c r="H32" i="151"/>
  <c r="H30" i="154"/>
  <c r="H49" i="206"/>
  <c r="H56" i="206"/>
  <c r="H36" i="206"/>
  <c r="C16" i="206"/>
  <c r="H16" i="206" s="1"/>
  <c r="P73" i="208"/>
  <c r="S81" i="209"/>
  <c r="S41" i="209"/>
  <c r="S41" i="208"/>
  <c r="H82" i="158"/>
  <c r="C27" i="205"/>
  <c r="C17" i="206"/>
  <c r="H73" i="209" s="1"/>
  <c r="H31" i="185"/>
  <c r="H49" i="185"/>
  <c r="O101" i="208"/>
  <c r="H24" i="154"/>
  <c r="E101" i="208"/>
  <c r="H14" i="154"/>
  <c r="C26" i="146"/>
  <c r="Q77" i="208" s="1"/>
  <c r="H44" i="146"/>
  <c r="O77" i="208"/>
  <c r="H24" i="146"/>
  <c r="H41" i="187"/>
  <c r="H23" i="187"/>
  <c r="H37" i="187"/>
  <c r="H55" i="187"/>
  <c r="H26" i="186"/>
  <c r="H62" i="186"/>
  <c r="H22" i="186"/>
  <c r="H58" i="186"/>
  <c r="H30" i="186"/>
  <c r="H48" i="186"/>
  <c r="H33" i="185"/>
  <c r="H51" i="185"/>
  <c r="E93" i="209"/>
  <c r="H14" i="191"/>
  <c r="M84" i="209"/>
  <c r="H22" i="188"/>
  <c r="C14" i="178"/>
  <c r="H14" i="178" s="1"/>
  <c r="H32" i="178"/>
  <c r="C26" i="178"/>
  <c r="H26" i="178" s="1"/>
  <c r="H44" i="178"/>
  <c r="H22" i="177"/>
  <c r="M89" i="209"/>
  <c r="C16" i="176"/>
  <c r="H16" i="176" s="1"/>
  <c r="H34" i="176"/>
  <c r="M83" i="209"/>
  <c r="H22" i="175"/>
  <c r="C22" i="205"/>
  <c r="C38" i="182"/>
  <c r="H48" i="189"/>
  <c r="H12" i="146"/>
  <c r="H34" i="154"/>
  <c r="H42" i="154"/>
  <c r="B214" i="213"/>
  <c r="H40" i="205" s="1"/>
  <c r="H59" i="187"/>
  <c r="H40" i="186"/>
  <c r="H54" i="186"/>
  <c r="H14" i="186"/>
  <c r="H24" i="185"/>
  <c r="H51" i="188"/>
  <c r="H15" i="188"/>
  <c r="H45" i="187"/>
  <c r="H27" i="187"/>
  <c r="H32" i="206"/>
  <c r="H50" i="206"/>
  <c r="H30" i="183"/>
  <c r="H30" i="177"/>
  <c r="M87" i="208"/>
  <c r="H22" i="159"/>
  <c r="H37" i="146"/>
  <c r="H17" i="146"/>
  <c r="H39" i="151"/>
  <c r="H37" i="151"/>
  <c r="H54" i="153"/>
  <c r="H36" i="153"/>
  <c r="H50" i="153"/>
  <c r="H32" i="153"/>
  <c r="H59" i="186"/>
  <c r="H23" i="186"/>
  <c r="B206" i="213"/>
  <c r="H32" i="205" s="1"/>
  <c r="H22" i="187"/>
  <c r="H40" i="187"/>
  <c r="H56" i="188"/>
  <c r="H20" i="188"/>
  <c r="H63" i="189"/>
  <c r="H45" i="189"/>
  <c r="H59" i="189"/>
  <c r="H23" i="189"/>
  <c r="H45" i="190"/>
  <c r="H63" i="190"/>
  <c r="H59" i="190"/>
  <c r="H41" i="190"/>
  <c r="H37" i="190"/>
  <c r="H55" i="190"/>
  <c r="H37" i="191"/>
  <c r="H55" i="191"/>
  <c r="H25" i="192"/>
  <c r="H61" i="192"/>
  <c r="H56" i="192"/>
  <c r="H38" i="192"/>
  <c r="H15" i="192"/>
  <c r="H60" i="206"/>
  <c r="H42" i="206"/>
  <c r="L75" i="208"/>
  <c r="H21" i="155"/>
  <c r="H17" i="155"/>
  <c r="H75" i="208"/>
  <c r="H26" i="162"/>
  <c r="Q99" i="208"/>
  <c r="H22" i="162"/>
  <c r="M99" i="208"/>
  <c r="H18" i="162"/>
  <c r="I99" i="208"/>
  <c r="H14" i="162"/>
  <c r="E99" i="208"/>
  <c r="M93" i="208"/>
  <c r="I93" i="208"/>
  <c r="E93" i="208"/>
  <c r="H24" i="160"/>
  <c r="O90" i="208"/>
  <c r="C90" i="208"/>
  <c r="H12" i="160"/>
  <c r="R84" i="208"/>
  <c r="H27" i="158"/>
  <c r="N84" i="208"/>
  <c r="H23" i="158"/>
  <c r="L84" i="208"/>
  <c r="H21" i="158"/>
  <c r="H84" i="208"/>
  <c r="H17" i="158"/>
  <c r="Q81" i="208"/>
  <c r="H26" i="157"/>
  <c r="K81" i="208"/>
  <c r="H20" i="157"/>
  <c r="H15" i="156"/>
  <c r="F78" i="208"/>
  <c r="K6" i="208"/>
  <c r="K73" i="208" s="1"/>
  <c r="Q100" i="208"/>
  <c r="H26" i="171"/>
  <c r="Q95" i="209"/>
  <c r="E76" i="209"/>
  <c r="H14" i="194"/>
  <c r="N82" i="209"/>
  <c r="H23" i="196"/>
  <c r="L97" i="209"/>
  <c r="H21" i="202"/>
  <c r="L94" i="209"/>
  <c r="H21" i="200"/>
  <c r="H94" i="209"/>
  <c r="H17" i="200"/>
  <c r="Q100" i="209"/>
  <c r="H26" i="203"/>
  <c r="I100" i="209"/>
  <c r="H18" i="203"/>
  <c r="I91" i="209"/>
  <c r="H18" i="199"/>
  <c r="R91" i="209"/>
  <c r="H27" i="199"/>
  <c r="C35" i="182"/>
  <c r="H35" i="182" s="1"/>
  <c r="C25" i="205"/>
  <c r="P72" i="209" s="1"/>
  <c r="C46" i="174"/>
  <c r="C82" i="149"/>
  <c r="H82" i="171"/>
  <c r="H82" i="167"/>
  <c r="H82" i="163"/>
  <c r="C64" i="150"/>
  <c r="H64" i="171"/>
  <c r="C46" i="148"/>
  <c r="H46" i="171"/>
  <c r="H46" i="166"/>
  <c r="H46" i="168"/>
  <c r="H46" i="195"/>
  <c r="H64" i="196"/>
  <c r="C64" i="175"/>
  <c r="C50" i="182"/>
  <c r="H50" i="182" s="1"/>
  <c r="C13" i="181"/>
  <c r="D101" i="209" s="1"/>
  <c r="H82" i="170"/>
  <c r="H31" i="190"/>
  <c r="H64" i="197"/>
  <c r="H62" i="206"/>
  <c r="H69" i="153"/>
  <c r="H42" i="186"/>
  <c r="H60" i="186"/>
  <c r="H34" i="186"/>
  <c r="H52" i="186"/>
  <c r="H32" i="189"/>
  <c r="H50" i="189"/>
  <c r="H64" i="200"/>
  <c r="H46" i="200"/>
  <c r="P75" i="209"/>
  <c r="H25" i="185"/>
  <c r="C19" i="183"/>
  <c r="H19" i="183" s="1"/>
  <c r="H37" i="183"/>
  <c r="C19" i="178"/>
  <c r="H19" i="178" s="1"/>
  <c r="H37" i="178"/>
  <c r="C15" i="176"/>
  <c r="H15" i="176" s="1"/>
  <c r="H33" i="176"/>
  <c r="C15" i="173"/>
  <c r="H15" i="173" s="1"/>
  <c r="H33" i="173"/>
  <c r="C21" i="173"/>
  <c r="H21" i="173" s="1"/>
  <c r="H39" i="173"/>
  <c r="C23" i="173"/>
  <c r="H41" i="173"/>
  <c r="E100" i="209"/>
  <c r="H14" i="203"/>
  <c r="C46" i="206"/>
  <c r="R98" i="209"/>
  <c r="N98" i="209"/>
  <c r="H23" i="180"/>
  <c r="J98" i="209"/>
  <c r="K76" i="209"/>
  <c r="H20" i="194"/>
  <c r="I97" i="209"/>
  <c r="H18" i="202"/>
  <c r="Q97" i="209"/>
  <c r="H26" i="202"/>
  <c r="C46" i="180"/>
  <c r="C28" i="202"/>
  <c r="H28" i="202" s="1"/>
  <c r="H27" i="200"/>
  <c r="R94" i="209"/>
  <c r="Q94" i="209"/>
  <c r="H26" i="200"/>
  <c r="I94" i="209"/>
  <c r="H18" i="200"/>
  <c r="H23" i="197"/>
  <c r="N85" i="209"/>
  <c r="M85" i="209"/>
  <c r="H22" i="197"/>
  <c r="O97" i="209"/>
  <c r="H24" i="202"/>
  <c r="C16" i="181"/>
  <c r="H16" i="181" s="1"/>
  <c r="H34" i="181"/>
  <c r="O100" i="209"/>
  <c r="H24" i="203"/>
  <c r="G94" i="209"/>
  <c r="H16" i="200"/>
  <c r="C94" i="209"/>
  <c r="H12" i="200"/>
  <c r="K88" i="209"/>
  <c r="H20" i="198"/>
  <c r="E79" i="209"/>
  <c r="H14" i="195"/>
  <c r="I88" i="209"/>
  <c r="H18" i="198"/>
  <c r="Q88" i="209"/>
  <c r="H26" i="198"/>
  <c r="H72" i="209"/>
  <c r="S75" i="209"/>
  <c r="J72" i="209"/>
  <c r="D72" i="209"/>
  <c r="C12" i="205"/>
  <c r="C23" i="205"/>
  <c r="N72" i="209" s="1"/>
  <c r="C39" i="182"/>
  <c r="H39" i="182" s="1"/>
  <c r="C28" i="163"/>
  <c r="H28" i="163" s="1"/>
  <c r="C75" i="208"/>
  <c r="C64" i="148"/>
  <c r="B204" i="213"/>
  <c r="H12" i="205" s="1"/>
  <c r="H12" i="159"/>
  <c r="H20" i="159"/>
  <c r="H26" i="159"/>
  <c r="H15" i="187"/>
  <c r="H24" i="186"/>
  <c r="H38" i="186"/>
  <c r="H21" i="185"/>
  <c r="H14" i="189"/>
  <c r="H17" i="197"/>
  <c r="H16" i="197"/>
  <c r="H57" i="185"/>
  <c r="H39" i="185"/>
  <c r="H49" i="181"/>
  <c r="H37" i="180"/>
  <c r="H31" i="183"/>
  <c r="H39" i="177"/>
  <c r="H35" i="173"/>
  <c r="H52" i="147"/>
  <c r="H34" i="147"/>
  <c r="H38" i="147"/>
  <c r="H56" i="147"/>
  <c r="H40" i="147"/>
  <c r="H58" i="147"/>
  <c r="H42" i="147"/>
  <c r="H60" i="147"/>
  <c r="H44" i="147"/>
  <c r="H62" i="147"/>
  <c r="H45" i="148"/>
  <c r="H63" i="148"/>
  <c r="H43" i="148"/>
  <c r="H61" i="148"/>
  <c r="H55" i="148"/>
  <c r="H37" i="148"/>
  <c r="H71" i="148"/>
  <c r="H17" i="148"/>
  <c r="H69" i="148"/>
  <c r="H15" i="148"/>
  <c r="H67" i="149"/>
  <c r="H31" i="149"/>
  <c r="H81" i="150"/>
  <c r="H27" i="150"/>
  <c r="H79" i="150"/>
  <c r="H25" i="150"/>
  <c r="H19" i="150"/>
  <c r="H73" i="150"/>
  <c r="H53" i="150"/>
  <c r="H35" i="150"/>
  <c r="H51" i="150"/>
  <c r="H33" i="150"/>
  <c r="H58" i="153"/>
  <c r="H40" i="153"/>
  <c r="H42" i="185"/>
  <c r="H60" i="185"/>
  <c r="H34" i="185"/>
  <c r="H52" i="185"/>
  <c r="H32" i="186"/>
  <c r="H50" i="186"/>
  <c r="H42" i="191"/>
  <c r="H24" i="191"/>
  <c r="H33" i="192"/>
  <c r="H51" i="192"/>
  <c r="H35" i="189"/>
  <c r="H17" i="189"/>
  <c r="G93" i="209"/>
  <c r="H16" i="191"/>
  <c r="L82" i="209"/>
  <c r="H46" i="157"/>
  <c r="H77" i="153"/>
  <c r="H57" i="206"/>
  <c r="H14" i="185"/>
  <c r="H17" i="191"/>
  <c r="C82" i="148"/>
  <c r="C63" i="182"/>
  <c r="C55" i="182"/>
  <c r="C51" i="182"/>
  <c r="C64" i="181"/>
  <c r="C28" i="181" s="1"/>
  <c r="C48" i="182"/>
  <c r="H48" i="182" s="1"/>
  <c r="C18" i="206"/>
  <c r="H18" i="206" s="1"/>
  <c r="C20" i="180"/>
  <c r="K98" i="209" s="1"/>
  <c r="C73" i="208"/>
  <c r="K72" i="209"/>
  <c r="L72" i="209"/>
  <c r="S76" i="208"/>
  <c r="S100" i="209"/>
  <c r="H64" i="195"/>
  <c r="C46" i="175"/>
  <c r="S91" i="209"/>
  <c r="C23" i="206"/>
  <c r="N73" i="209" s="1"/>
  <c r="H58" i="206"/>
  <c r="H54" i="206"/>
  <c r="H38" i="206"/>
  <c r="C15" i="181"/>
  <c r="F101" i="209" s="1"/>
  <c r="S40" i="209"/>
  <c r="G72" i="209"/>
  <c r="C72" i="209"/>
  <c r="C43" i="182"/>
  <c r="H64" i="168"/>
  <c r="H49" i="188"/>
  <c r="C28" i="191"/>
  <c r="S93" i="209" s="1"/>
  <c r="G73" i="209"/>
  <c r="H51" i="182"/>
  <c r="S83" i="209"/>
  <c r="M98" i="209"/>
  <c r="S101" i="209"/>
  <c r="S40" i="208"/>
  <c r="C28" i="189"/>
  <c r="S87" i="209" s="1"/>
  <c r="M72" i="209"/>
  <c r="H36" i="205"/>
  <c r="H30" i="178"/>
  <c r="O73" i="208"/>
  <c r="I73" i="208"/>
  <c r="G73" i="208"/>
  <c r="C28" i="192"/>
  <c r="S99" i="209" s="1"/>
  <c r="C15" i="205"/>
  <c r="F72" i="209" s="1"/>
  <c r="C28" i="190"/>
  <c r="C14" i="205"/>
  <c r="E72" i="209" s="1"/>
  <c r="C46" i="176"/>
  <c r="H46" i="163"/>
  <c r="H46" i="165"/>
  <c r="H50" i="187"/>
  <c r="H49" i="192"/>
  <c r="H12" i="189"/>
  <c r="H28" i="199"/>
  <c r="H16" i="146"/>
  <c r="H26" i="154"/>
  <c r="H22" i="154"/>
  <c r="H32" i="154"/>
  <c r="H45" i="146"/>
  <c r="H39" i="146"/>
  <c r="H35" i="146"/>
  <c r="H41" i="154"/>
  <c r="H15" i="154"/>
  <c r="H40" i="146"/>
  <c r="H33" i="147"/>
  <c r="H16" i="154"/>
  <c r="H27" i="146"/>
  <c r="H33" i="154"/>
  <c r="H19" i="188"/>
  <c r="H19" i="187"/>
  <c r="H12" i="187"/>
  <c r="H15" i="185"/>
  <c r="H19" i="191"/>
  <c r="H12" i="190"/>
  <c r="H18" i="189"/>
  <c r="H24" i="188"/>
  <c r="H21" i="192"/>
  <c r="H44" i="183"/>
  <c r="H44" i="177"/>
  <c r="H40" i="177"/>
  <c r="H42" i="176"/>
  <c r="H40" i="175"/>
  <c r="H30" i="175"/>
  <c r="H44" i="173"/>
  <c r="H34" i="173"/>
  <c r="H32" i="173"/>
  <c r="H46" i="199"/>
  <c r="H64" i="202"/>
  <c r="H46" i="197"/>
  <c r="H64" i="194"/>
  <c r="H26" i="187"/>
  <c r="H18" i="187"/>
  <c r="R75" i="208"/>
  <c r="H27" i="155"/>
  <c r="Q90" i="208"/>
  <c r="H26" i="160"/>
  <c r="I78" i="208"/>
  <c r="H18" i="156"/>
  <c r="G98" i="209"/>
  <c r="G77" i="209"/>
  <c r="C80" i="209"/>
  <c r="C83" i="209"/>
  <c r="G86" i="209"/>
  <c r="C89" i="209"/>
  <c r="G92" i="209"/>
  <c r="C64" i="173"/>
  <c r="F97" i="209"/>
  <c r="J97" i="209"/>
  <c r="N97" i="209"/>
  <c r="R97" i="209"/>
  <c r="C27" i="206"/>
  <c r="H27" i="206" s="1"/>
  <c r="N94" i="209"/>
  <c r="H23" i="200"/>
  <c r="C26" i="206"/>
  <c r="H26" i="206" s="1"/>
  <c r="H44" i="206"/>
  <c r="P91" i="209"/>
  <c r="H25" i="199"/>
  <c r="L91" i="209"/>
  <c r="H21" i="199"/>
  <c r="H91" i="209"/>
  <c r="H17" i="199"/>
  <c r="J85" i="209"/>
  <c r="H19" i="197"/>
  <c r="M82" i="209"/>
  <c r="H22" i="196"/>
  <c r="I82" i="209"/>
  <c r="H18" i="196"/>
  <c r="G101" i="209"/>
  <c r="F79" i="209"/>
  <c r="H15" i="195"/>
  <c r="C76" i="209"/>
  <c r="H12" i="194"/>
  <c r="F76" i="209"/>
  <c r="H15" i="194"/>
  <c r="J76" i="209"/>
  <c r="H19" i="194"/>
  <c r="N76" i="209"/>
  <c r="H23" i="194"/>
  <c r="Q76" i="209"/>
  <c r="H26" i="194"/>
  <c r="D88" i="209"/>
  <c r="H13" i="198"/>
  <c r="L88" i="209"/>
  <c r="H21" i="198"/>
  <c r="N88" i="209"/>
  <c r="H23" i="198"/>
  <c r="D91" i="209"/>
  <c r="H13" i="199"/>
  <c r="C95" i="209"/>
  <c r="H12" i="183"/>
  <c r="C14" i="183"/>
  <c r="H32" i="183"/>
  <c r="C16" i="183"/>
  <c r="H34" i="183"/>
  <c r="C22" i="183"/>
  <c r="H40" i="183"/>
  <c r="E92" i="209"/>
  <c r="C22" i="178"/>
  <c r="H40" i="178"/>
  <c r="C24" i="178"/>
  <c r="H42" i="178"/>
  <c r="Q92" i="209"/>
  <c r="C14" i="177"/>
  <c r="H32" i="177"/>
  <c r="Q89" i="209"/>
  <c r="H26" i="177"/>
  <c r="C22" i="176"/>
  <c r="H40" i="176"/>
  <c r="C26" i="176"/>
  <c r="H44" i="176"/>
  <c r="C14" i="175"/>
  <c r="H32" i="175"/>
  <c r="C26" i="175"/>
  <c r="H44" i="175"/>
  <c r="E80" i="209"/>
  <c r="C12" i="173"/>
  <c r="H30" i="173"/>
  <c r="E77" i="209"/>
  <c r="H14" i="173"/>
  <c r="C22" i="173"/>
  <c r="H40" i="173"/>
  <c r="C24" i="173"/>
  <c r="H42" i="173"/>
  <c r="Q77" i="209"/>
  <c r="H26" i="173"/>
  <c r="C28" i="196"/>
  <c r="S82" i="209" s="1"/>
  <c r="H46" i="196"/>
  <c r="C64" i="206"/>
  <c r="C28" i="194"/>
  <c r="H28" i="194" s="1"/>
  <c r="I73" i="209"/>
  <c r="C14" i="180"/>
  <c r="H32" i="180"/>
  <c r="C26" i="180"/>
  <c r="H44" i="180"/>
  <c r="D100" i="209"/>
  <c r="H13" i="203"/>
  <c r="H18" i="186"/>
  <c r="H12" i="186"/>
  <c r="C64" i="178"/>
  <c r="C64" i="176"/>
  <c r="C62" i="182"/>
  <c r="C57" i="182"/>
  <c r="C49" i="182"/>
  <c r="C13" i="182" s="1"/>
  <c r="C58" i="182"/>
  <c r="H58" i="182" s="1"/>
  <c r="C54" i="182"/>
  <c r="C18" i="182" s="1"/>
  <c r="I74" i="209" s="1"/>
  <c r="C28" i="195"/>
  <c r="C14" i="181"/>
  <c r="H14" i="181" s="1"/>
  <c r="C28" i="198"/>
  <c r="S88" i="209" s="1"/>
  <c r="C17" i="181"/>
  <c r="C15" i="180"/>
  <c r="H15" i="180" s="1"/>
  <c r="C27" i="181"/>
  <c r="H27" i="181" s="1"/>
  <c r="C23" i="181"/>
  <c r="H23" i="181" s="1"/>
  <c r="C13" i="180"/>
  <c r="C15" i="206"/>
  <c r="H15" i="206" s="1"/>
  <c r="C21" i="206"/>
  <c r="C20" i="206"/>
  <c r="H20" i="206" s="1"/>
  <c r="C24" i="180"/>
  <c r="H13" i="189"/>
  <c r="S75" i="208"/>
  <c r="H49" i="191"/>
  <c r="S98" i="209"/>
  <c r="B205" i="213"/>
  <c r="C46" i="149"/>
  <c r="H46" i="149" s="1"/>
  <c r="H31" i="192"/>
  <c r="H31" i="191"/>
  <c r="H31" i="189"/>
  <c r="H23" i="154"/>
  <c r="H46" i="191"/>
  <c r="H13" i="192"/>
  <c r="H13" i="191"/>
  <c r="H49" i="189"/>
  <c r="C82" i="154"/>
  <c r="C28" i="161"/>
  <c r="H28" i="161" s="1"/>
  <c r="C13" i="206"/>
  <c r="C24" i="206"/>
  <c r="O73" i="209" s="1"/>
  <c r="H46" i="155"/>
  <c r="H42" i="146"/>
  <c r="H22" i="146"/>
  <c r="H34" i="146"/>
  <c r="H15" i="147"/>
  <c r="H22" i="148"/>
  <c r="H64" i="159"/>
  <c r="H64" i="160"/>
  <c r="H40" i="151"/>
  <c r="H44" i="154"/>
  <c r="H40" i="154"/>
  <c r="B216" i="213"/>
  <c r="H77" i="148"/>
  <c r="H59" i="148"/>
  <c r="H60" i="153"/>
  <c r="H68" i="153"/>
  <c r="H70" i="153"/>
  <c r="H72" i="153"/>
  <c r="H76" i="153"/>
  <c r="H80" i="153"/>
  <c r="H46" i="146"/>
  <c r="H19" i="147"/>
  <c r="H55" i="147"/>
  <c r="H27" i="147"/>
  <c r="H63" i="147"/>
  <c r="H24" i="148"/>
  <c r="H60" i="148"/>
  <c r="H78" i="148"/>
  <c r="H34" i="148"/>
  <c r="H16" i="148"/>
  <c r="H68" i="148"/>
  <c r="H14" i="148"/>
  <c r="H50" i="148"/>
  <c r="H68" i="149"/>
  <c r="H32" i="149"/>
  <c r="H48" i="149"/>
  <c r="H66" i="149"/>
  <c r="H12" i="149"/>
  <c r="H24" i="150"/>
  <c r="H60" i="150"/>
  <c r="H70" i="150"/>
  <c r="H16" i="150"/>
  <c r="H52" i="150"/>
  <c r="H68" i="150"/>
  <c r="H14" i="150"/>
  <c r="H45" i="153"/>
  <c r="H63" i="153"/>
  <c r="H81" i="153"/>
  <c r="H41" i="153"/>
  <c r="H59" i="153"/>
  <c r="H39" i="153"/>
  <c r="H57" i="153"/>
  <c r="H75" i="153"/>
  <c r="H37" i="153"/>
  <c r="H55" i="153"/>
  <c r="H35" i="153"/>
  <c r="H53" i="153"/>
  <c r="H71" i="153"/>
  <c r="H33" i="153"/>
  <c r="H51" i="153"/>
  <c r="H31" i="153"/>
  <c r="H49" i="153"/>
  <c r="H67" i="153"/>
  <c r="H20" i="185"/>
  <c r="B212" i="213"/>
  <c r="H45" i="186"/>
  <c r="H27" i="186"/>
  <c r="H37" i="186"/>
  <c r="H19" i="186"/>
  <c r="H43" i="189"/>
  <c r="H25" i="189"/>
  <c r="H38" i="189"/>
  <c r="H56" i="189"/>
  <c r="H34" i="190"/>
  <c r="H16" i="190"/>
  <c r="H44" i="191"/>
  <c r="H26" i="191"/>
  <c r="H40" i="191"/>
  <c r="H22" i="191"/>
  <c r="H45" i="192"/>
  <c r="H63" i="192"/>
  <c r="H41" i="192"/>
  <c r="H59" i="192"/>
  <c r="H45" i="206"/>
  <c r="H43" i="206"/>
  <c r="H61" i="206"/>
  <c r="H59" i="206"/>
  <c r="H41" i="206"/>
  <c r="H55" i="206"/>
  <c r="H37" i="206"/>
  <c r="H19" i="206"/>
  <c r="B218" i="213"/>
  <c r="B215" i="213"/>
  <c r="R93" i="208"/>
  <c r="N93" i="208"/>
  <c r="L93" i="208"/>
  <c r="H93" i="208"/>
  <c r="D93" i="208"/>
  <c r="O84" i="208"/>
  <c r="H24" i="158"/>
  <c r="K84" i="208"/>
  <c r="H20" i="158"/>
  <c r="G84" i="208"/>
  <c r="H16" i="158"/>
  <c r="L81" i="208"/>
  <c r="H21" i="157"/>
  <c r="K99" i="209"/>
  <c r="H20" i="192"/>
  <c r="R90" i="209"/>
  <c r="H27" i="190"/>
  <c r="N90" i="209"/>
  <c r="H23" i="190"/>
  <c r="J90" i="209"/>
  <c r="H19" i="190"/>
  <c r="D81" i="209"/>
  <c r="H13" i="187"/>
  <c r="R75" i="209"/>
  <c r="H27" i="185"/>
  <c r="N75" i="209"/>
  <c r="H23" i="185"/>
  <c r="J75" i="209"/>
  <c r="H19" i="185"/>
  <c r="D95" i="209"/>
  <c r="H13" i="183"/>
  <c r="C15" i="183"/>
  <c r="H33" i="183"/>
  <c r="C17" i="183"/>
  <c r="H35" i="183"/>
  <c r="J95" i="209"/>
  <c r="C21" i="183"/>
  <c r="H39" i="183"/>
  <c r="C23" i="183"/>
  <c r="H41" i="183"/>
  <c r="C13" i="178"/>
  <c r="H31" i="178"/>
  <c r="C15" i="178"/>
  <c r="H33" i="178"/>
  <c r="C17" i="178"/>
  <c r="H35" i="178"/>
  <c r="J92" i="209"/>
  <c r="C21" i="178"/>
  <c r="H39" i="178"/>
  <c r="C23" i="178"/>
  <c r="H41" i="178"/>
  <c r="C13" i="177"/>
  <c r="H31" i="177"/>
  <c r="L89" i="209"/>
  <c r="H21" i="177"/>
  <c r="F86" i="209"/>
  <c r="H86" i="209"/>
  <c r="H17" i="176"/>
  <c r="C13" i="173"/>
  <c r="H31" i="173"/>
  <c r="H77" i="209"/>
  <c r="H17" i="173"/>
  <c r="C19" i="173"/>
  <c r="H37" i="173"/>
  <c r="L77" i="209"/>
  <c r="E101" i="209"/>
  <c r="K73" i="209"/>
  <c r="C28" i="162"/>
  <c r="H28" i="162" s="1"/>
  <c r="C28" i="160"/>
  <c r="C28" i="171"/>
  <c r="C28" i="170"/>
  <c r="H28" i="170" s="1"/>
  <c r="H64" i="167"/>
  <c r="C82" i="151"/>
  <c r="C46" i="151"/>
  <c r="H64" i="170"/>
  <c r="H82" i="166"/>
  <c r="C82" i="152"/>
  <c r="H82" i="152" s="1"/>
  <c r="C46" i="154"/>
  <c r="C82" i="146"/>
  <c r="H49" i="190"/>
  <c r="H13" i="188"/>
  <c r="S78" i="208"/>
  <c r="C64" i="154"/>
  <c r="H30" i="146"/>
  <c r="H46" i="159"/>
  <c r="H64" i="157"/>
  <c r="H82" i="159"/>
  <c r="H82" i="164"/>
  <c r="B208" i="213"/>
  <c r="B211" i="213"/>
  <c r="H13" i="159"/>
  <c r="H62" i="148"/>
  <c r="H58" i="148"/>
  <c r="H54" i="148"/>
  <c r="H48" i="148"/>
  <c r="H80" i="148"/>
  <c r="H76" i="148"/>
  <c r="H66" i="148"/>
  <c r="H62" i="149"/>
  <c r="H60" i="149"/>
  <c r="H58" i="149"/>
  <c r="H52" i="149"/>
  <c r="H80" i="149"/>
  <c r="H78" i="149"/>
  <c r="H76" i="149"/>
  <c r="H70" i="149"/>
  <c r="H62" i="150"/>
  <c r="H58" i="150"/>
  <c r="H54" i="150"/>
  <c r="H48" i="150"/>
  <c r="H80" i="150"/>
  <c r="H76" i="150"/>
  <c r="H66" i="150"/>
  <c r="H62" i="151"/>
  <c r="H60" i="151"/>
  <c r="H58" i="151"/>
  <c r="H54" i="151"/>
  <c r="H52" i="151"/>
  <c r="H50" i="151"/>
  <c r="H48" i="151"/>
  <c r="H80" i="151"/>
  <c r="H78" i="151"/>
  <c r="H76" i="151"/>
  <c r="H70" i="151"/>
  <c r="H68" i="151"/>
  <c r="H66" i="151"/>
  <c r="H62" i="154"/>
  <c r="H60" i="154"/>
  <c r="H58" i="154"/>
  <c r="H54" i="154"/>
  <c r="H52" i="154"/>
  <c r="H50" i="154"/>
  <c r="H48" i="154"/>
  <c r="H80" i="154"/>
  <c r="H78" i="154"/>
  <c r="H76" i="154"/>
  <c r="H70" i="154"/>
  <c r="H68" i="154"/>
  <c r="H66" i="154"/>
  <c r="H62" i="146"/>
  <c r="H60" i="146"/>
  <c r="H58" i="146"/>
  <c r="H52" i="146"/>
  <c r="H50" i="146"/>
  <c r="H48" i="146"/>
  <c r="H80" i="146"/>
  <c r="H78" i="146"/>
  <c r="H76" i="146"/>
  <c r="H70" i="146"/>
  <c r="H68" i="146"/>
  <c r="H66" i="146"/>
  <c r="H12" i="157"/>
  <c r="H22" i="158"/>
  <c r="H18" i="192"/>
  <c r="H53" i="191"/>
  <c r="H21" i="190"/>
  <c r="H25" i="190"/>
  <c r="H16" i="188"/>
  <c r="H40" i="188"/>
  <c r="H26" i="188"/>
  <c r="H35" i="186"/>
  <c r="H56" i="185"/>
  <c r="H23" i="192"/>
  <c r="H27" i="192"/>
  <c r="H34" i="191"/>
  <c r="H14" i="190"/>
  <c r="H52" i="190"/>
  <c r="H33" i="189"/>
  <c r="H36" i="187"/>
  <c r="H62" i="187"/>
  <c r="H55" i="186"/>
  <c r="H63" i="186"/>
  <c r="H32" i="185"/>
  <c r="D99" i="208"/>
  <c r="H99" i="208"/>
  <c r="L99" i="208"/>
  <c r="P99" i="208"/>
  <c r="H53" i="188"/>
  <c r="H17" i="188"/>
  <c r="H43" i="187"/>
  <c r="H25" i="187"/>
  <c r="H39" i="187"/>
  <c r="H21" i="187"/>
  <c r="H35" i="187"/>
  <c r="H17" i="187"/>
  <c r="H35" i="185"/>
  <c r="B209" i="213"/>
  <c r="H14" i="156"/>
  <c r="H14" i="160"/>
  <c r="H22" i="160"/>
  <c r="H15" i="155"/>
  <c r="H23" i="155"/>
  <c r="H39" i="206"/>
  <c r="H63" i="206"/>
  <c r="H48" i="153"/>
  <c r="H73" i="153"/>
  <c r="H50" i="150"/>
  <c r="H50" i="149"/>
  <c r="H81" i="147"/>
  <c r="F77" i="209"/>
  <c r="C28" i="159"/>
  <c r="H51" i="147"/>
  <c r="H49" i="147"/>
  <c r="H69" i="147"/>
  <c r="H67" i="147"/>
  <c r="H46" i="202"/>
  <c r="H41" i="148"/>
  <c r="H59" i="150"/>
  <c r="H62" i="153"/>
  <c r="H78" i="153"/>
  <c r="H74" i="153"/>
  <c r="H60" i="182"/>
  <c r="C64" i="177"/>
  <c r="C28" i="177" s="1"/>
  <c r="C64" i="183"/>
  <c r="C61" i="182"/>
  <c r="C59" i="182"/>
  <c r="C56" i="182"/>
  <c r="C52" i="182"/>
  <c r="C16" i="182" s="1"/>
  <c r="C25" i="181"/>
  <c r="P101" i="209" s="1"/>
  <c r="C21" i="181"/>
  <c r="C25" i="180"/>
  <c r="P98" i="209" s="1"/>
  <c r="C21" i="180"/>
  <c r="H21" i="180" s="1"/>
  <c r="C17" i="180"/>
  <c r="H98" i="209" s="1"/>
  <c r="S97" i="209"/>
  <c r="C64" i="205"/>
  <c r="H38" i="153"/>
  <c r="H42" i="153"/>
  <c r="H15" i="150"/>
  <c r="H17" i="150"/>
  <c r="H37" i="150"/>
  <c r="H61" i="150"/>
  <c r="H63" i="150"/>
  <c r="H13" i="149"/>
  <c r="H33" i="148"/>
  <c r="H35" i="148"/>
  <c r="H73" i="148"/>
  <c r="H25" i="148"/>
  <c r="H27" i="148"/>
  <c r="H26" i="147"/>
  <c r="H24" i="147"/>
  <c r="H22" i="147"/>
  <c r="H20" i="147"/>
  <c r="H16" i="147"/>
  <c r="C20" i="181"/>
  <c r="K101" i="209" s="1"/>
  <c r="C24" i="181"/>
  <c r="H43" i="147"/>
  <c r="C5" i="208"/>
  <c r="C72" i="208" s="1"/>
  <c r="C81" i="208"/>
  <c r="C18" i="147"/>
  <c r="I80" i="208" s="1"/>
  <c r="C14" i="147"/>
  <c r="C12" i="147"/>
  <c r="C27" i="149"/>
  <c r="C25" i="149"/>
  <c r="P86" i="208" s="1"/>
  <c r="C21" i="149"/>
  <c r="C17" i="149"/>
  <c r="H86" i="208" s="1"/>
  <c r="R101" i="209"/>
  <c r="C26" i="149"/>
  <c r="C22" i="149"/>
  <c r="C16" i="149"/>
  <c r="C26" i="151"/>
  <c r="C24" i="151"/>
  <c r="C22" i="151"/>
  <c r="C20" i="151"/>
  <c r="K92" i="208" s="1"/>
  <c r="C18" i="151"/>
  <c r="I92" i="208" s="1"/>
  <c r="H64" i="199"/>
  <c r="H61" i="147"/>
  <c r="C12" i="180"/>
  <c r="C23" i="146"/>
  <c r="H23" i="146" s="1"/>
  <c r="C25" i="152"/>
  <c r="P95" i="208" s="1"/>
  <c r="C19" i="152"/>
  <c r="H19" i="152" s="1"/>
  <c r="C12" i="148"/>
  <c r="C22" i="150"/>
  <c r="C20" i="150"/>
  <c r="K89" i="208" s="1"/>
  <c r="C18" i="150"/>
  <c r="I89" i="208" s="1"/>
  <c r="C12" i="150"/>
  <c r="H59" i="147"/>
  <c r="C12" i="154"/>
  <c r="D73" i="208"/>
  <c r="H39" i="149"/>
  <c r="C27" i="152"/>
  <c r="C12" i="206"/>
  <c r="C28" i="166"/>
  <c r="C23" i="151"/>
  <c r="C20" i="149"/>
  <c r="C18" i="149"/>
  <c r="H34" i="149"/>
  <c r="C26" i="150"/>
  <c r="H30" i="150"/>
  <c r="H77" i="147"/>
  <c r="H57" i="147"/>
  <c r="S39" i="209"/>
  <c r="S39" i="208"/>
  <c r="C28" i="165"/>
  <c r="C28" i="167"/>
  <c r="C28" i="169"/>
  <c r="H28" i="169" s="1"/>
  <c r="C28" i="168"/>
  <c r="H28" i="168" s="1"/>
  <c r="H46" i="170"/>
  <c r="H64" i="164"/>
  <c r="C46" i="152"/>
  <c r="H46" i="152" s="1"/>
  <c r="C28" i="164"/>
  <c r="H28" i="164" s="1"/>
  <c r="C82" i="150"/>
  <c r="C82" i="147"/>
  <c r="H46" i="167"/>
  <c r="H64" i="166"/>
  <c r="H64" i="163"/>
  <c r="H13" i="185"/>
  <c r="H13" i="190"/>
  <c r="H13" i="147"/>
  <c r="H41" i="151"/>
  <c r="H45" i="154"/>
  <c r="H39" i="154"/>
  <c r="H31" i="147"/>
  <c r="H13" i="150"/>
  <c r="H27" i="154"/>
  <c r="H35" i="154"/>
  <c r="H31" i="154"/>
  <c r="C13" i="148"/>
  <c r="H35" i="149"/>
  <c r="C21" i="150"/>
  <c r="H31" i="150"/>
  <c r="C27" i="151"/>
  <c r="C25" i="151"/>
  <c r="P92" i="208" s="1"/>
  <c r="C21" i="151"/>
  <c r="C19" i="151"/>
  <c r="H19" i="151" s="1"/>
  <c r="C17" i="151"/>
  <c r="H17" i="151" s="1"/>
  <c r="C15" i="151"/>
  <c r="H15" i="151" s="1"/>
  <c r="C13" i="151"/>
  <c r="H13" i="151" s="1"/>
  <c r="C15" i="152"/>
  <c r="H15" i="152" s="1"/>
  <c r="L73" i="209"/>
  <c r="H21" i="206"/>
  <c r="H40" i="149"/>
  <c r="H44" i="150"/>
  <c r="H39" i="147"/>
  <c r="H73" i="147"/>
  <c r="C19" i="176"/>
  <c r="C21" i="176"/>
  <c r="C23" i="176"/>
  <c r="C25" i="176"/>
  <c r="P86" i="209" s="1"/>
  <c r="C27" i="176"/>
  <c r="C13" i="175"/>
  <c r="C15" i="175"/>
  <c r="C17" i="175"/>
  <c r="H83" i="209" s="1"/>
  <c r="C19" i="175"/>
  <c r="J83" i="209" s="1"/>
  <c r="C21" i="175"/>
  <c r="C23" i="175"/>
  <c r="C25" i="175"/>
  <c r="C27" i="175"/>
  <c r="C13" i="174"/>
  <c r="H13" i="174" s="1"/>
  <c r="C15" i="174"/>
  <c r="H15" i="174" s="1"/>
  <c r="C17" i="174"/>
  <c r="H17" i="174" s="1"/>
  <c r="C19" i="174"/>
  <c r="C22" i="181"/>
  <c r="J73" i="208"/>
  <c r="H73" i="208"/>
  <c r="L98" i="209"/>
  <c r="S85" i="209"/>
  <c r="N101" i="209"/>
  <c r="Q73" i="209"/>
  <c r="M73" i="209"/>
  <c r="H45" i="149"/>
  <c r="H37" i="149"/>
  <c r="C19" i="149"/>
  <c r="C17" i="152"/>
  <c r="H17" i="152" s="1"/>
  <c r="H30" i="148"/>
  <c r="H44" i="149"/>
  <c r="H40" i="150"/>
  <c r="C16" i="151"/>
  <c r="H16" i="151" s="1"/>
  <c r="C14" i="151"/>
  <c r="H14" i="151" s="1"/>
  <c r="C12" i="151"/>
  <c r="H12" i="151" s="1"/>
  <c r="C16" i="152"/>
  <c r="H16" i="152" s="1"/>
  <c r="H61" i="153"/>
  <c r="H25" i="153"/>
  <c r="H79" i="153"/>
  <c r="H43" i="153"/>
  <c r="H77" i="150"/>
  <c r="C17" i="150"/>
  <c r="H41" i="150"/>
  <c r="C23" i="150"/>
  <c r="C25" i="150"/>
  <c r="C13" i="149"/>
  <c r="C14" i="148"/>
  <c r="C17" i="148"/>
  <c r="H83" i="208" s="1"/>
  <c r="C23" i="148"/>
  <c r="C25" i="148"/>
  <c r="C16" i="147"/>
  <c r="C20" i="147"/>
  <c r="C22" i="147"/>
  <c r="C24" i="147"/>
  <c r="C26" i="147"/>
  <c r="D98" i="208"/>
  <c r="C13" i="153"/>
  <c r="H98" i="208"/>
  <c r="C17" i="153"/>
  <c r="H17" i="153" s="1"/>
  <c r="J98" i="208"/>
  <c r="C19" i="153"/>
  <c r="H19" i="153" s="1"/>
  <c r="L98" i="208"/>
  <c r="C21" i="153"/>
  <c r="H21" i="153" s="1"/>
  <c r="C23" i="153"/>
  <c r="N98" i="208" s="1"/>
  <c r="C25" i="153"/>
  <c r="C12" i="181"/>
  <c r="C26" i="181"/>
  <c r="S91" i="208"/>
  <c r="H41" i="149"/>
  <c r="C23" i="149"/>
  <c r="H39" i="148"/>
  <c r="C21" i="148"/>
  <c r="C21" i="152"/>
  <c r="H21" i="152" s="1"/>
  <c r="C13" i="152"/>
  <c r="H13" i="152" s="1"/>
  <c r="C13" i="146"/>
  <c r="H13" i="146" s="1"/>
  <c r="H44" i="148"/>
  <c r="C26" i="148"/>
  <c r="H40" i="148"/>
  <c r="H42" i="149"/>
  <c r="C24" i="149"/>
  <c r="C26" i="152"/>
  <c r="H26" i="152" s="1"/>
  <c r="C12" i="152"/>
  <c r="H12" i="152" s="1"/>
  <c r="C24" i="152"/>
  <c r="C16" i="150"/>
  <c r="C19" i="150"/>
  <c r="J89" i="208" s="1"/>
  <c r="C24" i="150"/>
  <c r="C12" i="149"/>
  <c r="C14" i="149"/>
  <c r="C19" i="148"/>
  <c r="J83" i="208" s="1"/>
  <c r="C24" i="148"/>
  <c r="C19" i="147"/>
  <c r="J80" i="208" s="1"/>
  <c r="C21" i="147"/>
  <c r="L80" i="208" s="1"/>
  <c r="C23" i="147"/>
  <c r="C25" i="147"/>
  <c r="C12" i="153"/>
  <c r="H12" i="153" s="1"/>
  <c r="C14" i="153"/>
  <c r="H14" i="153" s="1"/>
  <c r="C16" i="153"/>
  <c r="H16" i="153" s="1"/>
  <c r="C18" i="153"/>
  <c r="H18" i="153" s="1"/>
  <c r="C20" i="153"/>
  <c r="H20" i="153" s="1"/>
  <c r="C22" i="153"/>
  <c r="H22" i="153" s="1"/>
  <c r="C24" i="153"/>
  <c r="H24" i="153" s="1"/>
  <c r="C26" i="153"/>
  <c r="H26" i="153" s="1"/>
  <c r="R73" i="209"/>
  <c r="C19" i="181"/>
  <c r="R77" i="208"/>
  <c r="C27" i="173"/>
  <c r="H45" i="173"/>
  <c r="R85" i="208"/>
  <c r="R6" i="208"/>
  <c r="R73" i="208" s="1"/>
  <c r="C27" i="178"/>
  <c r="H45" i="178"/>
  <c r="D219" i="213"/>
  <c r="C27" i="160"/>
  <c r="H27" i="160" s="1"/>
  <c r="C27" i="148"/>
  <c r="C27" i="153"/>
  <c r="H27" i="153" s="1"/>
  <c r="C27" i="183"/>
  <c r="C27" i="177"/>
  <c r="S79" i="208"/>
  <c r="C27" i="150"/>
  <c r="C27" i="147"/>
  <c r="C27" i="194"/>
  <c r="F98" i="209"/>
  <c r="S76" i="209"/>
  <c r="C28" i="200"/>
  <c r="H28" i="200" s="1"/>
  <c r="S81" i="208"/>
  <c r="S94" i="209"/>
  <c r="S97" i="208"/>
  <c r="F6" i="208"/>
  <c r="F73" i="208" s="1"/>
  <c r="F88" i="208"/>
  <c r="F73" i="209"/>
  <c r="C15" i="153"/>
  <c r="F98" i="208" s="1"/>
  <c r="H46" i="148"/>
  <c r="H33" i="149"/>
  <c r="C15" i="149"/>
  <c r="C15" i="146"/>
  <c r="H15" i="146" s="1"/>
  <c r="C15" i="150"/>
  <c r="F89" i="208" s="1"/>
  <c r="C15" i="148"/>
  <c r="E73" i="209"/>
  <c r="H14" i="206"/>
  <c r="C14" i="150"/>
  <c r="E89" i="208" s="1"/>
  <c r="S87" i="208"/>
  <c r="H28" i="159"/>
  <c r="S93" i="208"/>
  <c r="H46" i="153"/>
  <c r="N92" i="208"/>
  <c r="H23" i="151"/>
  <c r="L92" i="208"/>
  <c r="H21" i="151"/>
  <c r="H92" i="208"/>
  <c r="D92" i="208"/>
  <c r="H30" i="185"/>
  <c r="H48" i="185"/>
  <c r="H12" i="185"/>
  <c r="H32" i="188"/>
  <c r="H14" i="188"/>
  <c r="H50" i="188"/>
  <c r="H54" i="188"/>
  <c r="H36" i="188"/>
  <c r="H18" i="188"/>
  <c r="H57" i="188"/>
  <c r="H21" i="188"/>
  <c r="H39" i="188"/>
  <c r="H41" i="188"/>
  <c r="H59" i="188"/>
  <c r="H23" i="188"/>
  <c r="H61" i="188"/>
  <c r="H25" i="188"/>
  <c r="H43" i="188"/>
  <c r="H45" i="188"/>
  <c r="H63" i="188"/>
  <c r="H27" i="188"/>
  <c r="H64" i="198"/>
  <c r="H46" i="198"/>
  <c r="H34" i="189"/>
  <c r="H52" i="189"/>
  <c r="H16" i="189"/>
  <c r="H55" i="189"/>
  <c r="H37" i="189"/>
  <c r="H19" i="189"/>
  <c r="H35" i="190"/>
  <c r="H53" i="190"/>
  <c r="H17" i="190"/>
  <c r="H36" i="190"/>
  <c r="H18" i="190"/>
  <c r="H54" i="190"/>
  <c r="H56" i="190"/>
  <c r="H38" i="190"/>
  <c r="H20" i="190"/>
  <c r="H40" i="190"/>
  <c r="H22" i="190"/>
  <c r="H58" i="190"/>
  <c r="H60" i="190"/>
  <c r="H42" i="190"/>
  <c r="H24" i="190"/>
  <c r="H44" i="190"/>
  <c r="H26" i="190"/>
  <c r="H62" i="190"/>
  <c r="H30" i="191"/>
  <c r="H12" i="191"/>
  <c r="H48" i="191"/>
  <c r="H15" i="191"/>
  <c r="H33" i="191"/>
  <c r="H51" i="191"/>
  <c r="H54" i="191"/>
  <c r="H36" i="191"/>
  <c r="H18" i="191"/>
  <c r="H38" i="191"/>
  <c r="H20" i="191"/>
  <c r="H56" i="191"/>
  <c r="H35" i="192"/>
  <c r="H53" i="192"/>
  <c r="H17" i="192"/>
  <c r="H19" i="192"/>
  <c r="H37" i="192"/>
  <c r="H55" i="192"/>
  <c r="H58" i="192"/>
  <c r="H40" i="192"/>
  <c r="H22" i="192"/>
  <c r="H42" i="192"/>
  <c r="H24" i="192"/>
  <c r="H60" i="192"/>
  <c r="H62" i="192"/>
  <c r="H44" i="192"/>
  <c r="H26" i="192"/>
  <c r="D90" i="208"/>
  <c r="H13" i="160"/>
  <c r="H15" i="160"/>
  <c r="H90" i="208"/>
  <c r="H17" i="160"/>
  <c r="H19" i="160"/>
  <c r="L90" i="208"/>
  <c r="H21" i="160"/>
  <c r="N90" i="208"/>
  <c r="H23" i="160"/>
  <c r="H25" i="160"/>
  <c r="H21" i="159"/>
  <c r="H35" i="206"/>
  <c r="H53" i="206"/>
  <c r="H36" i="185"/>
  <c r="H54" i="185"/>
  <c r="H18" i="185"/>
  <c r="H22" i="185"/>
  <c r="H40" i="185"/>
  <c r="H58" i="185"/>
  <c r="H44" i="185"/>
  <c r="H62" i="185"/>
  <c r="H26" i="185"/>
  <c r="H31" i="186"/>
  <c r="H13" i="186"/>
  <c r="H49" i="186"/>
  <c r="H51" i="206"/>
  <c r="H33" i="206"/>
  <c r="H34" i="206"/>
  <c r="H52" i="206"/>
  <c r="H16" i="187"/>
  <c r="H34" i="187"/>
  <c r="H52" i="187"/>
  <c r="H38" i="187"/>
  <c r="H56" i="187"/>
  <c r="H20" i="187"/>
  <c r="H24" i="187"/>
  <c r="H42" i="187"/>
  <c r="H60" i="187"/>
  <c r="H39" i="189"/>
  <c r="H21" i="189"/>
  <c r="H57" i="189"/>
  <c r="H22" i="189"/>
  <c r="H40" i="189"/>
  <c r="H58" i="189"/>
  <c r="H42" i="189"/>
  <c r="H60" i="189"/>
  <c r="H24" i="189"/>
  <c r="H26" i="189"/>
  <c r="H44" i="189"/>
  <c r="H62" i="189"/>
  <c r="H15" i="190"/>
  <c r="H33" i="190"/>
  <c r="H51" i="190"/>
  <c r="H39" i="191"/>
  <c r="H57" i="191"/>
  <c r="H21" i="191"/>
  <c r="H23" i="191"/>
  <c r="H41" i="191"/>
  <c r="H59" i="191"/>
  <c r="H43" i="191"/>
  <c r="H61" i="191"/>
  <c r="H25" i="191"/>
  <c r="H27" i="191"/>
  <c r="H45" i="191"/>
  <c r="H63" i="191"/>
  <c r="H50" i="192"/>
  <c r="H32" i="192"/>
  <c r="H14" i="192"/>
  <c r="H34" i="192"/>
  <c r="H16" i="192"/>
  <c r="H52" i="192"/>
  <c r="H14" i="155"/>
  <c r="H16" i="155"/>
  <c r="H18" i="155"/>
  <c r="H20" i="155"/>
  <c r="H22" i="155"/>
  <c r="H24" i="155"/>
  <c r="H26" i="155"/>
  <c r="H13" i="157"/>
  <c r="H18" i="157"/>
  <c r="I81" i="208"/>
  <c r="H25" i="175"/>
  <c r="H43" i="175"/>
  <c r="H61" i="175"/>
  <c r="H30" i="153"/>
  <c r="H13" i="153"/>
  <c r="H32" i="150"/>
  <c r="H34" i="150"/>
  <c r="H42" i="150"/>
  <c r="H30" i="149"/>
  <c r="H14" i="149"/>
  <c r="H32" i="148"/>
  <c r="H52" i="148"/>
  <c r="H42" i="148"/>
  <c r="H45" i="147"/>
  <c r="H79" i="147"/>
  <c r="H41" i="147"/>
  <c r="H75" i="147"/>
  <c r="H37" i="147"/>
  <c r="B37" i="213"/>
  <c r="B33" i="213"/>
  <c r="B27" i="213"/>
  <c r="D217" i="213"/>
  <c r="D212" i="213"/>
  <c r="H54" i="176"/>
  <c r="H36" i="176"/>
  <c r="H18" i="176"/>
  <c r="H56" i="176"/>
  <c r="H38" i="176"/>
  <c r="H20" i="176"/>
  <c r="H25" i="177"/>
  <c r="H43" i="177"/>
  <c r="H61" i="177"/>
  <c r="C23" i="159"/>
  <c r="C17" i="159"/>
  <c r="C14" i="158"/>
  <c r="C13" i="158"/>
  <c r="C12" i="158"/>
  <c r="C14" i="157"/>
  <c r="C64" i="158"/>
  <c r="H73" i="159"/>
  <c r="H81" i="159"/>
  <c r="H51" i="159"/>
  <c r="H53" i="159"/>
  <c r="H59" i="159"/>
  <c r="H61" i="159"/>
  <c r="H49" i="158"/>
  <c r="H71" i="157"/>
  <c r="H77" i="157"/>
  <c r="H79" i="157"/>
  <c r="H53" i="157"/>
  <c r="H59" i="157"/>
  <c r="H61" i="157"/>
  <c r="H35" i="157"/>
  <c r="H41" i="157"/>
  <c r="H43" i="157"/>
  <c r="H13" i="163"/>
  <c r="H15" i="163"/>
  <c r="H17" i="163"/>
  <c r="H19" i="163"/>
  <c r="H21" i="163"/>
  <c r="H23" i="163"/>
  <c r="H25" i="163"/>
  <c r="H61" i="163"/>
  <c r="H43" i="163"/>
  <c r="H79" i="163"/>
  <c r="H27" i="163"/>
  <c r="H15" i="164"/>
  <c r="H18" i="164"/>
  <c r="H13" i="165"/>
  <c r="H18" i="165"/>
  <c r="H20" i="165"/>
  <c r="H22" i="165"/>
  <c r="H16" i="166"/>
  <c r="H22" i="166"/>
  <c r="H24" i="166"/>
  <c r="H26" i="166"/>
  <c r="H12" i="167"/>
  <c r="H21" i="167"/>
  <c r="H23" i="167"/>
  <c r="H13" i="168"/>
  <c r="H15" i="168"/>
  <c r="H17" i="168"/>
  <c r="H19" i="168"/>
  <c r="H21" i="168"/>
  <c r="H23" i="168"/>
  <c r="H27" i="168"/>
  <c r="H13" i="170"/>
  <c r="H15" i="170"/>
  <c r="H17" i="170"/>
  <c r="H19" i="170"/>
  <c r="H21" i="170"/>
  <c r="H23" i="170"/>
  <c r="H27" i="170"/>
  <c r="H13" i="171"/>
  <c r="H15" i="171"/>
  <c r="H17" i="171"/>
  <c r="H19" i="171"/>
  <c r="H21" i="171"/>
  <c r="H23" i="171"/>
  <c r="H27" i="171"/>
  <c r="H12" i="163"/>
  <c r="H14" i="163"/>
  <c r="H16" i="163"/>
  <c r="H18" i="163"/>
  <c r="H20" i="163"/>
  <c r="H22" i="163"/>
  <c r="H24" i="163"/>
  <c r="H44" i="163"/>
  <c r="H26" i="163"/>
  <c r="H14" i="164"/>
  <c r="H52" i="164"/>
  <c r="H71" i="164"/>
  <c r="H35" i="164"/>
  <c r="H53" i="164"/>
  <c r="H17" i="164"/>
  <c r="H60" i="164"/>
  <c r="H12" i="165"/>
  <c r="H21" i="165"/>
  <c r="H23" i="165"/>
  <c r="H15" i="166"/>
  <c r="H17" i="166"/>
  <c r="H19" i="166"/>
  <c r="H23" i="166"/>
  <c r="H79" i="166"/>
  <c r="H27" i="166"/>
  <c r="H13" i="167"/>
  <c r="H71" i="167"/>
  <c r="H18" i="167"/>
  <c r="H20" i="167"/>
  <c r="H22" i="167"/>
  <c r="H26" i="167"/>
  <c r="H12" i="168"/>
  <c r="H14" i="168"/>
  <c r="H16" i="168"/>
  <c r="H18" i="168"/>
  <c r="H20" i="168"/>
  <c r="H22" i="168"/>
  <c r="H24" i="168"/>
  <c r="H26" i="168"/>
  <c r="H12" i="170"/>
  <c r="H14" i="170"/>
  <c r="H16" i="170"/>
  <c r="H18" i="170"/>
  <c r="H20" i="170"/>
  <c r="H22" i="170"/>
  <c r="H24" i="170"/>
  <c r="H26" i="170"/>
  <c r="H12" i="171"/>
  <c r="H14" i="171"/>
  <c r="H16" i="171"/>
  <c r="H18" i="171"/>
  <c r="H20" i="171"/>
  <c r="H22" i="171"/>
  <c r="H24" i="171"/>
  <c r="H64" i="189" l="1"/>
  <c r="H64" i="173"/>
  <c r="C28" i="180"/>
  <c r="H28" i="180" s="1"/>
  <c r="H14" i="146"/>
  <c r="H46" i="192"/>
  <c r="H46" i="189"/>
  <c r="C26" i="182"/>
  <c r="H26" i="182" s="1"/>
  <c r="H64" i="178"/>
  <c r="H64" i="223"/>
  <c r="C28" i="175"/>
  <c r="H28" i="175" s="1"/>
  <c r="H13" i="181"/>
  <c r="H17" i="206"/>
  <c r="H21" i="154"/>
  <c r="H18" i="205"/>
  <c r="C28" i="153"/>
  <c r="H28" i="153" s="1"/>
  <c r="C23" i="182"/>
  <c r="H23" i="182" s="1"/>
  <c r="H64" i="180"/>
  <c r="H28" i="198"/>
  <c r="C20" i="182"/>
  <c r="K74" i="209" s="1"/>
  <c r="C15" i="182"/>
  <c r="H15" i="182" s="1"/>
  <c r="C25" i="182"/>
  <c r="P74" i="209" s="1"/>
  <c r="H46" i="223"/>
  <c r="H64" i="224"/>
  <c r="H46" i="224"/>
  <c r="H28" i="224"/>
  <c r="C28" i="223"/>
  <c r="H28" i="223" s="1"/>
  <c r="H24" i="206"/>
  <c r="C17" i="182"/>
  <c r="R95" i="208"/>
  <c r="H27" i="152"/>
  <c r="H48" i="205"/>
  <c r="D130" i="213"/>
  <c r="H64" i="183" s="1"/>
  <c r="C28" i="216"/>
  <c r="H46" i="178"/>
  <c r="H64" i="181"/>
  <c r="H46" i="180"/>
  <c r="H64" i="192"/>
  <c r="C22" i="182"/>
  <c r="H22" i="182" s="1"/>
  <c r="C21" i="182"/>
  <c r="H21" i="182" s="1"/>
  <c r="H64" i="176"/>
  <c r="C19" i="182"/>
  <c r="C46" i="182"/>
  <c r="H64" i="175"/>
  <c r="H45" i="205"/>
  <c r="H46" i="190"/>
  <c r="H46" i="181"/>
  <c r="B40" i="213"/>
  <c r="D40" i="213" s="1"/>
  <c r="H64" i="174" s="1"/>
  <c r="C12" i="182"/>
  <c r="H12" i="182" s="1"/>
  <c r="H17" i="180"/>
  <c r="H28" i="196"/>
  <c r="H28" i="192"/>
  <c r="H55" i="182"/>
  <c r="C28" i="146"/>
  <c r="H28" i="146" s="1"/>
  <c r="H26" i="146"/>
  <c r="H46" i="174"/>
  <c r="C28" i="151"/>
  <c r="H28" i="151" s="1"/>
  <c r="C28" i="148"/>
  <c r="H28" i="148" s="1"/>
  <c r="H64" i="150"/>
  <c r="H64" i="146"/>
  <c r="C28" i="150"/>
  <c r="H28" i="150" s="1"/>
  <c r="C28" i="206"/>
  <c r="H15" i="181"/>
  <c r="H23" i="206"/>
  <c r="H28" i="191"/>
  <c r="C27" i="182"/>
  <c r="R74" i="209" s="1"/>
  <c r="H46" i="175"/>
  <c r="S73" i="209"/>
  <c r="H23" i="153"/>
  <c r="H24" i="205"/>
  <c r="H30" i="205"/>
  <c r="H64" i="190"/>
  <c r="H16" i="205"/>
  <c r="H50" i="205"/>
  <c r="C28" i="174"/>
  <c r="H82" i="149"/>
  <c r="H82" i="148"/>
  <c r="H46" i="147"/>
  <c r="H42" i="182"/>
  <c r="C24" i="182"/>
  <c r="H23" i="177"/>
  <c r="N89" i="209"/>
  <c r="L6" i="208"/>
  <c r="L73" i="208" s="1"/>
  <c r="L85" i="208"/>
  <c r="H28" i="189"/>
  <c r="R72" i="209"/>
  <c r="H27" i="205"/>
  <c r="Q6" i="208"/>
  <c r="Q73" i="208" s="1"/>
  <c r="H58" i="205"/>
  <c r="H22" i="205"/>
  <c r="C14" i="182"/>
  <c r="H28" i="181"/>
  <c r="H23" i="173"/>
  <c r="N77" i="209"/>
  <c r="F74" i="209"/>
  <c r="O98" i="209"/>
  <c r="H24" i="180"/>
  <c r="D98" i="209"/>
  <c r="H13" i="180"/>
  <c r="H101" i="209"/>
  <c r="H17" i="181"/>
  <c r="M74" i="209"/>
  <c r="L74" i="209"/>
  <c r="H57" i="182"/>
  <c r="H46" i="176"/>
  <c r="C28" i="176"/>
  <c r="H28" i="190"/>
  <c r="S90" i="209"/>
  <c r="H14" i="205"/>
  <c r="C28" i="178"/>
  <c r="J74" i="209"/>
  <c r="H19" i="182"/>
  <c r="H74" i="209"/>
  <c r="H17" i="182"/>
  <c r="S79" i="209"/>
  <c r="H28" i="195"/>
  <c r="H13" i="182"/>
  <c r="D74" i="209"/>
  <c r="Q74" i="209"/>
  <c r="Q98" i="209"/>
  <c r="H26" i="180"/>
  <c r="E98" i="209"/>
  <c r="H14" i="180"/>
  <c r="O77" i="209"/>
  <c r="H24" i="173"/>
  <c r="M77" i="209"/>
  <c r="H22" i="173"/>
  <c r="C77" i="209"/>
  <c r="H12" i="173"/>
  <c r="Q83" i="209"/>
  <c r="H26" i="175"/>
  <c r="E83" i="209"/>
  <c r="H14" i="175"/>
  <c r="Q86" i="209"/>
  <c r="H26" i="176"/>
  <c r="M86" i="209"/>
  <c r="H22" i="176"/>
  <c r="E89" i="209"/>
  <c r="H14" i="177"/>
  <c r="H24" i="178"/>
  <c r="O92" i="209"/>
  <c r="M92" i="209"/>
  <c r="H22" i="178"/>
  <c r="M95" i="209"/>
  <c r="H22" i="183"/>
  <c r="G95" i="209"/>
  <c r="H16" i="183"/>
  <c r="E95" i="209"/>
  <c r="H14" i="183"/>
  <c r="H62" i="182"/>
  <c r="H49" i="182"/>
  <c r="H64" i="185"/>
  <c r="H46" i="185"/>
  <c r="H28" i="185"/>
  <c r="C74" i="209"/>
  <c r="C28" i="173"/>
  <c r="H15" i="153"/>
  <c r="C28" i="147"/>
  <c r="H28" i="147" s="1"/>
  <c r="H17" i="149"/>
  <c r="S99" i="208"/>
  <c r="H64" i="148"/>
  <c r="H42" i="205"/>
  <c r="H82" i="147"/>
  <c r="C28" i="152"/>
  <c r="H28" i="152" s="1"/>
  <c r="H82" i="146"/>
  <c r="H82" i="151"/>
  <c r="H82" i="150"/>
  <c r="H64" i="154"/>
  <c r="H46" i="151"/>
  <c r="H49" i="205"/>
  <c r="H13" i="205"/>
  <c r="H31" i="205"/>
  <c r="H60" i="205"/>
  <c r="D73" i="209"/>
  <c r="H13" i="206"/>
  <c r="L101" i="209"/>
  <c r="H21" i="181"/>
  <c r="H16" i="182"/>
  <c r="G74" i="209"/>
  <c r="N74" i="209"/>
  <c r="C28" i="183"/>
  <c r="H53" i="205"/>
  <c r="H35" i="205"/>
  <c r="H55" i="205"/>
  <c r="H37" i="205"/>
  <c r="H19" i="205"/>
  <c r="C28" i="154"/>
  <c r="H28" i="160"/>
  <c r="S90" i="208"/>
  <c r="J77" i="209"/>
  <c r="H19" i="173"/>
  <c r="D77" i="209"/>
  <c r="H13" i="173"/>
  <c r="D89" i="209"/>
  <c r="H13" i="177"/>
  <c r="N92" i="209"/>
  <c r="H23" i="178"/>
  <c r="L92" i="209"/>
  <c r="H21" i="178"/>
  <c r="H92" i="209"/>
  <c r="H17" i="178"/>
  <c r="F92" i="209"/>
  <c r="H15" i="178"/>
  <c r="D92" i="209"/>
  <c r="H13" i="178"/>
  <c r="N95" i="209"/>
  <c r="H23" i="183"/>
  <c r="L95" i="209"/>
  <c r="H21" i="183"/>
  <c r="H95" i="209"/>
  <c r="H17" i="183"/>
  <c r="F95" i="209"/>
  <c r="H15" i="183"/>
  <c r="H59" i="205"/>
  <c r="H41" i="205"/>
  <c r="H23" i="205"/>
  <c r="H59" i="182"/>
  <c r="H56" i="205"/>
  <c r="H38" i="205"/>
  <c r="H20" i="205"/>
  <c r="H46" i="154"/>
  <c r="H52" i="182"/>
  <c r="H28" i="177"/>
  <c r="S89" i="209"/>
  <c r="H52" i="205"/>
  <c r="H34" i="205"/>
  <c r="H28" i="171"/>
  <c r="S100" i="208"/>
  <c r="H64" i="177"/>
  <c r="H64" i="187"/>
  <c r="H28" i="187"/>
  <c r="H46" i="187"/>
  <c r="H62" i="205"/>
  <c r="H44" i="205"/>
  <c r="H26" i="205"/>
  <c r="H82" i="154"/>
  <c r="H17" i="205"/>
  <c r="C64" i="182"/>
  <c r="C28" i="205"/>
  <c r="S72" i="209" s="1"/>
  <c r="O101" i="209"/>
  <c r="H24" i="181"/>
  <c r="C80" i="208"/>
  <c r="H12" i="147"/>
  <c r="E80" i="208"/>
  <c r="H14" i="147"/>
  <c r="L86" i="208"/>
  <c r="H21" i="149"/>
  <c r="R86" i="208"/>
  <c r="H27" i="149"/>
  <c r="M92" i="208"/>
  <c r="H22" i="151"/>
  <c r="Q92" i="208"/>
  <c r="H26" i="151"/>
  <c r="M86" i="208"/>
  <c r="H22" i="149"/>
  <c r="C98" i="209"/>
  <c r="H12" i="180"/>
  <c r="O92" i="208"/>
  <c r="H24" i="151"/>
  <c r="G86" i="208"/>
  <c r="H16" i="149"/>
  <c r="Q86" i="208"/>
  <c r="H26" i="149"/>
  <c r="C89" i="208"/>
  <c r="H12" i="150"/>
  <c r="C83" i="208"/>
  <c r="H12" i="148"/>
  <c r="C101" i="208"/>
  <c r="H12" i="154"/>
  <c r="M89" i="208"/>
  <c r="H22" i="150"/>
  <c r="J95" i="208"/>
  <c r="Q89" i="208"/>
  <c r="H26" i="150"/>
  <c r="I86" i="208"/>
  <c r="C73" i="209"/>
  <c r="H12" i="206"/>
  <c r="K86" i="208"/>
  <c r="H28" i="166"/>
  <c r="S85" i="208"/>
  <c r="M101" i="209"/>
  <c r="H22" i="181"/>
  <c r="H80" i="209"/>
  <c r="D80" i="209"/>
  <c r="L83" i="209"/>
  <c r="H21" i="175"/>
  <c r="D83" i="209"/>
  <c r="H13" i="175"/>
  <c r="H21" i="176"/>
  <c r="L86" i="209"/>
  <c r="R92" i="208"/>
  <c r="H27" i="151"/>
  <c r="S94" i="208"/>
  <c r="H28" i="165"/>
  <c r="F80" i="209"/>
  <c r="N83" i="209"/>
  <c r="H23" i="175"/>
  <c r="R86" i="209"/>
  <c r="H27" i="176"/>
  <c r="N86" i="209"/>
  <c r="H23" i="176"/>
  <c r="J86" i="209"/>
  <c r="H19" i="176"/>
  <c r="F95" i="208"/>
  <c r="H28" i="167"/>
  <c r="S88" i="208"/>
  <c r="H64" i="188"/>
  <c r="H46" i="188"/>
  <c r="H28" i="188"/>
  <c r="P98" i="208"/>
  <c r="P7" i="208"/>
  <c r="P74" i="208" s="1"/>
  <c r="J101" i="209"/>
  <c r="H19" i="181"/>
  <c r="Q98" i="208"/>
  <c r="O98" i="208"/>
  <c r="K98" i="208"/>
  <c r="I98" i="208"/>
  <c r="G98" i="208"/>
  <c r="E98" i="208"/>
  <c r="C98" i="208"/>
  <c r="Q95" i="208"/>
  <c r="H24" i="149"/>
  <c r="D77" i="208"/>
  <c r="H23" i="149"/>
  <c r="N86" i="208"/>
  <c r="C101" i="209"/>
  <c r="H12" i="181"/>
  <c r="N83" i="208"/>
  <c r="H23" i="148"/>
  <c r="G95" i="208"/>
  <c r="H95" i="208"/>
  <c r="J86" i="208"/>
  <c r="H19" i="149"/>
  <c r="G89" i="208"/>
  <c r="C95" i="208"/>
  <c r="H26" i="148"/>
  <c r="D95" i="208"/>
  <c r="L95" i="208"/>
  <c r="L83" i="208"/>
  <c r="H21" i="148"/>
  <c r="Q101" i="209"/>
  <c r="H26" i="181"/>
  <c r="E92" i="208"/>
  <c r="G92" i="208"/>
  <c r="R98" i="208"/>
  <c r="R95" i="209"/>
  <c r="H27" i="183"/>
  <c r="R76" i="209"/>
  <c r="H27" i="194"/>
  <c r="H63" i="182"/>
  <c r="H45" i="182"/>
  <c r="R92" i="209"/>
  <c r="H27" i="178"/>
  <c r="H27" i="173"/>
  <c r="R77" i="209"/>
  <c r="F77" i="208"/>
  <c r="H15" i="149"/>
  <c r="F86" i="208"/>
  <c r="S83" i="208"/>
  <c r="C28" i="158"/>
  <c r="C64" i="149"/>
  <c r="H64" i="158"/>
  <c r="H28" i="203"/>
  <c r="H64" i="203"/>
  <c r="H46" i="203"/>
  <c r="H39" i="186"/>
  <c r="H21" i="186"/>
  <c r="H57" i="186"/>
  <c r="B213" i="213"/>
  <c r="H13" i="148"/>
  <c r="Q75" i="208"/>
  <c r="Q5" i="208"/>
  <c r="Q72" i="208" s="1"/>
  <c r="O5" i="208"/>
  <c r="O72" i="208" s="1"/>
  <c r="O75" i="208"/>
  <c r="M5" i="208"/>
  <c r="M72" i="208" s="1"/>
  <c r="M75" i="208"/>
  <c r="K5" i="208"/>
  <c r="K72" i="208" s="1"/>
  <c r="K75" i="208"/>
  <c r="I5" i="208"/>
  <c r="I72" i="208" s="1"/>
  <c r="I75" i="208"/>
  <c r="G5" i="208"/>
  <c r="G72" i="208" s="1"/>
  <c r="G75" i="208"/>
  <c r="E75" i="208"/>
  <c r="K80" i="208"/>
  <c r="H21" i="150"/>
  <c r="R5" i="208"/>
  <c r="R72" i="208" s="1"/>
  <c r="R90" i="208"/>
  <c r="P90" i="208"/>
  <c r="P5" i="208"/>
  <c r="P72" i="208" s="1"/>
  <c r="J5" i="208"/>
  <c r="J72" i="208" s="1"/>
  <c r="J90" i="208"/>
  <c r="F90" i="208"/>
  <c r="F5" i="208"/>
  <c r="F72" i="208" s="1"/>
  <c r="S98" i="208"/>
  <c r="S92" i="208"/>
  <c r="S80" i="208"/>
  <c r="S95" i="208"/>
  <c r="N77" i="208"/>
  <c r="E81" i="208"/>
  <c r="H51" i="186"/>
  <c r="H33" i="186"/>
  <c r="H15" i="186"/>
  <c r="B207" i="213"/>
  <c r="H61" i="186"/>
  <c r="H43" i="186"/>
  <c r="H25" i="186"/>
  <c r="B217" i="213"/>
  <c r="I83" i="208"/>
  <c r="D5" i="208"/>
  <c r="D72" i="208" s="1"/>
  <c r="D81" i="208"/>
  <c r="L5" i="208"/>
  <c r="L72" i="208" s="1"/>
  <c r="L87" i="208"/>
  <c r="F92" i="208"/>
  <c r="J92" i="208"/>
  <c r="S89" i="208"/>
  <c r="H27" i="182" l="1"/>
  <c r="H46" i="222"/>
  <c r="H64" i="222"/>
  <c r="H28" i="222"/>
  <c r="H46" i="183"/>
  <c r="H28" i="174"/>
  <c r="B220" i="213"/>
  <c r="D220" i="213" s="1"/>
  <c r="H46" i="182" s="1"/>
  <c r="S80" i="209"/>
  <c r="F7" i="208"/>
  <c r="F74" i="208" s="1"/>
  <c r="K7" i="208"/>
  <c r="K74" i="208" s="1"/>
  <c r="O74" i="209"/>
  <c r="H24" i="182"/>
  <c r="J7" i="208"/>
  <c r="J74" i="208" s="1"/>
  <c r="I7" i="208"/>
  <c r="I74" i="208" s="1"/>
  <c r="R7" i="208"/>
  <c r="R74" i="208" s="1"/>
  <c r="H14" i="182"/>
  <c r="E74" i="209"/>
  <c r="S77" i="209"/>
  <c r="H28" i="173"/>
  <c r="H28" i="178"/>
  <c r="S92" i="209"/>
  <c r="S86" i="209"/>
  <c r="H28" i="176"/>
  <c r="C28" i="182"/>
  <c r="H28" i="154"/>
  <c r="S101" i="208"/>
  <c r="H28" i="183"/>
  <c r="S95" i="209"/>
  <c r="S82" i="208"/>
  <c r="S6" i="208"/>
  <c r="S73" i="208" s="1"/>
  <c r="C92" i="208"/>
  <c r="C7" i="208"/>
  <c r="C74" i="208" s="1"/>
  <c r="Q7" i="208"/>
  <c r="Q74" i="208" s="1"/>
  <c r="Q83" i="208"/>
  <c r="G7" i="208"/>
  <c r="G74" i="208" s="1"/>
  <c r="O86" i="208"/>
  <c r="O7" i="208"/>
  <c r="O74" i="208" s="1"/>
  <c r="M98" i="208"/>
  <c r="M7" i="208"/>
  <c r="M74" i="208" s="1"/>
  <c r="H64" i="149"/>
  <c r="C28" i="149"/>
  <c r="H61" i="205"/>
  <c r="H43" i="205"/>
  <c r="H25" i="205"/>
  <c r="H46" i="186"/>
  <c r="H64" i="186"/>
  <c r="H28" i="186"/>
  <c r="H89" i="208"/>
  <c r="H7" i="208"/>
  <c r="H74" i="208" s="1"/>
  <c r="E83" i="208"/>
  <c r="E7" i="208"/>
  <c r="E74" i="208" s="1"/>
  <c r="E5" i="208"/>
  <c r="E72" i="208" s="1"/>
  <c r="D83" i="208"/>
  <c r="D7" i="208"/>
  <c r="D74" i="208" s="1"/>
  <c r="H23" i="150"/>
  <c r="H33" i="205"/>
  <c r="H51" i="205"/>
  <c r="H15" i="205"/>
  <c r="H5" i="208"/>
  <c r="H72" i="208" s="1"/>
  <c r="H87" i="208"/>
  <c r="S77" i="208"/>
  <c r="L7" i="208"/>
  <c r="L74" i="208" s="1"/>
  <c r="L89" i="208"/>
  <c r="H39" i="205"/>
  <c r="H57" i="205"/>
  <c r="H21" i="205"/>
  <c r="H46" i="206"/>
  <c r="H64" i="206"/>
  <c r="H28" i="206"/>
  <c r="N5" i="208"/>
  <c r="N72" i="208" s="1"/>
  <c r="N87" i="208"/>
  <c r="H28" i="158"/>
  <c r="H64" i="182" l="1"/>
  <c r="S74" i="209"/>
  <c r="H28" i="182"/>
  <c r="S5" i="208"/>
  <c r="S72" i="208" s="1"/>
  <c r="S84" i="208"/>
  <c r="H28" i="149"/>
  <c r="N89" i="208"/>
  <c r="N7" i="208"/>
  <c r="N74" i="208" s="1"/>
  <c r="H64" i="205"/>
  <c r="H28" i="205"/>
  <c r="H46" i="205"/>
  <c r="S86" i="208" l="1"/>
  <c r="S7" i="208"/>
  <c r="S74" i="208" s="1"/>
  <c r="A1" i="147"/>
  <c r="A1" i="148" s="1"/>
  <c r="A1" i="149" s="1"/>
  <c r="A1" i="150" s="1"/>
  <c r="A1" i="151" s="1"/>
  <c r="A1" i="152" l="1"/>
  <c r="A1" i="216" s="1"/>
  <c r="A1" i="153" s="1"/>
  <c r="A1" i="217" s="1"/>
  <c r="A1" i="154" s="1"/>
  <c r="A1" i="155" l="1"/>
  <c r="A1" i="156" s="1"/>
  <c r="A1" i="157" s="1"/>
  <c r="A1" i="158" s="1"/>
  <c r="A1" i="159" s="1"/>
  <c r="A1" i="160" s="1"/>
  <c r="A1" i="161" l="1"/>
  <c r="A1" i="218" l="1"/>
  <c r="A1" i="162" s="1"/>
  <c r="A1" i="163" s="1"/>
  <c r="A1" i="164" s="1"/>
  <c r="A1" i="165" s="1"/>
  <c r="A1" i="166" s="1"/>
  <c r="A1" i="167" s="1"/>
  <c r="A1" i="168" s="1"/>
  <c r="A1" i="169" s="1"/>
  <c r="A1" i="219" s="1"/>
  <c r="A1" i="170" s="1"/>
  <c r="A1" i="220" s="1"/>
  <c r="A1" i="171" s="1"/>
  <c r="A1" i="182" l="1"/>
  <c r="A1" i="173" s="1"/>
  <c r="A1" i="174" s="1"/>
  <c r="A1" i="175" s="1"/>
  <c r="A1" i="176" s="1"/>
  <c r="A1" i="177" s="1"/>
  <c r="A1" i="178" s="1"/>
  <c r="A1" i="183" l="1"/>
  <c r="A1" i="222" s="1"/>
  <c r="A1" i="180" s="1"/>
  <c r="A1" i="223" s="1"/>
  <c r="A1" i="181" s="1"/>
  <c r="A1" i="205" l="1"/>
  <c r="A1" i="185" s="1"/>
  <c r="A1" i="186" s="1"/>
  <c r="A1" i="187" s="1"/>
  <c r="A1" i="188" s="1"/>
  <c r="A1" i="189" s="1"/>
  <c r="A1" i="190" s="1"/>
  <c r="A1" i="191" l="1"/>
  <c r="A1" i="224" l="1"/>
  <c r="A1" i="192" s="1"/>
  <c r="A1" i="206" s="1"/>
  <c r="A1" i="194" s="1"/>
  <c r="A1" i="195" s="1"/>
  <c r="A1" i="196" s="1"/>
  <c r="A1" i="197" s="1"/>
  <c r="A1" i="198" s="1"/>
  <c r="A1" i="199" s="1"/>
  <c r="A1" i="200" s="1"/>
  <c r="A1" i="225" s="1"/>
  <c r="A1" i="202" s="1"/>
  <c r="A1" i="226" s="1"/>
  <c r="A1" i="203" s="1"/>
  <c r="C13" i="73"/>
  <c r="C14" i="73" s="1"/>
  <c r="C15" i="73" s="1"/>
  <c r="C16" i="73" s="1"/>
  <c r="C17" i="73" s="1"/>
  <c r="C18" i="73" s="1"/>
  <c r="C19" i="73" s="1"/>
  <c r="C20" i="73" s="1"/>
  <c r="C21" i="73" s="1"/>
  <c r="C22" i="73" s="1"/>
  <c r="C48" i="73" s="1"/>
  <c r="C64" i="73" s="1"/>
</calcChain>
</file>

<file path=xl/comments1.xml><?xml version="1.0" encoding="utf-8"?>
<comments xmlns="http://schemas.openxmlformats.org/spreadsheetml/2006/main">
  <authors>
    <author>Paula Henselin</author>
  </authors>
  <commentList>
    <comment ref="B3" authorId="0">
      <text>
        <r>
          <rPr>
            <b/>
            <sz val="9"/>
            <color indexed="81"/>
            <rFont val="Tahoma"/>
            <family val="2"/>
          </rPr>
          <t>Paula Henselin:</t>
        </r>
        <r>
          <rPr>
            <sz val="9"/>
            <color indexed="81"/>
            <rFont val="Tahoma"/>
            <family val="2"/>
          </rPr>
          <t xml:space="preserve">
Noch Werte von 2011
</t>
        </r>
      </text>
    </comment>
  </commentList>
</comments>
</file>

<file path=xl/sharedStrings.xml><?xml version="1.0" encoding="utf-8"?>
<sst xmlns="http://schemas.openxmlformats.org/spreadsheetml/2006/main" count="6227" uniqueCount="314">
  <si>
    <t>1.1</t>
  </si>
  <si>
    <t>In öffentlicher und privater Trägerschaft</t>
  </si>
  <si>
    <t>1.2</t>
  </si>
  <si>
    <t>In öffentlicher Trägerschaft</t>
  </si>
  <si>
    <t>1.3</t>
  </si>
  <si>
    <t>2.1</t>
  </si>
  <si>
    <t>2.1.1</t>
  </si>
  <si>
    <t>Grundschule</t>
  </si>
  <si>
    <t>2.1.2</t>
  </si>
  <si>
    <t>Schulartunabhängige Orientierungsstufe</t>
  </si>
  <si>
    <t>2.1.3</t>
  </si>
  <si>
    <t>Hauptschule</t>
  </si>
  <si>
    <t>2.1.4</t>
  </si>
  <si>
    <t>Schularten mit mehreren Bildungsgängen</t>
  </si>
  <si>
    <t>2.1.5</t>
  </si>
  <si>
    <t>Realschule</t>
  </si>
  <si>
    <t>2.1.6</t>
  </si>
  <si>
    <t>2.1.7</t>
  </si>
  <si>
    <t>2.1.8</t>
  </si>
  <si>
    <t>2.1.9</t>
  </si>
  <si>
    <t>2.2</t>
  </si>
  <si>
    <t>2.2.1</t>
  </si>
  <si>
    <t>2.2.3</t>
  </si>
  <si>
    <t>2.2.4</t>
  </si>
  <si>
    <t>2.2.5</t>
  </si>
  <si>
    <t>2.2.6</t>
  </si>
  <si>
    <t>2.2.7</t>
  </si>
  <si>
    <t>2.2.8</t>
  </si>
  <si>
    <t>2.3</t>
  </si>
  <si>
    <t>2.3.1</t>
  </si>
  <si>
    <t>2.3.2</t>
  </si>
  <si>
    <t>2.3.3</t>
  </si>
  <si>
    <t>2.3.4</t>
  </si>
  <si>
    <t>2.3.5</t>
  </si>
  <si>
    <t>2.3.6</t>
  </si>
  <si>
    <t>2.3.7</t>
  </si>
  <si>
    <t>2.3.8</t>
  </si>
  <si>
    <t>2.3.9</t>
  </si>
  <si>
    <t>3.1</t>
  </si>
  <si>
    <t>3.1.1</t>
  </si>
  <si>
    <t>3.1.2</t>
  </si>
  <si>
    <t>3.1.3</t>
  </si>
  <si>
    <t>3.1.4</t>
  </si>
  <si>
    <t>3.1.5</t>
  </si>
  <si>
    <t>3.1.6</t>
  </si>
  <si>
    <t>3.1.7</t>
  </si>
  <si>
    <t>3.1.8</t>
  </si>
  <si>
    <t>3.1.9</t>
  </si>
  <si>
    <t>3.1.10</t>
  </si>
  <si>
    <t>3.2</t>
  </si>
  <si>
    <t>3.2.1</t>
  </si>
  <si>
    <t>3.2.2</t>
  </si>
  <si>
    <t>3.2.3</t>
  </si>
  <si>
    <t>3.2.4</t>
  </si>
  <si>
    <t>3.2.5</t>
  </si>
  <si>
    <t>3.2.6</t>
  </si>
  <si>
    <t>3.2.7</t>
  </si>
  <si>
    <t>3.2.8</t>
  </si>
  <si>
    <t>3.2.9</t>
  </si>
  <si>
    <t>3.3</t>
  </si>
  <si>
    <t>3.3.1</t>
  </si>
  <si>
    <t>3.3.2</t>
  </si>
  <si>
    <t>3.3.3</t>
  </si>
  <si>
    <t>3.3.4</t>
  </si>
  <si>
    <t>3.3.5</t>
  </si>
  <si>
    <t>3.3.6</t>
  </si>
  <si>
    <t>3.3.7</t>
  </si>
  <si>
    <t>3.3.8</t>
  </si>
  <si>
    <t>3.3.9</t>
  </si>
  <si>
    <t>3.3.10</t>
  </si>
  <si>
    <t>Verzeichnis des Tabellenanhangs</t>
  </si>
  <si>
    <t>Seite</t>
  </si>
  <si>
    <t>In privater Trägerschaft</t>
  </si>
  <si>
    <t>Gymnasium</t>
  </si>
  <si>
    <t>Integrierte Gesamtschule</t>
  </si>
  <si>
    <t>Freie Waldorfschule</t>
  </si>
  <si>
    <t>2.2.2.</t>
  </si>
  <si>
    <t>Land</t>
  </si>
  <si>
    <t>Anzahl</t>
  </si>
  <si>
    <t>Insgesamt</t>
  </si>
  <si>
    <t>BW</t>
  </si>
  <si>
    <t>BY</t>
  </si>
  <si>
    <t>BE</t>
  </si>
  <si>
    <t>BB</t>
  </si>
  <si>
    <t>HB</t>
  </si>
  <si>
    <t>HH</t>
  </si>
  <si>
    <t>HE</t>
  </si>
  <si>
    <t>MV</t>
  </si>
  <si>
    <t>NI</t>
  </si>
  <si>
    <t>NW</t>
  </si>
  <si>
    <t>RP</t>
  </si>
  <si>
    <t>SL</t>
  </si>
  <si>
    <t>SN</t>
  </si>
  <si>
    <t>ST</t>
  </si>
  <si>
    <t>SH</t>
  </si>
  <si>
    <t>TH</t>
  </si>
  <si>
    <t>D</t>
  </si>
  <si>
    <t>Anteil an allen Schulen</t>
  </si>
  <si>
    <t>voll gebundene Form</t>
  </si>
  <si>
    <t>teilweise gebundene Form</t>
  </si>
  <si>
    <t>offene Form</t>
  </si>
  <si>
    <t>x = Schulart nicht vorhanden.</t>
  </si>
  <si>
    <t>1) Ohne gymnasiale Oberstufe.</t>
  </si>
  <si>
    <t>2) Ohne gymnasiale Oberstufe.</t>
  </si>
  <si>
    <t>Anteil an allen Schüler-/innen</t>
  </si>
  <si>
    <t>gebundene Form</t>
  </si>
  <si>
    <t>Förderschule</t>
  </si>
  <si>
    <t>3</t>
  </si>
  <si>
    <t>Inhalt</t>
  </si>
  <si>
    <t xml:space="preserve">Sekretariat der Ständigen Konferenz </t>
  </si>
  <si>
    <t>der Kultusminister der Länder</t>
  </si>
  <si>
    <t>in der Bundesrepublik Deutschland</t>
  </si>
  <si>
    <t>Fußnotentext</t>
  </si>
  <si>
    <t xml:space="preserve">Allgemeine Fußnoten </t>
  </si>
  <si>
    <t xml:space="preserve">HE </t>
  </si>
  <si>
    <t>Niedersachsen</t>
  </si>
  <si>
    <t xml:space="preserve">In öffentlicher Trägerschaft </t>
  </si>
  <si>
    <t>privat</t>
  </si>
  <si>
    <t>öffentlich</t>
  </si>
  <si>
    <t>insgesamt</t>
  </si>
  <si>
    <t xml:space="preserve">HH </t>
  </si>
  <si>
    <t xml:space="preserve">MV </t>
  </si>
  <si>
    <t xml:space="preserve">SL </t>
  </si>
  <si>
    <t>Tabellenwerk</t>
  </si>
  <si>
    <t>Grund-schule</t>
  </si>
  <si>
    <t>Haupt-schule</t>
  </si>
  <si>
    <t>Schulart m. m. Bildungs-gängen</t>
  </si>
  <si>
    <t>Integrierte Gesamt-schule</t>
  </si>
  <si>
    <t>Freie Waldorf-schulen</t>
  </si>
  <si>
    <t>Förder-schulen</t>
  </si>
  <si>
    <t>SKL Ländermeldungen</t>
  </si>
  <si>
    <t>0</t>
  </si>
  <si>
    <t xml:space="preserve">In öffentlicher und privater Trägerschaft </t>
  </si>
  <si>
    <r>
      <t>Freie Waldorfschule</t>
    </r>
    <r>
      <rPr>
        <b/>
        <vertAlign val="superscript"/>
        <sz val="9"/>
        <rFont val="Arial Narrow"/>
        <family val="2"/>
      </rPr>
      <t>1)</t>
    </r>
  </si>
  <si>
    <r>
      <t>Integrierte Gesamtschule</t>
    </r>
    <r>
      <rPr>
        <b/>
        <vertAlign val="superscript"/>
        <sz val="9"/>
        <rFont val="Arial Narrow"/>
        <family val="2"/>
      </rPr>
      <t>1)</t>
    </r>
  </si>
  <si>
    <r>
      <t>Gymnasium</t>
    </r>
    <r>
      <rPr>
        <b/>
        <vertAlign val="superscript"/>
        <sz val="9"/>
        <rFont val="Arial Narrow"/>
        <family val="2"/>
      </rPr>
      <t>1)</t>
    </r>
  </si>
  <si>
    <r>
      <t>Anteil an allen Schüler-/innen</t>
    </r>
    <r>
      <rPr>
        <vertAlign val="superscript"/>
        <sz val="7"/>
        <rFont val="Arial Narrow"/>
        <family val="2"/>
      </rPr>
      <t>1)</t>
    </r>
  </si>
  <si>
    <r>
      <t>Anteil an allen Schüler-/innen</t>
    </r>
    <r>
      <rPr>
        <vertAlign val="superscript"/>
        <sz val="7"/>
        <rFont val="Arial Narrow"/>
        <family val="2"/>
      </rPr>
      <t>2)</t>
    </r>
  </si>
  <si>
    <t>Anteil an allen Verwaltungseinheiten</t>
  </si>
  <si>
    <t xml:space="preserve">1) Für die Länder HE und NI liegen keine Angaben über private Ganztagsangebote vor.               </t>
  </si>
  <si>
    <t xml:space="preserve">Baden-Württemberg </t>
  </si>
  <si>
    <r>
      <t>SH</t>
    </r>
    <r>
      <rPr>
        <vertAlign val="superscript"/>
        <sz val="7"/>
        <rFont val="Arial Narrow"/>
        <family val="2"/>
      </rPr>
      <t>1)</t>
    </r>
  </si>
  <si>
    <r>
      <t>Anteil an allen Schulen</t>
    </r>
    <r>
      <rPr>
        <vertAlign val="superscript"/>
        <sz val="7"/>
        <rFont val="Arial Narrow"/>
        <family val="2"/>
      </rPr>
      <t>1)</t>
    </r>
  </si>
  <si>
    <r>
      <t>SH</t>
    </r>
    <r>
      <rPr>
        <vertAlign val="superscript"/>
        <sz val="7"/>
        <rFont val="Arial Narrow"/>
        <family val="2"/>
      </rPr>
      <t>3)</t>
    </r>
  </si>
  <si>
    <t>Hamburg</t>
  </si>
  <si>
    <t>IVC/Statistik</t>
  </si>
  <si>
    <t xml:space="preserve">1. Bei den öffentlichen Realschulen in der offenen Form handelt es sich um selbstständige Realschulen und deren Zweige an kooperativen Gesamtschulen. </t>
  </si>
  <si>
    <r>
      <t>Anteil an allen Verwaltungseinheiten</t>
    </r>
    <r>
      <rPr>
        <vertAlign val="superscript"/>
        <sz val="7"/>
        <rFont val="Arial Narrow"/>
        <family val="2"/>
      </rPr>
      <t>1)</t>
    </r>
  </si>
  <si>
    <r>
      <t>Anteil an allen Schulen</t>
    </r>
    <r>
      <rPr>
        <vertAlign val="superscript"/>
        <sz val="7"/>
        <rFont val="Arial Narrow"/>
        <family val="2"/>
      </rPr>
      <t>2)</t>
    </r>
  </si>
  <si>
    <t>Grundschulen</t>
  </si>
  <si>
    <t>Förderschulen</t>
  </si>
  <si>
    <t xml:space="preserve">öffentliche </t>
  </si>
  <si>
    <t>private</t>
  </si>
  <si>
    <t xml:space="preserve">Gymnasium </t>
  </si>
  <si>
    <t>Schulen</t>
  </si>
  <si>
    <t>Schüler</t>
  </si>
  <si>
    <t xml:space="preserve">Aus SKL </t>
  </si>
  <si>
    <t>Schüler insgesamt</t>
  </si>
  <si>
    <t>Schuljahr:</t>
  </si>
  <si>
    <t>Land:</t>
  </si>
  <si>
    <t>Verwaltungseinheiten insgesamt</t>
  </si>
  <si>
    <t>Verwaltungseinheiten mit Ganztagsschulbetrieb</t>
  </si>
  <si>
    <t>%-Anteil der Verwaltungseinheiten mit Ganztagsschulbetrieb</t>
  </si>
  <si>
    <t>Öffentliche Schulen</t>
  </si>
  <si>
    <t>Private Schulen</t>
  </si>
  <si>
    <r>
      <t xml:space="preserve">Verwaltungseinheiten im Primar- und Sekundarbereich I </t>
    </r>
    <r>
      <rPr>
        <b/>
        <vertAlign val="superscript"/>
        <sz val="11"/>
        <color indexed="10"/>
        <rFont val="Helvetica-Narrow"/>
      </rPr>
      <t>1)</t>
    </r>
  </si>
  <si>
    <t xml:space="preserve">1) Für die Länder HE, NI und ST liegen keine Angaben über private Ganztagsangebote vor.               </t>
  </si>
  <si>
    <t xml:space="preserve">2. Besonderheit (Private Schulen): An Waldorfschulen wurde das gebundene Ganztagsangbot in der SEK I genehmigt als "Ganztagsbetrieb an Waldorfschulen in den Jg. 7 bis 12", da die Jahrgänge 11 und 12 generell zur Sek I der Waldorfschulen gehören. </t>
  </si>
  <si>
    <t>1) Für die Länder HH und HE liegen keine Angaben über private Ganztagsangebote vor, daher ist in diesen Fällen die Berechnung des Anteils an allen Schulen nicht sinnvoll.</t>
  </si>
  <si>
    <t>x = Schulart nicht vorhanden bzw. keine Schule dieser Schulart befindet sich in freier Trägerschaft.</t>
  </si>
  <si>
    <t>1. Mehrfachnennung der Einrichtungen durch KMK-Zuordnung von Schulformen (z.B. werden Grundschulen, die in Brandenburg die Jahrgangsstufen 1 bis 6 umfassen, in KMK-Abfragen jeweils der Grundschule (Jahrgangsstufen 1 bis 4) und der Orientierungsstufe zugeordnet; ähnlich bei auslaufenden Schulformen an Oberschulen).</t>
  </si>
  <si>
    <t xml:space="preserve"> </t>
  </si>
  <si>
    <r>
      <t>BW</t>
    </r>
    <r>
      <rPr>
        <vertAlign val="superscript"/>
        <sz val="7"/>
        <rFont val="Arial Narrow"/>
        <family val="2"/>
      </rPr>
      <t>2)</t>
    </r>
  </si>
  <si>
    <r>
      <t>BW</t>
    </r>
    <r>
      <rPr>
        <vertAlign val="superscript"/>
        <sz val="7"/>
        <rFont val="Arial Narrow"/>
        <family val="2"/>
      </rPr>
      <t>3)</t>
    </r>
  </si>
  <si>
    <r>
      <t>MV</t>
    </r>
    <r>
      <rPr>
        <vertAlign val="superscript"/>
        <sz val="7"/>
        <rFont val="Arial Narrow"/>
        <family val="2"/>
      </rPr>
      <t>3)</t>
    </r>
  </si>
  <si>
    <r>
      <t>BW</t>
    </r>
    <r>
      <rPr>
        <vertAlign val="superscript"/>
        <sz val="7"/>
        <rFont val="Arial Narrow"/>
        <family val="2"/>
      </rPr>
      <t>1)</t>
    </r>
  </si>
  <si>
    <r>
      <t>MV</t>
    </r>
    <r>
      <rPr>
        <vertAlign val="superscript"/>
        <sz val="7"/>
        <rFont val="Arial Narrow"/>
        <family val="2"/>
      </rPr>
      <t>2)</t>
    </r>
  </si>
  <si>
    <t>Bremen</t>
  </si>
  <si>
    <t>.</t>
  </si>
  <si>
    <t>ingesamt</t>
  </si>
  <si>
    <t>Bayern</t>
  </si>
  <si>
    <t>Die Angaben zu den Verwaltungseinheiten sind ohne Abendschulen und Schulen für Kranke.</t>
  </si>
  <si>
    <t>2012/2013</t>
  </si>
  <si>
    <t>2) Ohne Einführungs- und Qualifikationsphasen.</t>
  </si>
  <si>
    <t>1) Ohne Einführungs- und Qualifikationsphasen.</t>
  </si>
  <si>
    <t xml:space="preserve">NI </t>
  </si>
  <si>
    <r>
      <t>In privater Trägerschaft</t>
    </r>
    <r>
      <rPr>
        <b/>
        <vertAlign val="superscript"/>
        <sz val="9"/>
        <rFont val="Arial Narrow"/>
        <family val="2"/>
      </rPr>
      <t>1)</t>
    </r>
  </si>
  <si>
    <r>
      <t>Gymnasium</t>
    </r>
    <r>
      <rPr>
        <b/>
        <vertAlign val="superscript"/>
        <sz val="9"/>
        <rFont val="Arial Narrow"/>
        <family val="2"/>
      </rPr>
      <t>2)</t>
    </r>
  </si>
  <si>
    <r>
      <t>Integrierte Gesamtschule</t>
    </r>
    <r>
      <rPr>
        <b/>
        <vertAlign val="superscript"/>
        <sz val="9"/>
        <rFont val="Arial Narrow"/>
        <family val="2"/>
      </rPr>
      <t>2)</t>
    </r>
  </si>
  <si>
    <r>
      <t>Freie Waldorfschule</t>
    </r>
    <r>
      <rPr>
        <b/>
        <vertAlign val="superscript"/>
        <sz val="9"/>
        <rFont val="Arial Narrow"/>
        <family val="2"/>
      </rPr>
      <t>2)</t>
    </r>
  </si>
  <si>
    <r>
      <t>In privater Trägerschaft</t>
    </r>
    <r>
      <rPr>
        <b/>
        <vertAlign val="superscript"/>
        <sz val="9"/>
        <rFont val="Arial Narrow"/>
        <family val="2"/>
      </rPr>
      <t xml:space="preserve">1) </t>
    </r>
  </si>
  <si>
    <t>3) BW: Schätzwerte.</t>
  </si>
  <si>
    <t>Brandenburg</t>
  </si>
  <si>
    <t>Sachsen-Anhalt:</t>
  </si>
  <si>
    <t>2013/2014</t>
  </si>
  <si>
    <t xml:space="preserve">1) Für die Länder HE, NI und ST liegen keine Angaben über private Ganztagsangebote vor, daher ist in diesen Fällen die Berechnung des Anteils an allen Verwaltungseinheiten nicht sinnvoll.     </t>
  </si>
  <si>
    <t xml:space="preserve">1) Für die Länder HE, NI und ST liegen keine Angaben über private Ganztagsangebote vor, daher ist in diesen Fällen die Berechnung des Anteils an allen Schulen nicht sinnvoll.                </t>
  </si>
  <si>
    <t xml:space="preserve">1) Für die Länder HE und NI liegen keine Angaben über private Ganztagsangebote vor, daher ist in diesen Fällen die Berechnung des Anteils an allen Schulen nicht sinnvoll.           </t>
  </si>
  <si>
    <t xml:space="preserve">1) Für die Länder HE und NI liegen keine Angaben über private Ganztagsangebote vor, daher ist in diesen Fällen die Berechnung des Anteils an allen Schulen nicht sinnvoll.               </t>
  </si>
  <si>
    <t xml:space="preserve">2) Für die Länder HE, NI und ST liegen keine Angaben über private Ganztagsangebote vor, daher ist in diesen Fällen die Berechnung des Anteils an allen Schulen nicht sinnvoll.              </t>
  </si>
  <si>
    <t xml:space="preserve">2) Für die Länder HE, NI und ST liegen keine Angaben über private Ganztagsangebote vor, daher ist in diesen Fällen die Berechnung des Anteils an allen Schulen nicht sinnvoll.               </t>
  </si>
  <si>
    <t xml:space="preserve">2) Für die Länder HH (bis 2012), HE, NI und ST liegen keine Angaben über private Ganztagsangebote vor, daher ist in diesen Fällen die Berechnung des Anteils an allen Schulen nicht sinnvoll.               </t>
  </si>
  <si>
    <t xml:space="preserve">1) Für die Länder HE, NI und ST liegen keine Angaben über private Ganztagsangebote vor, daher ist in diesen Fällen die Berechnung des Anteils an allen Schulen nicht sinnvoll.               </t>
  </si>
  <si>
    <t>3) SH: In den Integrierten Gesamtschulen sind die Gemeinschaftsschulen enthalten.</t>
  </si>
  <si>
    <t xml:space="preserve">1) Für die Länder NI und ST liegen keine Angaben über private Ganztagsangebote vor.               </t>
  </si>
  <si>
    <t xml:space="preserve">1) Für die Länder HH (bis 2012), HE, NI und ST liegen keine Angaben über private Ganztagsangebote vor.               </t>
  </si>
  <si>
    <t xml:space="preserve">1) Für die Länder HE, NI und ST liegen keine Angaben über private Ganztagsangebote vor, daher ist in diesen Fällen die Berechnung des Anteils an allen Schülern nicht sinnvoll.                </t>
  </si>
  <si>
    <t xml:space="preserve">2) Für die Länder HE, NI und ST liegen keine Angaben über private Ganztagsangebote vor, daher ist in diesen Fällen die Berechnung des Anteils an allen Schülern nicht sinnvoll.      </t>
  </si>
  <si>
    <t xml:space="preserve">1) Für die Länder HE, NI und ST liegen keine Angaben über private Ganztagsangebote vor, daher ist in diesen Fällen die Berechnung des Anteils an allen Schülern nicht sinnvoll.      </t>
  </si>
  <si>
    <t xml:space="preserve">1) Für die Länder HE , NI und ST liegen keine Angaben über private Ganztagsangebote vor.               </t>
  </si>
  <si>
    <t xml:space="preserve">1) Für ST liegen keine Angaben über private Ganztagsangebote vor.               </t>
  </si>
  <si>
    <t>1) Für die Länder HH (bis 2012), HE, NI und ST liegen keine Angaben über private Ganztagsangebote vor.</t>
  </si>
  <si>
    <r>
      <t>1) Für die Länder</t>
    </r>
    <r>
      <rPr>
        <b/>
        <sz val="7"/>
        <rFont val="Arial Narrow"/>
        <family val="2"/>
      </rPr>
      <t xml:space="preserve"> </t>
    </r>
    <r>
      <rPr>
        <sz val="7"/>
        <rFont val="Arial Narrow"/>
        <family val="2"/>
      </rPr>
      <t xml:space="preserve">HE und NI liegen keine Angaben über private Ganztagsangebote vor, daher ist in diesen Fällen die Berechnung des Anteils an allen Schülern nicht sinnvoll.                </t>
    </r>
  </si>
  <si>
    <t>2014/2015</t>
  </si>
  <si>
    <t>3) BY (2014): Vorjahreswerte.</t>
  </si>
  <si>
    <r>
      <t>TH</t>
    </r>
    <r>
      <rPr>
        <vertAlign val="superscript"/>
        <sz val="7"/>
        <rFont val="Arial Narrow"/>
        <family val="2"/>
      </rPr>
      <t>4)</t>
    </r>
  </si>
  <si>
    <r>
      <t>BY</t>
    </r>
    <r>
      <rPr>
        <vertAlign val="superscript"/>
        <sz val="7"/>
        <rFont val="Arial Narrow"/>
        <family val="2"/>
      </rPr>
      <t>3)</t>
    </r>
  </si>
  <si>
    <t>2) BY (2014): Vorjahreswerte.</t>
  </si>
  <si>
    <r>
      <t>BY</t>
    </r>
    <r>
      <rPr>
        <vertAlign val="superscript"/>
        <sz val="7"/>
        <rFont val="Arial Narrow"/>
        <family val="2"/>
      </rPr>
      <t>2)</t>
    </r>
  </si>
  <si>
    <t>Das Ganztagsangebot an Hamburger Schulen wird dargestellt.</t>
  </si>
  <si>
    <t>2) MV (2014): Vorjahreswerte.</t>
  </si>
  <si>
    <t>2) MV (2014): Die Angaben für die privaten Schulen wurden vom Schuljahr 2013/14 übernommen.</t>
  </si>
  <si>
    <t>4) MV (2014): Die Angaben für die privaten Schulen wurden vom Schuljahr 2013/14 übernommen.</t>
  </si>
  <si>
    <r>
      <t>MV</t>
    </r>
    <r>
      <rPr>
        <vertAlign val="superscript"/>
        <sz val="7"/>
        <rFont val="Arial Narrow"/>
        <family val="2"/>
      </rPr>
      <t>4)</t>
    </r>
  </si>
  <si>
    <r>
      <t>TH</t>
    </r>
    <r>
      <rPr>
        <vertAlign val="superscript"/>
        <sz val="7"/>
        <rFont val="Arial Narrow"/>
        <family val="2"/>
      </rPr>
      <t>5)</t>
    </r>
  </si>
  <si>
    <t>5) SH: In den Integrierten Gesamtschulen sind die Gemeinschaftsschulen enthalten.</t>
  </si>
  <si>
    <r>
      <t>SH</t>
    </r>
    <r>
      <rPr>
        <vertAlign val="superscript"/>
        <sz val="7"/>
        <rFont val="Arial Narrow"/>
        <family val="2"/>
      </rPr>
      <t>5)</t>
    </r>
  </si>
  <si>
    <t>3) MV (2014): Die Angaben für die privaten Schulen wurden vom Schuljahr 2013/14 übernommen.</t>
  </si>
  <si>
    <t>3) MV (2014): Vorjahreswerte.</t>
  </si>
  <si>
    <t>4) MV (2014): Vorjahreswerte.</t>
  </si>
  <si>
    <t>2.2.2</t>
  </si>
  <si>
    <t>2.1.7.1</t>
  </si>
  <si>
    <t>2.1.8.1</t>
  </si>
  <si>
    <t>2.2.7.1</t>
  </si>
  <si>
    <t>3.3.9.1</t>
  </si>
  <si>
    <t>3.3.8.1</t>
  </si>
  <si>
    <t>3.2.8.1</t>
  </si>
  <si>
    <t>3.1.9.1</t>
  </si>
  <si>
    <t>3.1.8.1</t>
  </si>
  <si>
    <t>2.3.8.1</t>
  </si>
  <si>
    <t>2.3.7.1</t>
  </si>
  <si>
    <t>Integrierte Gesamtschule
darunter Primarbereich</t>
  </si>
  <si>
    <t>Freie Waldorfschule
darunter Primarbereich</t>
  </si>
  <si>
    <r>
      <t>SN</t>
    </r>
    <r>
      <rPr>
        <vertAlign val="superscript"/>
        <sz val="7"/>
        <rFont val="Arial Narrow"/>
        <family val="2"/>
      </rPr>
      <t>4)</t>
    </r>
  </si>
  <si>
    <r>
      <t>SN</t>
    </r>
    <r>
      <rPr>
        <vertAlign val="superscript"/>
        <sz val="7"/>
        <rFont val="Arial Narrow"/>
        <family val="2"/>
      </rPr>
      <t>5)</t>
    </r>
  </si>
  <si>
    <t xml:space="preserve">
                            </t>
  </si>
  <si>
    <t xml:space="preserve">2) Für die Länder HH (bis 2012), HE, NI und ST liegen keine Angaben über private Ganztagsangebote vor, daher ist in diesen Fällen die Berechnung des Anteils an allen Schülern nicht sinnvoll.      </t>
  </si>
  <si>
    <t>Hinweis: Zur Definition von Ganztagsschulen siehe pdf-Datei der Statistik zu den "Allgemeinbildenden Schulen in Ganztagsform".</t>
  </si>
  <si>
    <t>Allgemeinbildende Schulen</t>
  </si>
  <si>
    <t>Für 2014 sind an einigen Schularten Vorjahreswerte angegeben bzw. einbezogen.</t>
  </si>
  <si>
    <t>3) NI (2015): Ohne Förderschulen mit dem Förderschwerpunkt "Geistige Entwicklung".</t>
  </si>
  <si>
    <r>
      <rPr>
        <sz val="7"/>
        <rFont val="Arial Narrow"/>
        <family val="2"/>
      </rPr>
      <t>NI</t>
    </r>
    <r>
      <rPr>
        <vertAlign val="superscript"/>
        <sz val="7"/>
        <rFont val="Arial Narrow"/>
        <family val="2"/>
      </rPr>
      <t>3)</t>
    </r>
  </si>
  <si>
    <r>
      <t>NI</t>
    </r>
    <r>
      <rPr>
        <vertAlign val="superscript"/>
        <sz val="7"/>
        <rFont val="Arial Narrow"/>
        <family val="2"/>
      </rPr>
      <t>1)</t>
    </r>
  </si>
  <si>
    <t>1) NI (2015): Ohne Förderschulen mit dem Förderschwerpunkt "Geistige Entwicklung".</t>
  </si>
  <si>
    <r>
      <t>SH</t>
    </r>
    <r>
      <rPr>
        <vertAlign val="superscript"/>
        <sz val="7"/>
        <rFont val="Arial Narrow"/>
        <family val="2"/>
      </rPr>
      <t>4)</t>
    </r>
  </si>
  <si>
    <t>4) SH: In den Integrierten Gesamtschulen sind die Gemeinschaftsschulen enthalten.</t>
  </si>
  <si>
    <t>1) MV: Wird als Regionale Schule geführt.</t>
  </si>
  <si>
    <r>
      <t>MV</t>
    </r>
    <r>
      <rPr>
        <vertAlign val="superscript"/>
        <sz val="7"/>
        <rFont val="Arial Narrow"/>
        <family val="2"/>
      </rPr>
      <t>1)</t>
    </r>
  </si>
  <si>
    <t xml:space="preserve">1)  Für NI, HE und ST liegen keine Angaben über private Ganztagsangebote vor, daher ist in diesen Fällen die Berechnung des Anteils an allen Schulen nicht sinnvoll.               </t>
  </si>
  <si>
    <t xml:space="preserve">1) Für ST liegen keine Angaben über private Ganztagsangebote vor, daher ist in diesen Fällen die Berechnung des Anteils an allen Schülern nicht sinnvoll.                </t>
  </si>
  <si>
    <r>
      <t>SN</t>
    </r>
    <r>
      <rPr>
        <vertAlign val="superscript"/>
        <sz val="7"/>
        <rFont val="Arial Narrow"/>
        <family val="2"/>
      </rPr>
      <t>3)</t>
    </r>
  </si>
  <si>
    <t>x</t>
  </si>
  <si>
    <t>In Sachsen-Anhalt gibt es nahezu an allen Grundschulstandorten schulbezogene Ganztagsangebote, die von 43.700 Schülerinnen und Schülern genutzt werden. Das sind etwa 68% aller Schülerinnen und Schüler der öffentlichen Grundschulen im Schuljahr 2015/16.</t>
  </si>
  <si>
    <t>Verwaltungseinheiten mit Ganztagsbetrieb 2012 bis 2016</t>
  </si>
  <si>
    <t>Allgemeinbildende Schulen in Ganztagsform 2012 bis 2016</t>
  </si>
  <si>
    <t>Schüler-/innen im Ganztagsschulbetrieb an allgemeinbildenden Schulen 2012 bis 2016</t>
  </si>
  <si>
    <t>Plausi Schüler 2016</t>
  </si>
  <si>
    <t>Plausi Schulen 2016</t>
  </si>
  <si>
    <t>2015/2016</t>
  </si>
  <si>
    <t>2016/2017</t>
  </si>
  <si>
    <t xml:space="preserve">1) Für die Länder HH (bis 2014) und HE liegen keine Angaben über private Ganztagsangebote vor.               </t>
  </si>
  <si>
    <t xml:space="preserve">Allgemeinbildende Schulen in Ganztagsform in den Ländern in der Bundesrepublik Deutschland      
- Statistik 2012 bis 2016 -
                                                                                                                - Tabellenauszug -                                      </t>
  </si>
  <si>
    <t>5) TH: Bezugsgröße Schulartspezifische Einrichtungen ohne reine Einrichtungen der Sekundarstufe II.</t>
  </si>
  <si>
    <t>3) BW: Ab 2012 sind bei den Integrierten Gesamtschulen die Grundschulen im Verbund mit der Gemeinschaftsschule, die Gemeinschaftsschulen der Sekundarstufe I sowie die Schulen besonderer Art angegeben. (Zuvor nur die Schulen besonderer Art.)</t>
  </si>
  <si>
    <t xml:space="preserve">1) Die Primarstufe an Integrierten Gesamtschulen wird seit 2013 erfasst. Frühere Daten liegen nicht vor. </t>
  </si>
  <si>
    <t>2) BW: Ab 2012 sind bei den Integrierten Gesamtschulen die Grundschulen im Verbund mit der Gemeinschaftsschule, die Gemeinschaftsschulen der Sekundarstufe I und die Schulen besonderer Art angegeben. (Zuvor nur die Schulen besonderer Art).</t>
  </si>
  <si>
    <t xml:space="preserve">3) BW: Ab 2012 sind bei den Integrierten Gesamtschulen die Grundschulen im Verbund mit der Gemeinschaftsschule sowie die Gemeinschaftsschulen der Sekundarstufe I angegeben. </t>
  </si>
  <si>
    <r>
      <t>darunter Primarstufe</t>
    </r>
    <r>
      <rPr>
        <b/>
        <vertAlign val="superscript"/>
        <sz val="9"/>
        <rFont val="Arial Narrow"/>
        <family val="2"/>
      </rPr>
      <t>2)</t>
    </r>
  </si>
  <si>
    <t>darunter Primarstufe</t>
  </si>
  <si>
    <r>
      <t>darunter Primarstufe</t>
    </r>
    <r>
      <rPr>
        <b/>
        <vertAlign val="superscript"/>
        <sz val="9"/>
        <rFont val="Arial Narrow"/>
        <family val="2"/>
      </rPr>
      <t>1)</t>
    </r>
  </si>
  <si>
    <t xml:space="preserve">2) Die Schüler in der Primarstufe an den Freien Waldorfschulen werden seit 2012 erfasst. Frühere Daten liegen nicht vor. </t>
  </si>
  <si>
    <t xml:space="preserve">  darunter Primarstufe</t>
  </si>
  <si>
    <t xml:space="preserve">1) Die Primarstufe an den Freien Waldorfschulen wird seit 2013 erfasst. Frühere Daten liegen nicht vor. </t>
  </si>
  <si>
    <t>4) TH: Bezugsgröße Schulartspezifische Einrichtungen ohne reine Einrichtungen der Sekundarstufe II.</t>
  </si>
  <si>
    <t xml:space="preserve">2) Die Primarstufe an den Integrierten Gesamtschulen wird seit 2013 erfasst. Frühere Daten liegen nicht vor. </t>
  </si>
  <si>
    <t xml:space="preserve">2) Die Primarstufe an den Freien Waldorfschulen wird seit 2013 erfasst. Frühere Daten liegen nicht vor. </t>
  </si>
  <si>
    <t xml:space="preserve">1) Die Schüler in der Primarstufe an Integrierten Gesamtschulen werden seit 2012 erfasst. Frühere Daten liegen nicht vor. </t>
  </si>
  <si>
    <t xml:space="preserve">1) Die Schüler in der Primarstufe an den Freien Waldorfschulen werden seit 2012 erfasst. Frühere Daten liegen nicht vor. </t>
  </si>
  <si>
    <t xml:space="preserve">2) Die Schüler in der Primarstufe an Integrierten Gesamtschulen werden seit 2012 erfasst. Frühere Daten liegen nicht vor. </t>
  </si>
  <si>
    <t>Zur Vermeidung von Doppelzählungen werden Schulen, die sowohl ein Ganztagsangebot in gebundener als auch offener Form anbieten, gemäß Definition ausschließlich bei den Ganztagsschulen in gebundener Form gezählt.</t>
  </si>
  <si>
    <t xml:space="preserve">2. Eine Integrierte Gesamtschule wurde doppelt gezählt, da auch die Primarstufe gebundene Ganztagsschule ist. </t>
  </si>
  <si>
    <t>2) BW: Bei den Integrierten Gesamtschulen sind die Grundschulen im Verbund mit der Gemeinschaftsschule, die Gemeinschaftsschulen der Sekundarstufe I und die Schulen besonderer Art angegeben.</t>
  </si>
  <si>
    <t>2) BW: Schätzwerte für Freie Waldorfschule und Förderschule.</t>
  </si>
  <si>
    <t xml:space="preserve">1) Für HE liegen keine Angaben über private Ganztagsangebote vor, daher ist in diesen Fällen die Berechnung des Anteils an allen Schülern nicht sinnvoll.                </t>
  </si>
  <si>
    <t xml:space="preserve">1) Für die Länder HE und NI liegen keine Angaben über private Ganztagsangebote vor, daher ist in diesen Fällen die Berechnung des Anteils an allen Schülern nicht sinnvoll.                </t>
  </si>
  <si>
    <t xml:space="preserve">3) BW: Bei den Integrierten Gesamtschulen sind die Grundschulen im Verbund mit der Gemeinschaftsschule, die Gemeinschaftsschulen der Sekundarstufe I sowie die Schulen besonderer Art angegeben (zuvor nur die Schulen besonderer Art). </t>
  </si>
  <si>
    <t xml:space="preserve">2) BW: Bei den Integrierten Gesamtschulen sind die Grundschulen im Verbund mit der Gemeinschaftsschule, die Gemeinschaftsschulen der Sekundarstufe I sowie die Schulen besonderer Art angegeben (zuvor nur die Schulen besonderer Art). </t>
  </si>
  <si>
    <t xml:space="preserve">1) Für HE liegen keine Angaben über private Ganztagsangebote vor.               </t>
  </si>
  <si>
    <t>Rheinland-Pfalz</t>
  </si>
  <si>
    <t>In Rheinland-Pfalz gibt es ein breites Angebot im Ganztagsbereich für Schülerinnen und Schüler. Den Schwerpunkt legt Rheinland-Pfalz auf Bildungsangebote, die in Verantwortung der Schulen umgesetzt werden. Neben den in der KMK-Statistik erfassten Angeboten gibt es beispielsweise Angebote an Grundschulen und Horten, die aufgrund der KMK-Definition nicht bzw. nicht vollständig in dieser Statistik erfasst werden.
Insgesamt haben 1.187 der 1.488 allgemeinbildenden Schulen (und damit knapp 80 Prozent) ein ganztägiges Angebot, davon alleine 941 der 962 Schulen im Primarbereich (rund 98 Prozent der Grundschulen). Damit ist eine flächendeckende Versorgung erreicht, die bei Bedarf ergänzt wird. Rund 75 Prozent der Schülerinnen und Schüler (ca. 270.000) besuchen bereits heute eine Ganztagsschule im allgemeinbildenden Bereich. Allen Schülerinnen und Schülern, die am Ganztagsangebot teilnehmen möchten, wird ein Platz zur Verfügung gestellt.</t>
  </si>
  <si>
    <t xml:space="preserve">Den Schülerwerten an Freien Waldorfschulen und Förderschulen liegen teilweise Schätzwerte zugrunde. </t>
  </si>
  <si>
    <t>2) BW: Teilweise Schätzwerte.</t>
  </si>
  <si>
    <t>3) BW: Teilweise Schätzwerte.</t>
  </si>
  <si>
    <t>2) BW: Teilweise Schätzwerte für Freie Waldorfschule und Förderschule.</t>
  </si>
  <si>
    <t>1) BW: Teilweise Schätzwerte.</t>
  </si>
  <si>
    <t>1) BW: Teilweise Schätzwerte für Förderschule.</t>
  </si>
  <si>
    <t>Noch keine Berücksichtigung der erweiterten Definition zu den offenen Ganztagsschulangeboten.</t>
  </si>
  <si>
    <t>Mecklenburg-Vorpommern</t>
  </si>
  <si>
    <t>4) SN: Keine Angaben zur Primarstufe der Freien Waldorfschule möglich.</t>
  </si>
  <si>
    <t>5) SN: Keine Angaben zur Primarstufe der Freien Waldorfschule möglich.</t>
  </si>
  <si>
    <t>3) SN: Keine Angaben zur Primarstufe der Freien Waldorfschule möglich.</t>
  </si>
  <si>
    <t>Berlin, den 07.03.2018</t>
  </si>
  <si>
    <t>Anmerkung: Ab 2016 findet eine erweiterte Definition (siehe Bericht S. 6) für die offenen Ganztagsangebote Anwendung. Dadurch kommt es in diesem Bereich in einigen Ländern zu einem deutlichen Anstieg. (Gilt aktuell noch nicht für MV.)</t>
  </si>
  <si>
    <t>Die Grundschulen im Verbund mit der Gemeinschaftsschule werden bei den Integrierten Gesamtschulen ausgewiesen.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</si>
</sst>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
    <numFmt numFmtId="165" formatCode="#,##0;\-#,##0;&quot;-&quot;"/>
    <numFmt numFmtId="166" formatCode="\-\ 0&quot;*&quot;\ \-"/>
    <numFmt numFmtId="167" formatCode="#,##0;\-#,##0;&quot;.&quot;"/>
    <numFmt numFmtId="168" formatCode="0.0;\-0.0;&quot;.&quot;"/>
    <numFmt numFmtId="169" formatCode="0.0%;;\-"/>
    <numFmt numFmtId="170" formatCode="0.0%;\ ;\-;\ \ \ "/>
    <numFmt numFmtId="171" formatCode="0;\-0;&quot;.&quot;"/>
    <numFmt numFmtId="172" formatCode="0.0"/>
    <numFmt numFmtId="173" formatCode="#\ ###\ ##0;\-#\ ###\ ##0;&quot;x&quot;;@"/>
    <numFmt numFmtId="174" formatCode="_-* #,##0.00_-;\-* #,##0.00_-;_-* &quot;-&quot;??_-;_-@_-"/>
    <numFmt numFmtId="175" formatCode="#,##0_-;\-#,##0_-;_-* &quot;-&quot;"/>
    <numFmt numFmtId="176" formatCode="#\ ###\ ##0;\-#\ ###\ ##0;&quot;.&quot;;@"/>
    <numFmt numFmtId="177" formatCode="0.0%;\-;\-"/>
  </numFmts>
  <fonts count="56">
    <font>
      <sz val="10"/>
      <name val="Helvetica-Narrow"/>
    </font>
    <font>
      <sz val="10"/>
      <name val="Helvetica-Narrow"/>
    </font>
    <font>
      <sz val="10"/>
      <name val="NewCenturySchlbk"/>
    </font>
    <font>
      <b/>
      <sz val="7"/>
      <name val="Arial Narrow"/>
      <family val="2"/>
    </font>
    <font>
      <sz val="7"/>
      <name val="Arial Narrow"/>
      <family val="2"/>
    </font>
    <font>
      <u/>
      <sz val="10"/>
      <color indexed="12"/>
      <name val="Helvetica-Narrow"/>
    </font>
    <font>
      <b/>
      <sz val="12"/>
      <name val="Helvetica-Narrow"/>
    </font>
    <font>
      <b/>
      <sz val="10"/>
      <name val="Helvetica-Narrow"/>
    </font>
    <font>
      <u/>
      <sz val="10"/>
      <name val="Helvetica-Narrow"/>
      <family val="2"/>
    </font>
    <font>
      <sz val="10"/>
      <name val="Helvetica-Narrow"/>
      <family val="2"/>
    </font>
    <font>
      <sz val="9"/>
      <name val="Arial Narrow"/>
      <family val="2"/>
    </font>
    <font>
      <b/>
      <sz val="9"/>
      <name val="Arial Narrow"/>
      <family val="2"/>
    </font>
    <font>
      <b/>
      <vertAlign val="superscript"/>
      <sz val="9"/>
      <name val="Arial Narrow"/>
      <family val="2"/>
    </font>
    <font>
      <vertAlign val="superscript"/>
      <sz val="7"/>
      <name val="Arial Narrow"/>
      <family val="2"/>
    </font>
    <font>
      <b/>
      <sz val="26"/>
      <name val="Arial"/>
      <family val="2"/>
    </font>
    <font>
      <sz val="26"/>
      <name val="Arial"/>
      <family val="2"/>
    </font>
    <font>
      <sz val="10"/>
      <name val="Arial"/>
      <family val="2"/>
    </font>
    <font>
      <b/>
      <sz val="10"/>
      <name val="Helvetica-Narrow"/>
      <family val="2"/>
    </font>
    <font>
      <sz val="8"/>
      <name val="Helvetica-Narrow"/>
    </font>
    <font>
      <b/>
      <u/>
      <sz val="10"/>
      <name val="Helvetica-Narrow"/>
      <family val="2"/>
    </font>
    <font>
      <b/>
      <sz val="14"/>
      <name val="Helvetica-Narrow"/>
    </font>
    <font>
      <sz val="11"/>
      <color indexed="8"/>
      <name val="Calibri"/>
      <family val="2"/>
    </font>
    <font>
      <sz val="11"/>
      <color indexed="9"/>
      <name val="Calibri"/>
      <family val="2"/>
    </font>
    <font>
      <b/>
      <sz val="11"/>
      <color indexed="63"/>
      <name val="Calibri"/>
      <family val="2"/>
    </font>
    <font>
      <b/>
      <sz val="11"/>
      <color indexed="10"/>
      <name val="Calibri"/>
      <family val="2"/>
    </font>
    <font>
      <sz val="8"/>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sz val="8"/>
      <color indexed="8"/>
      <name val="Arial"/>
      <family val="2"/>
    </font>
    <font>
      <sz val="10"/>
      <color indexed="8"/>
      <name val="Arial"/>
      <family val="2"/>
    </font>
    <font>
      <b/>
      <sz val="8"/>
      <color indexed="8"/>
      <name val="MS Sans Serif"/>
      <family val="2"/>
    </font>
    <font>
      <sz val="11"/>
      <color indexed="17"/>
      <name val="Calibri"/>
      <family val="2"/>
    </font>
    <font>
      <sz val="12"/>
      <name val="Arial"/>
      <family val="2"/>
    </font>
    <font>
      <sz val="11"/>
      <color indexed="19"/>
      <name val="Calibri"/>
      <family val="2"/>
    </font>
    <font>
      <sz val="11"/>
      <color indexed="20"/>
      <name val="Calibri"/>
      <family val="2"/>
    </font>
    <font>
      <b/>
      <sz val="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b/>
      <sz val="11"/>
      <color indexed="9"/>
      <name val="Calibri"/>
      <family val="2"/>
    </font>
    <font>
      <sz val="8"/>
      <name val="NewCenturySchlbk"/>
    </font>
    <font>
      <b/>
      <sz val="11"/>
      <name val="Arial Narrow"/>
      <family val="2"/>
    </font>
    <font>
      <b/>
      <vertAlign val="superscript"/>
      <sz val="11"/>
      <color indexed="10"/>
      <name val="Helvetica-Narrow"/>
    </font>
    <font>
      <b/>
      <sz val="11"/>
      <color indexed="10"/>
      <name val="Helvetica-Narrow"/>
      <family val="2"/>
    </font>
    <font>
      <b/>
      <sz val="8"/>
      <name val="Helvetica-Narrow"/>
      <family val="2"/>
    </font>
    <font>
      <sz val="8"/>
      <name val="Helvetica-Narrow"/>
      <family val="2"/>
    </font>
    <font>
      <b/>
      <sz val="8"/>
      <color indexed="10"/>
      <name val="Helvetica-Narrow"/>
    </font>
    <font>
      <sz val="9"/>
      <color indexed="81"/>
      <name val="Tahoma"/>
      <family val="2"/>
    </font>
    <font>
      <b/>
      <sz val="9"/>
      <color indexed="81"/>
      <name val="Tahoma"/>
      <family val="2"/>
    </font>
    <font>
      <sz val="10"/>
      <color theme="9" tint="-0.249977111117893"/>
      <name val="Helvetica-Narrow"/>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46"/>
      </patternFill>
    </fill>
    <fill>
      <patternFill patternType="solid">
        <fgColor indexed="55"/>
      </patternFill>
    </fill>
    <fill>
      <patternFill patternType="solid">
        <fgColor indexed="42"/>
        <bgColor indexed="64"/>
      </patternFill>
    </fill>
    <fill>
      <patternFill patternType="solid">
        <fgColor indexed="46"/>
        <bgColor indexed="64"/>
      </patternFill>
    </fill>
  </fills>
  <borders count="77">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56"/>
      </top>
      <bottom style="double">
        <color indexed="56"/>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right style="double">
        <color indexed="64"/>
      </right>
      <top style="hair">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top style="thin">
        <color indexed="64"/>
      </top>
      <bottom style="hair">
        <color indexed="64"/>
      </bottom>
      <diagonal/>
    </border>
    <border>
      <left/>
      <right/>
      <top style="double">
        <color indexed="64"/>
      </top>
      <bottom style="double">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right/>
      <top style="double">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double">
        <color indexed="64"/>
      </left>
      <right/>
      <top style="double">
        <color indexed="64"/>
      </top>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top/>
      <bottom style="double">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s>
  <cellStyleXfs count="64">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11"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3" fillId="15" borderId="1" applyNumberFormat="0" applyAlignment="0" applyProtection="0"/>
    <xf numFmtId="0" fontId="24" fillId="15" borderId="2" applyNumberFormat="0" applyAlignment="0" applyProtection="0"/>
    <xf numFmtId="0" fontId="25" fillId="16" borderId="3"/>
    <xf numFmtId="0" fontId="25" fillId="0" borderId="4"/>
    <xf numFmtId="0" fontId="26" fillId="17" borderId="0">
      <alignment horizontal="center"/>
    </xf>
    <xf numFmtId="0" fontId="27" fillId="17" borderId="0">
      <alignment horizontal="center"/>
    </xf>
    <xf numFmtId="0" fontId="28" fillId="18" borderId="3" applyBorder="0">
      <protection locked="0"/>
    </xf>
    <xf numFmtId="174" fontId="2" fillId="0" borderId="0" applyFont="0" applyFill="0" applyBorder="0" applyAlignment="0" applyProtection="0"/>
    <xf numFmtId="0" fontId="29" fillId="7" borderId="2" applyNumberFormat="0" applyAlignment="0" applyProtection="0"/>
    <xf numFmtId="0" fontId="30" fillId="0" borderId="5" applyNumberFormat="0" applyFill="0" applyAlignment="0" applyProtection="0"/>
    <xf numFmtId="0" fontId="31" fillId="0" borderId="0" applyNumberFormat="0" applyFill="0" applyBorder="0" applyAlignment="0" applyProtection="0"/>
    <xf numFmtId="0" fontId="32" fillId="17" borderId="4">
      <alignment horizontal="left"/>
    </xf>
    <xf numFmtId="0" fontId="33" fillId="17" borderId="0">
      <alignment horizontal="left"/>
    </xf>
    <xf numFmtId="0" fontId="34" fillId="19" borderId="0">
      <alignment horizontal="right" vertical="top" wrapText="1"/>
    </xf>
    <xf numFmtId="0" fontId="35" fillId="6" borderId="0" applyNumberFormat="0" applyBorder="0" applyAlignment="0" applyProtection="0"/>
    <xf numFmtId="0" fontId="5" fillId="0" borderId="0" applyNumberFormat="0" applyFill="0" applyBorder="0" applyAlignment="0" applyProtection="0">
      <alignment vertical="top"/>
      <protection locked="0"/>
    </xf>
    <xf numFmtId="0" fontId="16" fillId="17" borderId="4">
      <alignment horizontal="centerContinuous" wrapText="1"/>
    </xf>
    <xf numFmtId="3" fontId="36" fillId="0" borderId="0" applyFont="0" applyFill="0" applyBorder="0" applyAlignment="0" applyProtection="0"/>
    <xf numFmtId="0" fontId="25" fillId="17" borderId="6">
      <alignment wrapText="1"/>
    </xf>
    <xf numFmtId="0" fontId="25" fillId="17" borderId="7"/>
    <xf numFmtId="0" fontId="25" fillId="17" borderId="8"/>
    <xf numFmtId="0" fontId="25" fillId="17" borderId="9">
      <alignment horizontal="center" wrapText="1"/>
    </xf>
    <xf numFmtId="0" fontId="37" fillId="7" borderId="0" applyNumberFormat="0" applyBorder="0" applyAlignment="0" applyProtection="0"/>
    <xf numFmtId="0" fontId="25" fillId="0" borderId="0"/>
    <xf numFmtId="0" fontId="2" fillId="4" borderId="10" applyNumberFormat="0" applyFont="0" applyAlignment="0" applyProtection="0"/>
    <xf numFmtId="0" fontId="25" fillId="17" borderId="4"/>
    <xf numFmtId="0" fontId="38" fillId="20" borderId="0" applyNumberFormat="0" applyBorder="0" applyAlignment="0" applyProtection="0"/>
    <xf numFmtId="0" fontId="2" fillId="0" borderId="0"/>
    <xf numFmtId="0" fontId="2" fillId="0" borderId="0"/>
    <xf numFmtId="0" fontId="10" fillId="0" borderId="0"/>
    <xf numFmtId="0" fontId="39" fillId="17" borderId="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4" fillId="0" borderId="14" applyNumberFormat="0" applyFill="0" applyAlignment="0" applyProtection="0"/>
    <xf numFmtId="0" fontId="44" fillId="0" borderId="0" applyNumberFormat="0" applyFill="0" applyBorder="0" applyAlignment="0" applyProtection="0"/>
    <xf numFmtId="0" fontId="45" fillId="21" borderId="15" applyNumberFormat="0" applyAlignment="0" applyProtection="0"/>
  </cellStyleXfs>
  <cellXfs count="450">
    <xf numFmtId="0" fontId="0" fillId="0" borderId="0" xfId="0"/>
    <xf numFmtId="0" fontId="3" fillId="0" borderId="0" xfId="52" applyFont="1" applyBorder="1" applyAlignment="1">
      <alignment vertical="center" wrapText="1"/>
    </xf>
    <xf numFmtId="0" fontId="4" fillId="0" borderId="0" xfId="0" applyFont="1" applyBorder="1" applyAlignment="1"/>
    <xf numFmtId="0" fontId="3" fillId="0" borderId="0" xfId="52" applyFont="1" applyBorder="1" applyAlignment="1"/>
    <xf numFmtId="0" fontId="3" fillId="0" borderId="0" xfId="52" applyFont="1" applyBorder="1" applyAlignment="1">
      <alignment wrapText="1"/>
    </xf>
    <xf numFmtId="49" fontId="6" fillId="0" borderId="0" xfId="0" applyNumberFormat="1" applyFont="1" applyAlignment="1">
      <alignment horizontal="left"/>
    </xf>
    <xf numFmtId="0" fontId="0" fillId="0" borderId="0" xfId="0" applyAlignment="1">
      <alignment horizontal="right"/>
    </xf>
    <xf numFmtId="49" fontId="7" fillId="0" borderId="0" xfId="0" applyNumberFormat="1" applyFont="1" applyAlignment="1">
      <alignment horizontal="left"/>
    </xf>
    <xf numFmtId="49" fontId="0" fillId="0" borderId="0" xfId="0" applyNumberFormat="1" applyAlignment="1">
      <alignment horizontal="left"/>
    </xf>
    <xf numFmtId="0" fontId="8" fillId="0" borderId="0" xfId="0" applyFont="1"/>
    <xf numFmtId="0" fontId="9" fillId="0" borderId="0" xfId="0" applyFont="1"/>
    <xf numFmtId="0" fontId="11" fillId="0" borderId="0" xfId="52" applyFont="1" applyBorder="1" applyAlignment="1">
      <alignment horizontal="left" vertical="top" wrapText="1"/>
    </xf>
    <xf numFmtId="0" fontId="11" fillId="0" borderId="0" xfId="52" applyFont="1" applyBorder="1" applyAlignment="1">
      <alignment horizontal="left" vertical="center"/>
    </xf>
    <xf numFmtId="49" fontId="11" fillId="0" borderId="0" xfId="52" applyNumberFormat="1" applyFont="1" applyBorder="1" applyAlignment="1">
      <alignment horizontal="left" vertical="top" wrapText="1"/>
    </xf>
    <xf numFmtId="0" fontId="11" fillId="0" borderId="0" xfId="52" applyFont="1" applyBorder="1" applyAlignment="1">
      <alignment horizontal="left" vertical="center" wrapText="1"/>
    </xf>
    <xf numFmtId="0" fontId="10" fillId="0" borderId="0" xfId="0" applyFont="1" applyBorder="1" applyAlignment="1"/>
    <xf numFmtId="0" fontId="4" fillId="0" borderId="16" xfId="0" applyFont="1" applyBorder="1" applyAlignment="1"/>
    <xf numFmtId="0" fontId="4" fillId="0" borderId="18" xfId="0" applyFont="1" applyBorder="1" applyAlignment="1"/>
    <xf numFmtId="0" fontId="4" fillId="0" borderId="8" xfId="0" applyFont="1" applyBorder="1" applyAlignment="1"/>
    <xf numFmtId="0" fontId="4" fillId="0" borderId="6" xfId="0" applyFont="1" applyBorder="1" applyAlignment="1"/>
    <xf numFmtId="0" fontId="4" fillId="0" borderId="19" xfId="0" applyFont="1" applyBorder="1" applyAlignment="1"/>
    <xf numFmtId="0" fontId="4" fillId="0" borderId="20" xfId="0" applyFont="1" applyFill="1" applyBorder="1" applyAlignment="1"/>
    <xf numFmtId="0" fontId="3" fillId="0" borderId="0" xfId="0" applyFont="1" applyFill="1" applyBorder="1" applyAlignment="1">
      <alignment horizontal="left"/>
    </xf>
    <xf numFmtId="165" fontId="4" fillId="0" borderId="0" xfId="0" applyNumberFormat="1" applyFont="1" applyFill="1" applyBorder="1" applyAlignment="1"/>
    <xf numFmtId="0" fontId="4" fillId="0" borderId="18" xfId="0" applyFont="1" applyFill="1" applyBorder="1" applyAlignment="1"/>
    <xf numFmtId="0" fontId="3" fillId="0" borderId="8" xfId="0" applyFont="1" applyFill="1" applyBorder="1" applyAlignment="1">
      <alignment horizontal="left"/>
    </xf>
    <xf numFmtId="165" fontId="4" fillId="0" borderId="8" xfId="0" applyNumberFormat="1" applyFont="1" applyFill="1" applyBorder="1" applyAlignment="1"/>
    <xf numFmtId="0" fontId="4" fillId="0" borderId="21" xfId="0" applyFont="1" applyBorder="1" applyAlignment="1"/>
    <xf numFmtId="0" fontId="4" fillId="0" borderId="22" xfId="0" applyFont="1" applyBorder="1" applyAlignment="1"/>
    <xf numFmtId="164" fontId="4" fillId="0" borderId="0" xfId="0" applyNumberFormat="1" applyFont="1" applyFill="1" applyBorder="1" applyAlignment="1">
      <alignment horizontal="right"/>
    </xf>
    <xf numFmtId="164" fontId="4" fillId="0" borderId="23" xfId="0" applyNumberFormat="1" applyFont="1" applyFill="1" applyBorder="1" applyAlignment="1">
      <alignment horizontal="right"/>
    </xf>
    <xf numFmtId="164" fontId="4" fillId="0" borderId="8" xfId="0" applyNumberFormat="1" applyFont="1" applyFill="1" applyBorder="1" applyAlignment="1">
      <alignment horizontal="right"/>
    </xf>
    <xf numFmtId="164" fontId="4" fillId="0" borderId="22" xfId="0" applyNumberFormat="1" applyFont="1" applyFill="1" applyBorder="1" applyAlignment="1">
      <alignment horizontal="right"/>
    </xf>
    <xf numFmtId="0" fontId="4" fillId="0" borderId="0" xfId="0" applyFont="1" applyBorder="1" applyAlignment="1">
      <alignment horizontal="left"/>
    </xf>
    <xf numFmtId="165" fontId="4" fillId="0" borderId="23" xfId="0" applyNumberFormat="1" applyFont="1" applyFill="1" applyBorder="1" applyAlignment="1"/>
    <xf numFmtId="168" fontId="4" fillId="0" borderId="0" xfId="0" applyNumberFormat="1" applyFont="1" applyFill="1" applyBorder="1" applyAlignment="1"/>
    <xf numFmtId="167" fontId="4" fillId="0" borderId="0" xfId="0" applyNumberFormat="1" applyFont="1" applyFill="1" applyBorder="1" applyAlignment="1"/>
    <xf numFmtId="167" fontId="4" fillId="0" borderId="23" xfId="0" applyNumberFormat="1" applyFont="1" applyFill="1" applyBorder="1" applyAlignment="1"/>
    <xf numFmtId="0" fontId="4" fillId="0" borderId="0" xfId="0" applyFont="1" applyFill="1" applyBorder="1" applyAlignment="1">
      <alignment horizontal="left"/>
    </xf>
    <xf numFmtId="0" fontId="11" fillId="0" borderId="0" xfId="52" applyFont="1" applyBorder="1" applyAlignment="1">
      <alignment horizontal="left"/>
    </xf>
    <xf numFmtId="49" fontId="11" fillId="0" borderId="0" xfId="52" applyNumberFormat="1" applyFont="1" applyBorder="1" applyAlignment="1">
      <alignment horizontal="left"/>
    </xf>
    <xf numFmtId="0" fontId="11" fillId="0" borderId="0" xfId="52" applyFont="1" applyBorder="1" applyAlignment="1">
      <alignment horizontal="left" wrapText="1"/>
    </xf>
    <xf numFmtId="165" fontId="3" fillId="0" borderId="0" xfId="0" applyNumberFormat="1" applyFont="1" applyFill="1" applyBorder="1" applyAlignment="1"/>
    <xf numFmtId="169" fontId="4" fillId="0" borderId="0" xfId="0" applyNumberFormat="1" applyFont="1" applyFill="1" applyBorder="1" applyAlignment="1"/>
    <xf numFmtId="165" fontId="3" fillId="0" borderId="23" xfId="0" applyNumberFormat="1" applyFont="1" applyFill="1" applyBorder="1" applyAlignment="1"/>
    <xf numFmtId="165" fontId="3" fillId="0" borderId="0" xfId="0" applyNumberFormat="1" applyFont="1" applyFill="1" applyBorder="1" applyAlignment="1">
      <alignment horizontal="right"/>
    </xf>
    <xf numFmtId="165" fontId="4" fillId="0" borderId="0" xfId="0" applyNumberFormat="1" applyFont="1" applyFill="1" applyBorder="1" applyAlignment="1">
      <alignment horizontal="right"/>
    </xf>
    <xf numFmtId="165" fontId="4" fillId="0" borderId="22" xfId="0" applyNumberFormat="1" applyFont="1" applyFill="1" applyBorder="1" applyAlignment="1"/>
    <xf numFmtId="0" fontId="11" fillId="0" borderId="0" xfId="52" applyFont="1" applyBorder="1" applyAlignment="1">
      <alignment horizontal="left" vertical="top"/>
    </xf>
    <xf numFmtId="49" fontId="11" fillId="0" borderId="0" xfId="52" applyNumberFormat="1" applyFont="1" applyBorder="1" applyAlignment="1">
      <alignment horizontal="left" vertical="center" wrapText="1"/>
    </xf>
    <xf numFmtId="170" fontId="3" fillId="0" borderId="0" xfId="0" applyNumberFormat="1" applyFont="1" applyFill="1" applyBorder="1" applyAlignment="1"/>
    <xf numFmtId="170" fontId="3" fillId="0" borderId="23" xfId="0" applyNumberFormat="1" applyFont="1" applyFill="1" applyBorder="1" applyAlignment="1"/>
    <xf numFmtId="170" fontId="4" fillId="0" borderId="0" xfId="0" applyNumberFormat="1" applyFont="1" applyFill="1" applyBorder="1" applyAlignment="1"/>
    <xf numFmtId="170" fontId="4" fillId="0" borderId="23" xfId="0" applyNumberFormat="1" applyFont="1" applyFill="1" applyBorder="1" applyAlignment="1"/>
    <xf numFmtId="167" fontId="3" fillId="0" borderId="0" xfId="0" applyNumberFormat="1" applyFont="1" applyFill="1" applyBorder="1" applyAlignment="1">
      <alignment horizontal="right"/>
    </xf>
    <xf numFmtId="167" fontId="3" fillId="0" borderId="0" xfId="0" applyNumberFormat="1" applyFont="1" applyFill="1" applyBorder="1" applyAlignment="1"/>
    <xf numFmtId="167" fontId="3" fillId="0" borderId="23" xfId="0" applyNumberFormat="1" applyFont="1" applyFill="1" applyBorder="1" applyAlignment="1"/>
    <xf numFmtId="167" fontId="4" fillId="0" borderId="0" xfId="0" applyNumberFormat="1" applyFont="1" applyFill="1" applyBorder="1" applyAlignment="1">
      <alignment horizontal="right"/>
    </xf>
    <xf numFmtId="0" fontId="5" fillId="0" borderId="0" xfId="40" applyFont="1" applyBorder="1" applyAlignment="1" applyProtection="1">
      <alignment horizontal="right"/>
    </xf>
    <xf numFmtId="0" fontId="0" fillId="0" borderId="0" xfId="0" applyAlignment="1">
      <alignment horizontal="left"/>
    </xf>
    <xf numFmtId="0" fontId="0" fillId="0" borderId="24" xfId="0" applyBorder="1"/>
    <xf numFmtId="0" fontId="17" fillId="0" borderId="0" xfId="0" applyFont="1"/>
    <xf numFmtId="0" fontId="16" fillId="0" borderId="24" xfId="0" applyFont="1" applyBorder="1" applyAlignment="1"/>
    <xf numFmtId="0" fontId="4" fillId="0" borderId="0" xfId="0" applyFont="1" applyFill="1" applyBorder="1" applyAlignment="1"/>
    <xf numFmtId="0" fontId="17" fillId="0" borderId="25" xfId="0" applyFont="1" applyBorder="1" applyAlignment="1">
      <alignment horizontal="center"/>
    </xf>
    <xf numFmtId="0" fontId="17" fillId="0" borderId="26" xfId="0" applyFont="1" applyBorder="1" applyAlignment="1">
      <alignment horizontal="center"/>
    </xf>
    <xf numFmtId="0" fontId="0" fillId="0" borderId="0" xfId="0" applyBorder="1"/>
    <xf numFmtId="0" fontId="17" fillId="0" borderId="27" xfId="0" applyFont="1" applyBorder="1"/>
    <xf numFmtId="0" fontId="17" fillId="0" borderId="28" xfId="0" applyFont="1"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0" fontId="17" fillId="0" borderId="0" xfId="0" applyFont="1" applyBorder="1" applyAlignment="1">
      <alignment horizontal="center" vertical="center" wrapText="1"/>
    </xf>
    <xf numFmtId="0" fontId="0" fillId="0" borderId="30" xfId="0" applyBorder="1" applyAlignment="1">
      <alignment horizontal="right"/>
    </xf>
    <xf numFmtId="0" fontId="0" fillId="0" borderId="31" xfId="0" applyBorder="1" applyAlignment="1">
      <alignment horizontal="right"/>
    </xf>
    <xf numFmtId="0" fontId="0" fillId="0" borderId="33" xfId="0" applyBorder="1" applyAlignment="1">
      <alignment horizontal="right"/>
    </xf>
    <xf numFmtId="0" fontId="0" fillId="0" borderId="34" xfId="0" applyBorder="1" applyAlignment="1">
      <alignment horizontal="right"/>
    </xf>
    <xf numFmtId="0" fontId="0" fillId="0" borderId="39" xfId="0" applyBorder="1" applyAlignment="1">
      <alignment horizontal="right"/>
    </xf>
    <xf numFmtId="0" fontId="0" fillId="0" borderId="40" xfId="0" applyBorder="1" applyAlignment="1">
      <alignment horizontal="right"/>
    </xf>
    <xf numFmtId="0" fontId="0" fillId="0" borderId="42" xfId="0" applyBorder="1" applyAlignment="1">
      <alignment horizontal="right"/>
    </xf>
    <xf numFmtId="0" fontId="0" fillId="0" borderId="43" xfId="0" applyBorder="1" applyAlignment="1">
      <alignment horizontal="right"/>
    </xf>
    <xf numFmtId="0" fontId="0" fillId="0" borderId="36" xfId="0" applyBorder="1" applyAlignment="1">
      <alignment horizontal="right"/>
    </xf>
    <xf numFmtId="0" fontId="0" fillId="0" borderId="37" xfId="0" applyBorder="1" applyAlignment="1">
      <alignment horizontal="right"/>
    </xf>
    <xf numFmtId="0" fontId="0" fillId="0" borderId="45" xfId="0" applyBorder="1" applyAlignment="1">
      <alignment horizontal="right"/>
    </xf>
    <xf numFmtId="0" fontId="0" fillId="0" borderId="46" xfId="0" applyBorder="1" applyAlignment="1">
      <alignment horizontal="right"/>
    </xf>
    <xf numFmtId="0" fontId="0" fillId="0" borderId="47" xfId="0" applyBorder="1"/>
    <xf numFmtId="0" fontId="17" fillId="0" borderId="48" xfId="0" applyFont="1" applyBorder="1" applyAlignment="1">
      <alignment horizontal="center"/>
    </xf>
    <xf numFmtId="49" fontId="0" fillId="0" borderId="36" xfId="0" applyNumberFormat="1" applyBorder="1"/>
    <xf numFmtId="0" fontId="0" fillId="0" borderId="49" xfId="0" applyBorder="1"/>
    <xf numFmtId="0" fontId="0" fillId="0" borderId="50" xfId="0" applyBorder="1"/>
    <xf numFmtId="0" fontId="0" fillId="0" borderId="47" xfId="0" applyBorder="1" applyAlignment="1">
      <alignment horizontal="right"/>
    </xf>
    <xf numFmtId="0" fontId="0" fillId="0" borderId="50" xfId="0" applyBorder="1" applyAlignment="1">
      <alignment horizontal="right"/>
    </xf>
    <xf numFmtId="0" fontId="0" fillId="0" borderId="49" xfId="0" applyBorder="1" applyAlignment="1">
      <alignment horizontal="right"/>
    </xf>
    <xf numFmtId="0" fontId="0" fillId="0" borderId="33" xfId="0" applyFill="1" applyBorder="1" applyAlignment="1">
      <alignment horizontal="right"/>
    </xf>
    <xf numFmtId="0" fontId="0" fillId="0" borderId="42" xfId="0" applyFill="1" applyBorder="1" applyAlignment="1">
      <alignment horizontal="right"/>
    </xf>
    <xf numFmtId="0" fontId="0" fillId="0" borderId="36" xfId="0" applyFill="1" applyBorder="1" applyAlignment="1">
      <alignment horizontal="right"/>
    </xf>
    <xf numFmtId="168" fontId="3" fillId="0" borderId="0" xfId="0" applyNumberFormat="1" applyFont="1" applyFill="1" applyBorder="1" applyAlignment="1"/>
    <xf numFmtId="168" fontId="3" fillId="0" borderId="23" xfId="0" applyNumberFormat="1" applyFont="1" applyFill="1" applyBorder="1" applyAlignment="1"/>
    <xf numFmtId="0" fontId="3" fillId="0" borderId="0" xfId="0" applyFont="1" applyBorder="1" applyAlignment="1"/>
    <xf numFmtId="167" fontId="3" fillId="0" borderId="23" xfId="0" applyNumberFormat="1" applyFont="1" applyFill="1" applyBorder="1" applyAlignment="1">
      <alignment horizontal="right"/>
    </xf>
    <xf numFmtId="0" fontId="4" fillId="0" borderId="9" xfId="0" applyFont="1" applyBorder="1" applyAlignment="1"/>
    <xf numFmtId="0" fontId="4" fillId="0" borderId="7" xfId="0" applyFont="1" applyFill="1" applyBorder="1" applyAlignment="1"/>
    <xf numFmtId="0" fontId="4" fillId="0" borderId="9" xfId="0" applyFont="1" applyFill="1" applyBorder="1" applyAlignment="1"/>
    <xf numFmtId="0" fontId="4" fillId="0" borderId="51" xfId="0" applyFont="1" applyBorder="1" applyAlignment="1">
      <alignment vertical="center"/>
    </xf>
    <xf numFmtId="0" fontId="4" fillId="0" borderId="6" xfId="0" applyFont="1" applyBorder="1" applyAlignment="1">
      <alignment vertical="center"/>
    </xf>
    <xf numFmtId="0" fontId="3" fillId="0" borderId="23" xfId="0" applyFont="1" applyFill="1" applyBorder="1" applyAlignment="1">
      <alignment horizontal="left"/>
    </xf>
    <xf numFmtId="0" fontId="3" fillId="0" borderId="22" xfId="0" applyFont="1" applyFill="1" applyBorder="1" applyAlignment="1">
      <alignment horizontal="left"/>
    </xf>
    <xf numFmtId="0" fontId="0" fillId="0" borderId="52" xfId="0" applyBorder="1"/>
    <xf numFmtId="0" fontId="17" fillId="0" borderId="53" xfId="0" applyFont="1" applyBorder="1" applyAlignment="1">
      <alignment horizontal="center"/>
    </xf>
    <xf numFmtId="171" fontId="4" fillId="0" borderId="0" xfId="0" applyNumberFormat="1" applyFont="1" applyFill="1" applyBorder="1" applyAlignment="1"/>
    <xf numFmtId="170" fontId="4" fillId="0" borderId="0" xfId="0" applyNumberFormat="1" applyFont="1" applyBorder="1" applyAlignment="1"/>
    <xf numFmtId="49" fontId="1" fillId="0" borderId="0" xfId="0" applyNumberFormat="1" applyFont="1" applyAlignment="1">
      <alignment horizontal="left"/>
    </xf>
    <xf numFmtId="0" fontId="0" fillId="0" borderId="0" xfId="0" applyAlignment="1">
      <alignment horizontal="center"/>
    </xf>
    <xf numFmtId="0" fontId="0" fillId="0" borderId="0" xfId="0" applyAlignment="1"/>
    <xf numFmtId="165" fontId="4" fillId="0" borderId="8" xfId="0" applyNumberFormat="1" applyFont="1" applyFill="1" applyBorder="1" applyAlignment="1">
      <alignment horizontal="right"/>
    </xf>
    <xf numFmtId="0" fontId="7" fillId="0" borderId="0" xfId="0" applyFont="1" applyFill="1" applyBorder="1" applyAlignment="1">
      <alignment horizontal="center"/>
    </xf>
    <xf numFmtId="0" fontId="0" fillId="0" borderId="27" xfId="0" applyBorder="1"/>
    <xf numFmtId="0" fontId="0" fillId="0" borderId="54" xfId="0" applyBorder="1"/>
    <xf numFmtId="0" fontId="7" fillId="0" borderId="54" xfId="0" applyFont="1" applyBorder="1" applyAlignment="1">
      <alignment horizontal="center"/>
    </xf>
    <xf numFmtId="0" fontId="7" fillId="0" borderId="55" xfId="0" applyFont="1" applyBorder="1" applyAlignment="1">
      <alignment horizontal="center"/>
    </xf>
    <xf numFmtId="0" fontId="7" fillId="0" borderId="56" xfId="0" applyFont="1" applyBorder="1" applyAlignment="1">
      <alignment horizontal="center"/>
    </xf>
    <xf numFmtId="0" fontId="0" fillId="0" borderId="57" xfId="0" applyBorder="1"/>
    <xf numFmtId="0" fontId="0" fillId="0" borderId="58" xfId="0" applyBorder="1"/>
    <xf numFmtId="0" fontId="0" fillId="0" borderId="59" xfId="0" applyBorder="1"/>
    <xf numFmtId="0" fontId="0" fillId="0" borderId="56" xfId="0" applyBorder="1"/>
    <xf numFmtId="0" fontId="0" fillId="17" borderId="28" xfId="0" applyFill="1" applyBorder="1"/>
    <xf numFmtId="0" fontId="0" fillId="17" borderId="7" xfId="0" applyFill="1" applyBorder="1"/>
    <xf numFmtId="3" fontId="7" fillId="0" borderId="56" xfId="0" applyNumberFormat="1" applyFont="1" applyBorder="1" applyAlignment="1">
      <alignment horizontal="center"/>
    </xf>
    <xf numFmtId="3" fontId="0" fillId="0" borderId="54" xfId="0" applyNumberFormat="1" applyBorder="1"/>
    <xf numFmtId="3" fontId="0" fillId="17" borderId="7" xfId="0" applyNumberFormat="1" applyFill="1" applyBorder="1"/>
    <xf numFmtId="3" fontId="0" fillId="0" borderId="58" xfId="0" applyNumberFormat="1" applyBorder="1"/>
    <xf numFmtId="3" fontId="7" fillId="0" borderId="54" xfId="0" applyNumberFormat="1" applyFont="1" applyBorder="1" applyAlignment="1">
      <alignment horizontal="center"/>
    </xf>
    <xf numFmtId="3" fontId="7" fillId="0" borderId="55" xfId="0" applyNumberFormat="1" applyFont="1" applyBorder="1" applyAlignment="1">
      <alignment horizontal="center"/>
    </xf>
    <xf numFmtId="0" fontId="7" fillId="0" borderId="0" xfId="0" quotePrefix="1" applyFont="1" applyFill="1" applyBorder="1" applyAlignment="1">
      <alignment horizontal="center"/>
    </xf>
    <xf numFmtId="173" fontId="3" fillId="0" borderId="0" xfId="0" applyNumberFormat="1" applyFont="1" applyFill="1" applyBorder="1" applyAlignment="1"/>
    <xf numFmtId="173" fontId="3" fillId="0" borderId="23" xfId="0" applyNumberFormat="1" applyFont="1" applyFill="1" applyBorder="1" applyAlignment="1"/>
    <xf numFmtId="173" fontId="4" fillId="0" borderId="0" xfId="0" applyNumberFormat="1" applyFont="1" applyFill="1" applyBorder="1" applyAlignment="1"/>
    <xf numFmtId="173" fontId="4" fillId="0" borderId="23" xfId="0" applyNumberFormat="1" applyFont="1" applyFill="1" applyBorder="1" applyAlignment="1"/>
    <xf numFmtId="169" fontId="3" fillId="0" borderId="0" xfId="0" applyNumberFormat="1" applyFont="1" applyFill="1" applyBorder="1" applyAlignment="1">
      <alignment horizontal="right"/>
    </xf>
    <xf numFmtId="169" fontId="3" fillId="0" borderId="23" xfId="0" applyNumberFormat="1" applyFont="1" applyFill="1" applyBorder="1" applyAlignment="1">
      <alignment horizontal="right"/>
    </xf>
    <xf numFmtId="169" fontId="4" fillId="0" borderId="0" xfId="0" applyNumberFormat="1" applyFont="1" applyFill="1" applyBorder="1" applyAlignment="1">
      <alignment horizontal="right"/>
    </xf>
    <xf numFmtId="169" fontId="4" fillId="0" borderId="23" xfId="0" applyNumberFormat="1" applyFont="1" applyFill="1" applyBorder="1" applyAlignment="1">
      <alignment horizontal="right"/>
    </xf>
    <xf numFmtId="169" fontId="4" fillId="0" borderId="8" xfId="0" applyNumberFormat="1" applyFont="1" applyFill="1" applyBorder="1" applyAlignment="1">
      <alignment horizontal="right"/>
    </xf>
    <xf numFmtId="169" fontId="4" fillId="0" borderId="22" xfId="0" applyNumberFormat="1" applyFont="1" applyFill="1" applyBorder="1" applyAlignment="1">
      <alignment horizontal="right"/>
    </xf>
    <xf numFmtId="49" fontId="0" fillId="0" borderId="36" xfId="0" applyNumberFormat="1" applyBorder="1" applyAlignment="1">
      <alignment horizontal="right"/>
    </xf>
    <xf numFmtId="0" fontId="0" fillId="0" borderId="36" xfId="0" applyNumberFormat="1" applyBorder="1"/>
    <xf numFmtId="0" fontId="2" fillId="0" borderId="0" xfId="53"/>
    <xf numFmtId="0" fontId="51" fillId="22" borderId="23" xfId="52" applyFont="1" applyFill="1" applyBorder="1" applyAlignment="1">
      <alignment horizontal="center" vertical="center"/>
    </xf>
    <xf numFmtId="0" fontId="51" fillId="22" borderId="23" xfId="52" applyFont="1" applyFill="1" applyBorder="1" applyAlignment="1" applyProtection="1">
      <alignment horizontal="center" vertical="center"/>
    </xf>
    <xf numFmtId="0" fontId="50" fillId="17" borderId="60" xfId="52" applyFont="1" applyFill="1" applyBorder="1" applyAlignment="1">
      <alignment horizontal="right" vertical="center"/>
    </xf>
    <xf numFmtId="0" fontId="46" fillId="17" borderId="6" xfId="52" applyFont="1" applyFill="1" applyBorder="1" applyAlignment="1">
      <alignment vertical="center"/>
    </xf>
    <xf numFmtId="0" fontId="51" fillId="17" borderId="19" xfId="52" applyFont="1" applyFill="1" applyBorder="1" applyAlignment="1" applyProtection="1">
      <alignment horizontal="center" vertical="center"/>
      <protection locked="0"/>
    </xf>
    <xf numFmtId="0" fontId="50" fillId="17" borderId="6" xfId="52" applyFont="1" applyFill="1" applyBorder="1" applyAlignment="1">
      <alignment horizontal="center" vertical="center"/>
    </xf>
    <xf numFmtId="0" fontId="50" fillId="17" borderId="4" xfId="52" applyFont="1" applyFill="1" applyBorder="1" applyAlignment="1">
      <alignment horizontal="center" vertical="center"/>
    </xf>
    <xf numFmtId="0" fontId="50" fillId="17" borderId="4" xfId="52" applyFont="1" applyFill="1" applyBorder="1" applyAlignment="1">
      <alignment horizontal="center" vertical="center" wrapText="1"/>
    </xf>
    <xf numFmtId="172" fontId="2" fillId="22" borderId="23" xfId="53" applyNumberFormat="1" applyFill="1" applyBorder="1" applyAlignment="1">
      <alignment horizontal="center"/>
    </xf>
    <xf numFmtId="0" fontId="51" fillId="17" borderId="20" xfId="52" applyFont="1" applyFill="1" applyBorder="1" applyAlignment="1">
      <alignment horizontal="left" vertical="center"/>
    </xf>
    <xf numFmtId="0" fontId="50" fillId="17" borderId="0" xfId="52" applyFont="1" applyFill="1" applyBorder="1" applyAlignment="1">
      <alignment horizontal="left" vertical="center"/>
    </xf>
    <xf numFmtId="0" fontId="51" fillId="17" borderId="18" xfId="52" applyFont="1" applyFill="1" applyBorder="1" applyAlignment="1">
      <alignment horizontal="left" vertical="center"/>
    </xf>
    <xf numFmtId="0" fontId="51" fillId="0" borderId="0" xfId="52" applyFont="1" applyAlignment="1">
      <alignment vertical="center"/>
    </xf>
    <xf numFmtId="172" fontId="2" fillId="22" borderId="22" xfId="53" applyNumberFormat="1" applyFill="1" applyBorder="1" applyAlignment="1">
      <alignment horizontal="center"/>
    </xf>
    <xf numFmtId="175" fontId="51" fillId="22" borderId="61" xfId="32" applyNumberFormat="1" applyFont="1" applyFill="1" applyBorder="1" applyAlignment="1">
      <alignment horizontal="center" vertical="center"/>
    </xf>
    <xf numFmtId="175" fontId="51" fillId="22" borderId="62" xfId="32" applyNumberFormat="1" applyFont="1" applyFill="1" applyBorder="1" applyAlignment="1">
      <alignment horizontal="center" vertical="center"/>
    </xf>
    <xf numFmtId="175" fontId="51" fillId="0" borderId="63" xfId="32" applyNumberFormat="1" applyFont="1" applyFill="1" applyBorder="1" applyAlignment="1" applyProtection="1">
      <alignment horizontal="center" vertical="center"/>
      <protection locked="0"/>
    </xf>
    <xf numFmtId="175" fontId="51" fillId="0" borderId="64" xfId="32" applyNumberFormat="1" applyFont="1" applyFill="1" applyBorder="1" applyAlignment="1" applyProtection="1">
      <alignment horizontal="center" vertical="center"/>
      <protection locked="0"/>
    </xf>
    <xf numFmtId="175" fontId="51" fillId="0" borderId="65" xfId="32" applyNumberFormat="1" applyFont="1" applyFill="1" applyBorder="1" applyAlignment="1" applyProtection="1">
      <alignment horizontal="center" vertical="center"/>
      <protection locked="0"/>
    </xf>
    <xf numFmtId="175" fontId="51" fillId="0" borderId="66" xfId="32" applyNumberFormat="1" applyFont="1" applyFill="1" applyBorder="1" applyAlignment="1" applyProtection="1">
      <alignment horizontal="center" vertical="center"/>
      <protection locked="0"/>
    </xf>
    <xf numFmtId="168" fontId="3" fillId="0" borderId="0" xfId="0" applyNumberFormat="1" applyFont="1" applyFill="1" applyBorder="1" applyAlignment="1">
      <alignment horizontal="right"/>
    </xf>
    <xf numFmtId="168" fontId="4" fillId="0" borderId="0" xfId="0" applyNumberFormat="1" applyFont="1" applyFill="1" applyBorder="1" applyAlignment="1">
      <alignment horizontal="right"/>
    </xf>
    <xf numFmtId="171" fontId="3" fillId="0" borderId="0" xfId="0" applyNumberFormat="1" applyFont="1" applyFill="1" applyBorder="1" applyAlignment="1"/>
    <xf numFmtId="171" fontId="3" fillId="0" borderId="23" xfId="0" applyNumberFormat="1" applyFont="1" applyFill="1" applyBorder="1" applyAlignment="1"/>
    <xf numFmtId="171" fontId="3" fillId="0" borderId="0" xfId="0" applyNumberFormat="1" applyFont="1" applyFill="1" applyBorder="1" applyAlignment="1">
      <alignment horizontal="right"/>
    </xf>
    <xf numFmtId="171" fontId="3" fillId="0" borderId="23" xfId="0" applyNumberFormat="1" applyFont="1" applyFill="1" applyBorder="1" applyAlignment="1">
      <alignment horizontal="right"/>
    </xf>
    <xf numFmtId="171" fontId="4" fillId="0" borderId="23" xfId="0" applyNumberFormat="1" applyFont="1" applyFill="1" applyBorder="1" applyAlignment="1"/>
    <xf numFmtId="171" fontId="4" fillId="0" borderId="0" xfId="0" applyNumberFormat="1" applyFont="1" applyFill="1" applyBorder="1" applyAlignment="1">
      <alignment horizontal="right"/>
    </xf>
    <xf numFmtId="171" fontId="4" fillId="0" borderId="23" xfId="0" applyNumberFormat="1" applyFont="1" applyFill="1" applyBorder="1" applyAlignment="1">
      <alignment horizontal="right"/>
    </xf>
    <xf numFmtId="170" fontId="4" fillId="0" borderId="8" xfId="0" applyNumberFormat="1" applyFont="1" applyFill="1" applyBorder="1" applyAlignment="1"/>
    <xf numFmtId="170" fontId="4" fillId="0" borderId="22" xfId="0" applyNumberFormat="1" applyFont="1" applyFill="1" applyBorder="1" applyAlignment="1"/>
    <xf numFmtId="173" fontId="4" fillId="0" borderId="0" xfId="0" applyNumberFormat="1" applyFont="1" applyFill="1" applyBorder="1" applyAlignment="1">
      <alignment horizontal="right"/>
    </xf>
    <xf numFmtId="173" fontId="4" fillId="0" borderId="23" xfId="0" applyNumberFormat="1" applyFont="1" applyFill="1" applyBorder="1" applyAlignment="1">
      <alignment horizontal="right"/>
    </xf>
    <xf numFmtId="167" fontId="4" fillId="0" borderId="23" xfId="0" applyNumberFormat="1" applyFont="1" applyFill="1" applyBorder="1" applyAlignment="1">
      <alignment horizontal="right"/>
    </xf>
    <xf numFmtId="168" fontId="3" fillId="0" borderId="23" xfId="0" applyNumberFormat="1" applyFont="1" applyFill="1" applyBorder="1" applyAlignment="1">
      <alignment horizontal="right"/>
    </xf>
    <xf numFmtId="168" fontId="4" fillId="0" borderId="23" xfId="0" applyNumberFormat="1" applyFont="1" applyFill="1" applyBorder="1" applyAlignment="1">
      <alignment horizontal="right"/>
    </xf>
    <xf numFmtId="173" fontId="3" fillId="0" borderId="0" xfId="0" applyNumberFormat="1" applyFont="1" applyFill="1" applyBorder="1" applyAlignment="1">
      <alignment horizontal="right"/>
    </xf>
    <xf numFmtId="173" fontId="3" fillId="0" borderId="23" xfId="0" applyNumberFormat="1" applyFont="1" applyFill="1" applyBorder="1" applyAlignment="1">
      <alignment horizontal="right"/>
    </xf>
    <xf numFmtId="168" fontId="4" fillId="0" borderId="23" xfId="0" applyNumberFormat="1" applyFont="1" applyFill="1" applyBorder="1" applyAlignment="1"/>
    <xf numFmtId="173" fontId="4" fillId="0" borderId="0" xfId="0" applyNumberFormat="1" applyFont="1" applyBorder="1" applyAlignment="1"/>
    <xf numFmtId="0" fontId="4" fillId="0" borderId="23" xfId="0" applyFont="1" applyFill="1" applyBorder="1" applyAlignment="1">
      <alignment horizontal="left"/>
    </xf>
    <xf numFmtId="0" fontId="11" fillId="0" borderId="0" xfId="52" applyFont="1" applyFill="1" applyBorder="1" applyAlignment="1">
      <alignment horizontal="left"/>
    </xf>
    <xf numFmtId="0" fontId="0" fillId="0" borderId="0" xfId="0" applyAlignment="1">
      <alignment vertical="top"/>
    </xf>
    <xf numFmtId="0" fontId="7" fillId="0" borderId="51" xfId="0" applyFont="1" applyFill="1" applyBorder="1" applyAlignment="1">
      <alignment horizontal="center"/>
    </xf>
    <xf numFmtId="0" fontId="7" fillId="0" borderId="67" xfId="0" applyFont="1" applyFill="1" applyBorder="1" applyAlignment="1">
      <alignment horizontal="center"/>
    </xf>
    <xf numFmtId="0" fontId="7" fillId="0" borderId="59" xfId="0" applyFont="1" applyBorder="1" applyAlignment="1">
      <alignment horizontal="center"/>
    </xf>
    <xf numFmtId="0" fontId="4" fillId="0" borderId="22" xfId="0" applyFont="1" applyFill="1" applyBorder="1" applyAlignment="1">
      <alignment horizontal="left"/>
    </xf>
    <xf numFmtId="165" fontId="4" fillId="0" borderId="0" xfId="0" applyNumberFormat="1" applyFont="1" applyBorder="1" applyAlignment="1"/>
    <xf numFmtId="0" fontId="17" fillId="0" borderId="0" xfId="40" applyFont="1" applyAlignment="1" applyProtection="1"/>
    <xf numFmtId="0" fontId="9" fillId="0" borderId="0" xfId="40" applyFont="1" applyAlignment="1" applyProtection="1"/>
    <xf numFmtId="164" fontId="4" fillId="0" borderId="21" xfId="0" applyNumberFormat="1" applyFont="1" applyFill="1" applyBorder="1" applyAlignment="1">
      <alignment horizontal="right"/>
    </xf>
    <xf numFmtId="0" fontId="0" fillId="0" borderId="0" xfId="0" applyAlignment="1">
      <alignment wrapText="1"/>
    </xf>
    <xf numFmtId="0" fontId="4" fillId="0" borderId="0" xfId="0" applyFont="1" applyBorder="1" applyAlignment="1">
      <alignment horizontal="left" vertical="center"/>
    </xf>
    <xf numFmtId="0" fontId="4" fillId="0" borderId="0" xfId="0" applyFont="1" applyBorder="1" applyAlignment="1">
      <alignment vertical="center"/>
    </xf>
    <xf numFmtId="0" fontId="51" fillId="0" borderId="0" xfId="52" applyFont="1" applyAlignment="1">
      <alignment horizontal="left" vertical="center"/>
    </xf>
    <xf numFmtId="0" fontId="2" fillId="0" borderId="0" xfId="53" applyAlignment="1">
      <alignment horizontal="left" vertical="center"/>
    </xf>
    <xf numFmtId="3" fontId="7" fillId="0" borderId="54" xfId="0" applyNumberFormat="1" applyFont="1" applyBorder="1" applyAlignment="1">
      <alignment horizontal="left" vertical="center"/>
    </xf>
    <xf numFmtId="0" fontId="17" fillId="0" borderId="25" xfId="0" applyFont="1" applyBorder="1" applyAlignment="1">
      <alignment horizontal="left" vertical="center"/>
    </xf>
    <xf numFmtId="0" fontId="4" fillId="0" borderId="0" xfId="0" applyFont="1" applyFill="1" applyBorder="1" applyAlignment="1">
      <alignment horizontal="left" vertical="center"/>
    </xf>
    <xf numFmtId="0" fontId="0" fillId="0" borderId="0" xfId="0" applyAlignment="1">
      <alignment horizontal="left" vertical="center"/>
    </xf>
    <xf numFmtId="49" fontId="0" fillId="0" borderId="0" xfId="0" applyNumberFormat="1" applyAlignment="1">
      <alignment horizontal="left" vertical="center"/>
    </xf>
    <xf numFmtId="0" fontId="17" fillId="0" borderId="71" xfId="0" applyFont="1" applyBorder="1" applyAlignment="1">
      <alignment horizontal="left" vertical="center"/>
    </xf>
    <xf numFmtId="0" fontId="4" fillId="0" borderId="20" xfId="0" applyFont="1" applyFill="1" applyBorder="1" applyAlignment="1">
      <alignment horizontal="left" vertical="center"/>
    </xf>
    <xf numFmtId="49" fontId="1" fillId="0" borderId="0" xfId="0" applyNumberFormat="1" applyFont="1" applyAlignment="1">
      <alignment horizontal="left" vertical="center"/>
    </xf>
    <xf numFmtId="0" fontId="17" fillId="0" borderId="70" xfId="0" applyFont="1" applyBorder="1" applyAlignment="1">
      <alignment horizontal="left" vertical="center"/>
    </xf>
    <xf numFmtId="170" fontId="4" fillId="0" borderId="0" xfId="0" applyNumberFormat="1" applyFont="1" applyFill="1" applyBorder="1" applyAlignment="1">
      <alignment horizontal="right"/>
    </xf>
    <xf numFmtId="175" fontId="4" fillId="0" borderId="0" xfId="0" applyNumberFormat="1" applyFont="1" applyFill="1" applyBorder="1" applyAlignment="1"/>
    <xf numFmtId="175" fontId="4" fillId="0" borderId="23" xfId="0" applyNumberFormat="1" applyFont="1" applyFill="1" applyBorder="1" applyAlignment="1"/>
    <xf numFmtId="0" fontId="0" fillId="0" borderId="0" xfId="0"/>
    <xf numFmtId="0" fontId="0" fillId="0" borderId="0" xfId="0" applyAlignment="1">
      <alignment horizontal="left"/>
    </xf>
    <xf numFmtId="0" fontId="7" fillId="0" borderId="54" xfId="0" applyFont="1" applyBorder="1" applyAlignment="1">
      <alignment horizontal="center" vertical="center"/>
    </xf>
    <xf numFmtId="0" fontId="0" fillId="0" borderId="0" xfId="0"/>
    <xf numFmtId="0" fontId="0" fillId="0" borderId="0" xfId="0" applyAlignment="1">
      <alignment vertical="top"/>
    </xf>
    <xf numFmtId="0" fontId="0" fillId="0" borderId="0" xfId="0" applyAlignment="1">
      <alignment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165" fontId="4" fillId="0" borderId="21" xfId="0" applyNumberFormat="1" applyFont="1" applyFill="1" applyBorder="1" applyAlignment="1"/>
    <xf numFmtId="164" fontId="4" fillId="0" borderId="17" xfId="0" applyNumberFormat="1" applyFont="1" applyFill="1" applyBorder="1" applyAlignment="1">
      <alignment horizontal="right"/>
    </xf>
    <xf numFmtId="0" fontId="4" fillId="0" borderId="0" xfId="0" applyFont="1" applyFill="1" applyBorder="1" applyAlignment="1">
      <alignment horizontal="left" vertical="center" wrapText="1"/>
    </xf>
    <xf numFmtId="0" fontId="0" fillId="0" borderId="0" xfId="0"/>
    <xf numFmtId="0" fontId="0" fillId="0" borderId="0" xfId="0"/>
    <xf numFmtId="0" fontId="0" fillId="0" borderId="0" xfId="0" applyAlignment="1">
      <alignment vertical="top" wrapText="1"/>
    </xf>
    <xf numFmtId="0" fontId="0" fillId="0" borderId="0" xfId="0"/>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0" fontId="4" fillId="0" borderId="0" xfId="0" applyFont="1" applyBorder="1" applyAlignment="1">
      <alignment horizontal="left" vertical="center" wrapText="1"/>
    </xf>
    <xf numFmtId="0" fontId="4" fillId="0" borderId="0" xfId="0" applyFont="1" applyBorder="1" applyAlignment="1">
      <alignment horizontal="left" vertical="center"/>
    </xf>
    <xf numFmtId="0" fontId="4" fillId="0" borderId="0" xfId="0" applyFont="1" applyBorder="1" applyAlignment="1">
      <alignment horizontal="left"/>
    </xf>
    <xf numFmtId="165" fontId="4" fillId="0" borderId="17" xfId="0" applyNumberFormat="1" applyFont="1" applyFill="1" applyBorder="1" applyAlignment="1"/>
    <xf numFmtId="0" fontId="0" fillId="0" borderId="0" xfId="0" applyAlignment="1">
      <alignment horizontal="center"/>
    </xf>
    <xf numFmtId="0" fontId="0" fillId="0" borderId="0" xfId="0" applyAlignment="1">
      <alignment wrapText="1"/>
    </xf>
    <xf numFmtId="0" fontId="4" fillId="0" borderId="0" xfId="0" applyFont="1" applyBorder="1" applyAlignment="1">
      <alignment horizontal="left" vertical="center"/>
    </xf>
    <xf numFmtId="0" fontId="4" fillId="0" borderId="0" xfId="0" applyFont="1" applyBorder="1" applyAlignment="1">
      <alignment horizontal="left" vertical="top" wrapText="1"/>
    </xf>
    <xf numFmtId="0" fontId="4" fillId="0" borderId="0" xfId="0" applyFont="1" applyBorder="1" applyAlignment="1">
      <alignment horizontal="left" vertical="top"/>
    </xf>
    <xf numFmtId="0" fontId="4" fillId="0" borderId="0" xfId="0" applyFont="1" applyFill="1" applyBorder="1" applyAlignment="1">
      <alignment horizontal="left" vertical="top"/>
    </xf>
    <xf numFmtId="165" fontId="3" fillId="0" borderId="23" xfId="0" applyNumberFormat="1" applyFont="1" applyFill="1" applyBorder="1" applyAlignment="1">
      <alignment horizontal="right"/>
    </xf>
    <xf numFmtId="165" fontId="4" fillId="0" borderId="23" xfId="0" applyNumberFormat="1" applyFont="1" applyFill="1" applyBorder="1" applyAlignment="1">
      <alignment horizontal="right"/>
    </xf>
    <xf numFmtId="170" fontId="4" fillId="0" borderId="23" xfId="0" applyNumberFormat="1" applyFont="1" applyFill="1" applyBorder="1" applyAlignment="1">
      <alignment horizontal="right"/>
    </xf>
    <xf numFmtId="165" fontId="4" fillId="0" borderId="22" xfId="0" applyNumberFormat="1" applyFont="1" applyFill="1" applyBorder="1" applyAlignment="1">
      <alignment horizontal="right"/>
    </xf>
    <xf numFmtId="0" fontId="0" fillId="0" borderId="0" xfId="0" applyAlignment="1">
      <alignment vertical="top"/>
    </xf>
    <xf numFmtId="0" fontId="4" fillId="0" borderId="0" xfId="0" applyFont="1" applyBorder="1" applyAlignment="1">
      <alignment vertical="center"/>
    </xf>
    <xf numFmtId="0" fontId="0" fillId="0" borderId="0" xfId="0" applyAlignment="1">
      <alignment horizontal="left" vertical="top" wrapText="1"/>
    </xf>
    <xf numFmtId="0" fontId="4" fillId="0" borderId="0" xfId="0" applyFont="1" applyFill="1" applyBorder="1" applyAlignment="1">
      <alignment horizontal="left" vertical="top"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Fill="1" applyBorder="1" applyAlignment="1">
      <alignment vertical="top" wrapText="1"/>
    </xf>
    <xf numFmtId="0" fontId="4" fillId="0" borderId="0" xfId="0" applyFont="1" applyBorder="1" applyAlignment="1">
      <alignment horizontal="left" vertical="top" wrapText="1"/>
    </xf>
    <xf numFmtId="0" fontId="4" fillId="0" borderId="0" xfId="0" applyFont="1" applyBorder="1" applyAlignment="1">
      <alignment horizontal="left" vertical="top"/>
    </xf>
    <xf numFmtId="0" fontId="4" fillId="0" borderId="0" xfId="0" applyFont="1" applyFill="1" applyBorder="1" applyAlignment="1">
      <alignment horizontal="left" vertical="top"/>
    </xf>
    <xf numFmtId="0" fontId="0" fillId="0" borderId="0" xfId="0" applyAlignment="1">
      <alignment horizontal="left" vertical="top" wrapText="1"/>
    </xf>
    <xf numFmtId="0" fontId="4" fillId="0" borderId="0" xfId="0" applyFont="1" applyBorder="1" applyAlignment="1">
      <alignment horizontal="left" vertical="center"/>
    </xf>
    <xf numFmtId="0" fontId="4" fillId="0" borderId="0" xfId="0" applyFont="1" applyBorder="1" applyAlignment="1">
      <alignment horizontal="left"/>
    </xf>
    <xf numFmtId="0" fontId="4" fillId="0" borderId="0" xfId="0" applyFont="1" applyBorder="1" applyAlignment="1">
      <alignment horizontal="left" vertical="top" wrapText="1"/>
    </xf>
    <xf numFmtId="0" fontId="4" fillId="0" borderId="0" xfId="0" applyFont="1" applyBorder="1" applyAlignment="1">
      <alignment horizontal="left" vertical="top"/>
    </xf>
    <xf numFmtId="0" fontId="4" fillId="0" borderId="0" xfId="0" applyFont="1" applyFill="1" applyBorder="1" applyAlignment="1">
      <alignment horizontal="left" vertical="top"/>
    </xf>
    <xf numFmtId="49" fontId="0" fillId="0" borderId="0" xfId="0" applyNumberFormat="1" applyAlignment="1">
      <alignment horizontal="left" wrapText="1"/>
    </xf>
    <xf numFmtId="0" fontId="17" fillId="0" borderId="0" xfId="40" applyFont="1" applyAlignment="1" applyProtection="1">
      <alignment wrapText="1"/>
    </xf>
    <xf numFmtId="0" fontId="0" fillId="0" borderId="0" xfId="0"/>
    <xf numFmtId="0" fontId="0" fillId="0" borderId="0" xfId="0" applyAlignment="1">
      <alignment vertical="top" wrapText="1"/>
    </xf>
    <xf numFmtId="0" fontId="0" fillId="0" borderId="0" xfId="0" applyAlignment="1">
      <alignment horizontal="left" vertical="top" wrapText="1"/>
    </xf>
    <xf numFmtId="0" fontId="4" fillId="0" borderId="0" xfId="0" applyFont="1" applyBorder="1" applyAlignment="1">
      <alignment horizontal="left" vertical="top"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0" fontId="4" fillId="0" borderId="0" xfId="0" applyFont="1" applyBorder="1" applyAlignment="1">
      <alignment horizontal="left" vertical="center"/>
    </xf>
    <xf numFmtId="0" fontId="4" fillId="0" borderId="0" xfId="0" applyFont="1" applyBorder="1" applyAlignment="1">
      <alignment horizontal="left" vertical="top"/>
    </xf>
    <xf numFmtId="168" fontId="4" fillId="0" borderId="8" xfId="0" applyNumberFormat="1" applyFont="1" applyFill="1" applyBorder="1" applyAlignment="1">
      <alignment horizontal="right"/>
    </xf>
    <xf numFmtId="49" fontId="11" fillId="0" borderId="0" xfId="52" applyNumberFormat="1" applyFont="1" applyBorder="1" applyAlignment="1">
      <alignment horizontal="left" wrapText="1"/>
    </xf>
    <xf numFmtId="176" fontId="3" fillId="0" borderId="0" xfId="0" applyNumberFormat="1" applyFont="1" applyFill="1" applyBorder="1" applyAlignment="1"/>
    <xf numFmtId="176" fontId="3" fillId="0" borderId="0" xfId="0" applyNumberFormat="1" applyFont="1" applyFill="1" applyBorder="1" applyAlignment="1">
      <alignment horizontal="right"/>
    </xf>
    <xf numFmtId="176" fontId="4" fillId="0" borderId="0" xfId="0" applyNumberFormat="1" applyFont="1" applyFill="1" applyBorder="1" applyAlignment="1"/>
    <xf numFmtId="176" fontId="4" fillId="0" borderId="0" xfId="0" applyNumberFormat="1" applyFont="1" applyFill="1" applyBorder="1" applyAlignment="1">
      <alignment horizontal="right"/>
    </xf>
    <xf numFmtId="176" fontId="4" fillId="0" borderId="8" xfId="0" applyNumberFormat="1" applyFont="1" applyFill="1" applyBorder="1" applyAlignment="1"/>
    <xf numFmtId="177" fontId="3" fillId="0" borderId="0" xfId="0" applyNumberFormat="1" applyFont="1" applyFill="1" applyBorder="1" applyAlignment="1">
      <alignment horizontal="right"/>
    </xf>
    <xf numFmtId="177" fontId="3" fillId="0" borderId="23" xfId="0" applyNumberFormat="1" applyFont="1" applyFill="1" applyBorder="1" applyAlignment="1">
      <alignment horizontal="right"/>
    </xf>
    <xf numFmtId="177" fontId="4" fillId="0" borderId="0" xfId="0" applyNumberFormat="1" applyFont="1" applyFill="1" applyBorder="1" applyAlignment="1">
      <alignment horizontal="right"/>
    </xf>
    <xf numFmtId="177" fontId="4" fillId="0" borderId="23" xfId="0" applyNumberFormat="1" applyFont="1" applyFill="1" applyBorder="1" applyAlignment="1">
      <alignment horizontal="right"/>
    </xf>
    <xf numFmtId="177" fontId="4" fillId="0" borderId="8" xfId="0" applyNumberFormat="1" applyFont="1" applyFill="1" applyBorder="1" applyAlignment="1">
      <alignment horizontal="right"/>
    </xf>
    <xf numFmtId="177" fontId="4" fillId="0" borderId="22" xfId="0" applyNumberFormat="1" applyFont="1" applyFill="1" applyBorder="1" applyAlignment="1">
      <alignment horizontal="right"/>
    </xf>
    <xf numFmtId="0" fontId="0" fillId="0" borderId="0" xfId="0"/>
    <xf numFmtId="0" fontId="0" fillId="0" borderId="0" xfId="0" applyAlignment="1">
      <alignment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0" fontId="4" fillId="0" borderId="0" xfId="0" applyFont="1" applyFill="1" applyBorder="1" applyAlignment="1">
      <alignment vertical="center"/>
    </xf>
    <xf numFmtId="0" fontId="0" fillId="0" borderId="0" xfId="0"/>
    <xf numFmtId="166" fontId="10" fillId="0" borderId="0" xfId="0" applyNumberFormat="1" applyFont="1" applyBorder="1" applyAlignment="1"/>
    <xf numFmtId="0" fontId="0" fillId="0" borderId="0" xfId="0" applyAlignment="1">
      <alignment horizontal="left" vertical="top" wrapText="1"/>
    </xf>
    <xf numFmtId="0" fontId="4" fillId="0"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Fill="1" applyBorder="1" applyAlignment="1">
      <alignment horizontal="left" vertical="top"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0" fontId="4" fillId="0" borderId="0" xfId="0" applyFont="1" applyFill="1" applyBorder="1" applyAlignment="1">
      <alignment horizontal="left" vertical="center"/>
    </xf>
    <xf numFmtId="0" fontId="0" fillId="0" borderId="0" xfId="0" applyAlignment="1">
      <alignment horizontal="center"/>
    </xf>
    <xf numFmtId="0" fontId="0" fillId="0" borderId="0" xfId="0"/>
    <xf numFmtId="0" fontId="0" fillId="0" borderId="0" xfId="0" applyAlignment="1">
      <alignment wrapText="1"/>
    </xf>
    <xf numFmtId="0" fontId="0" fillId="0" borderId="0" xfId="0" applyAlignment="1">
      <alignment horizontal="left" vertical="top"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vertical="top"/>
    </xf>
    <xf numFmtId="0" fontId="20" fillId="0" borderId="74" xfId="0" applyFont="1" applyBorder="1" applyAlignment="1">
      <alignment horizontal="center"/>
    </xf>
    <xf numFmtId="168" fontId="3" fillId="0" borderId="8" xfId="0" applyNumberFormat="1" applyFont="1" applyFill="1" applyBorder="1" applyAlignment="1">
      <alignment horizontal="right"/>
    </xf>
    <xf numFmtId="0" fontId="0" fillId="0" borderId="0" xfId="0" applyBorder="1" applyAlignment="1">
      <alignment vertical="top" wrapText="1"/>
    </xf>
    <xf numFmtId="0" fontId="0" fillId="0" borderId="0" xfId="0"/>
    <xf numFmtId="0" fontId="0" fillId="0" borderId="0" xfId="0" applyAlignment="1">
      <alignment vertical="top"/>
    </xf>
    <xf numFmtId="0" fontId="4" fillId="0" borderId="0" xfId="0" applyFont="1" applyBorder="1" applyAlignment="1">
      <alignment vertical="center"/>
    </xf>
    <xf numFmtId="0" fontId="4" fillId="0" borderId="0" xfId="0" applyFont="1" applyBorder="1" applyAlignment="1">
      <alignment horizontal="left" vertical="top"/>
    </xf>
    <xf numFmtId="0" fontId="55" fillId="0" borderId="0" xfId="0" applyFont="1" applyFill="1" applyAlignment="1">
      <alignment horizontal="left" vertical="top" wrapText="1"/>
    </xf>
    <xf numFmtId="0" fontId="0" fillId="0" borderId="0" xfId="0" applyFill="1"/>
    <xf numFmtId="0" fontId="0" fillId="0" borderId="0" xfId="0" applyFill="1" applyAlignment="1">
      <alignment vertical="top"/>
    </xf>
    <xf numFmtId="0" fontId="13" fillId="0" borderId="7" xfId="0" applyFont="1" applyFill="1" applyBorder="1" applyAlignment="1"/>
    <xf numFmtId="176" fontId="3" fillId="0" borderId="23" xfId="0" applyNumberFormat="1" applyFont="1" applyFill="1" applyBorder="1" applyAlignment="1">
      <alignment horizontal="right"/>
    </xf>
    <xf numFmtId="176" fontId="4" fillId="0" borderId="23" xfId="0" applyNumberFormat="1" applyFont="1" applyFill="1" applyBorder="1" applyAlignment="1">
      <alignment horizontal="right"/>
    </xf>
    <xf numFmtId="0" fontId="4" fillId="0"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Fill="1" applyBorder="1" applyAlignment="1">
      <alignment horizontal="left" vertical="top"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0" fontId="4" fillId="0" borderId="0" xfId="0" applyFont="1" applyBorder="1" applyAlignment="1">
      <alignment horizontal="left" vertical="top" wrapText="1"/>
    </xf>
    <xf numFmtId="0" fontId="4" fillId="0" borderId="0" xfId="0" applyFont="1" applyFill="1" applyBorder="1" applyAlignment="1">
      <alignment horizontal="left" vertical="center"/>
    </xf>
    <xf numFmtId="0" fontId="0" fillId="0" borderId="0" xfId="0" applyAlignment="1">
      <alignment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vertical="top"/>
    </xf>
    <xf numFmtId="0" fontId="4" fillId="0" borderId="0" xfId="0" applyFont="1" applyBorder="1" applyAlignment="1">
      <alignment horizontal="left" vertical="top" wrapText="1"/>
    </xf>
    <xf numFmtId="0" fontId="4" fillId="0" borderId="20" xfId="0" applyFont="1" applyBorder="1" applyAlignment="1"/>
    <xf numFmtId="0" fontId="4" fillId="0" borderId="23" xfId="0" applyFont="1" applyBorder="1" applyAlignment="1"/>
    <xf numFmtId="0" fontId="4" fillId="0" borderId="17" xfId="0" applyFont="1" applyBorder="1" applyAlignment="1"/>
    <xf numFmtId="0" fontId="0" fillId="0" borderId="0" xfId="0"/>
    <xf numFmtId="168" fontId="4" fillId="0" borderId="20" xfId="0" applyNumberFormat="1" applyFont="1" applyFill="1" applyBorder="1" applyAlignment="1"/>
    <xf numFmtId="0" fontId="4" fillId="0" borderId="0" xfId="0" applyFont="1" applyBorder="1" applyAlignment="1">
      <alignment horizontal="left" vertical="center"/>
    </xf>
    <xf numFmtId="0" fontId="0" fillId="0" borderId="0" xfId="0"/>
    <xf numFmtId="0" fontId="0" fillId="0" borderId="0" xfId="0" applyAlignment="1">
      <alignment vertical="top"/>
    </xf>
    <xf numFmtId="0" fontId="0" fillId="0" borderId="0" xfId="0"/>
    <xf numFmtId="0" fontId="0" fillId="0" borderId="0" xfId="0" applyAlignment="1">
      <alignment horizontal="center"/>
    </xf>
    <xf numFmtId="0" fontId="14" fillId="0" borderId="0" xfId="0" applyFont="1" applyAlignment="1">
      <alignment horizontal="center" vertical="center" wrapText="1"/>
    </xf>
    <xf numFmtId="0" fontId="0" fillId="0" borderId="0" xfId="0"/>
    <xf numFmtId="0" fontId="0" fillId="0" borderId="0" xfId="0" applyAlignment="1">
      <alignment horizontal="right" wrapText="1"/>
    </xf>
    <xf numFmtId="0" fontId="0" fillId="0" borderId="0" xfId="0" applyAlignment="1">
      <alignment wrapText="1"/>
    </xf>
    <xf numFmtId="0" fontId="15" fillId="0" borderId="0" xfId="0" applyFont="1" applyAlignment="1">
      <alignment horizontal="left"/>
    </xf>
    <xf numFmtId="0" fontId="0" fillId="0" borderId="0" xfId="0" applyAlignment="1"/>
    <xf numFmtId="0" fontId="16" fillId="0" borderId="24" xfId="0" applyFont="1" applyBorder="1" applyAlignment="1"/>
    <xf numFmtId="0" fontId="0" fillId="0" borderId="0" xfId="0"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0" fillId="0" borderId="0" xfId="0" quotePrefix="1" applyFill="1" applyAlignment="1">
      <alignment horizontal="left" vertical="top" wrapText="1"/>
    </xf>
    <xf numFmtId="0" fontId="0" fillId="0" borderId="0" xfId="0" applyFill="1" applyAlignment="1">
      <alignment wrapText="1"/>
    </xf>
    <xf numFmtId="0" fontId="4" fillId="0" borderId="6" xfId="0" applyFont="1" applyBorder="1" applyAlignment="1">
      <alignment horizontal="center" vertical="center"/>
    </xf>
    <xf numFmtId="0" fontId="4" fillId="0" borderId="19" xfId="0" applyFont="1" applyBorder="1" applyAlignment="1">
      <alignment horizontal="center" vertical="center"/>
    </xf>
    <xf numFmtId="0" fontId="4" fillId="0" borderId="60" xfId="0" applyFont="1" applyBorder="1" applyAlignment="1">
      <alignment horizontal="center" vertical="center"/>
    </xf>
    <xf numFmtId="0" fontId="3" fillId="17" borderId="60" xfId="0" applyFont="1" applyFill="1" applyBorder="1" applyAlignment="1">
      <alignment horizontal="center"/>
    </xf>
    <xf numFmtId="0" fontId="3" fillId="17" borderId="6" xfId="0" applyFont="1" applyFill="1" applyBorder="1" applyAlignment="1">
      <alignment horizontal="center"/>
    </xf>
    <xf numFmtId="0" fontId="3" fillId="17" borderId="19" xfId="0" applyFont="1" applyFill="1" applyBorder="1" applyAlignment="1">
      <alignment horizontal="center"/>
    </xf>
    <xf numFmtId="0" fontId="4" fillId="0" borderId="0" xfId="0" applyFont="1" applyFill="1" applyBorder="1" applyAlignment="1">
      <alignment horizontal="left" vertical="center" wrapText="1"/>
    </xf>
    <xf numFmtId="0" fontId="0" fillId="0" borderId="0" xfId="0" applyAlignment="1">
      <alignment vertical="center"/>
    </xf>
    <xf numFmtId="166" fontId="10" fillId="0" borderId="0" xfId="0" applyNumberFormat="1" applyFont="1" applyBorder="1" applyAlignment="1">
      <alignment horizontal="center"/>
    </xf>
    <xf numFmtId="0" fontId="4" fillId="0" borderId="60" xfId="0" applyFont="1" applyBorder="1" applyAlignment="1">
      <alignment horizontal="center"/>
    </xf>
    <xf numFmtId="0" fontId="4" fillId="0" borderId="6" xfId="0" applyFont="1" applyBorder="1" applyAlignment="1">
      <alignment horizontal="center"/>
    </xf>
    <xf numFmtId="0" fontId="4" fillId="0" borderId="19" xfId="0" applyFont="1" applyBorder="1" applyAlignment="1">
      <alignment horizontal="center"/>
    </xf>
    <xf numFmtId="0" fontId="4" fillId="0" borderId="0" xfId="0" applyFont="1" applyBorder="1" applyAlignment="1">
      <alignment horizontal="left" vertical="center" wrapText="1"/>
    </xf>
    <xf numFmtId="0" fontId="3" fillId="17" borderId="16" xfId="0" applyFont="1" applyFill="1" applyBorder="1" applyAlignment="1">
      <alignment horizontal="center"/>
    </xf>
    <xf numFmtId="0" fontId="3" fillId="17" borderId="17" xfId="0" applyFont="1" applyFill="1" applyBorder="1" applyAlignment="1">
      <alignment horizontal="center"/>
    </xf>
    <xf numFmtId="0" fontId="3" fillId="17" borderId="21" xfId="0" applyFont="1" applyFill="1" applyBorder="1" applyAlignment="1">
      <alignment horizontal="center"/>
    </xf>
    <xf numFmtId="0" fontId="3" fillId="17" borderId="20" xfId="0" applyFont="1" applyFill="1" applyBorder="1" applyAlignment="1">
      <alignment horizontal="center"/>
    </xf>
    <xf numFmtId="0" fontId="3" fillId="17" borderId="0" xfId="0" applyFont="1" applyFill="1" applyBorder="1" applyAlignment="1">
      <alignment horizontal="center"/>
    </xf>
    <xf numFmtId="0" fontId="3" fillId="17" borderId="23"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left" wrapTex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left" wrapText="1"/>
    </xf>
    <xf numFmtId="0" fontId="4" fillId="0" borderId="0" xfId="0" applyFont="1" applyBorder="1" applyAlignment="1">
      <alignment horizontal="left" vertical="center"/>
    </xf>
    <xf numFmtId="0" fontId="4" fillId="0" borderId="0" xfId="0" applyFont="1" applyBorder="1" applyAlignment="1">
      <alignment vertical="center"/>
    </xf>
    <xf numFmtId="0" fontId="4" fillId="0" borderId="0" xfId="0" applyFont="1" applyBorder="1" applyAlignment="1">
      <alignment horizontal="left"/>
    </xf>
    <xf numFmtId="0" fontId="4" fillId="17" borderId="20" xfId="0" applyFont="1" applyFill="1" applyBorder="1" applyAlignment="1">
      <alignment horizontal="center"/>
    </xf>
    <xf numFmtId="0" fontId="4" fillId="17" borderId="0" xfId="0" applyFont="1" applyFill="1" applyBorder="1" applyAlignment="1">
      <alignment horizontal="center"/>
    </xf>
    <xf numFmtId="0" fontId="4" fillId="17" borderId="23" xfId="0" applyFont="1" applyFill="1" applyBorder="1" applyAlignment="1">
      <alignment horizontal="center"/>
    </xf>
    <xf numFmtId="0" fontId="4" fillId="0" borderId="0" xfId="0" applyFont="1" applyBorder="1" applyAlignment="1">
      <alignment horizontal="left" vertical="top"/>
    </xf>
    <xf numFmtId="0" fontId="4" fillId="0" borderId="0" xfId="0" applyFont="1" applyBorder="1" applyAlignment="1">
      <alignment horizontal="left" vertical="top" wrapText="1"/>
    </xf>
    <xf numFmtId="0" fontId="0" fillId="0" borderId="0" xfId="0" applyAlignment="1">
      <alignment horizontal="left"/>
    </xf>
    <xf numFmtId="0" fontId="4" fillId="0" borderId="0" xfId="0" applyFont="1" applyFill="1" applyBorder="1" applyAlignment="1">
      <alignment horizontal="left" vertical="center"/>
    </xf>
    <xf numFmtId="0" fontId="0" fillId="0" borderId="0" xfId="0" applyFill="1" applyAlignment="1">
      <alignment horizontal="left"/>
    </xf>
    <xf numFmtId="0" fontId="17" fillId="0" borderId="70" xfId="0" applyFont="1" applyBorder="1" applyAlignment="1">
      <alignment horizontal="center" vertical="center" wrapText="1"/>
    </xf>
    <xf numFmtId="0" fontId="19" fillId="0" borderId="0" xfId="0" applyFont="1" applyAlignment="1">
      <alignment horizontal="center"/>
    </xf>
    <xf numFmtId="0" fontId="17" fillId="0" borderId="72"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76"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71" xfId="0" applyFont="1" applyBorder="1" applyAlignment="1">
      <alignment horizontal="center" vertical="center" wrapText="1"/>
    </xf>
    <xf numFmtId="0" fontId="19" fillId="0" borderId="0" xfId="0" applyFont="1" applyBorder="1" applyAlignment="1">
      <alignment horizontal="center" vertical="center" wrapText="1"/>
    </xf>
    <xf numFmtId="0" fontId="17" fillId="0" borderId="70" xfId="0" applyFont="1" applyBorder="1" applyAlignment="1">
      <alignment horizontal="left" vertical="center" wrapText="1"/>
    </xf>
    <xf numFmtId="0" fontId="7" fillId="23" borderId="68" xfId="0" applyFont="1" applyFill="1" applyBorder="1" applyAlignment="1">
      <alignment horizontal="center"/>
    </xf>
    <xf numFmtId="0" fontId="7" fillId="23" borderId="74" xfId="0" applyFont="1" applyFill="1" applyBorder="1" applyAlignment="1">
      <alignment horizontal="center"/>
    </xf>
    <xf numFmtId="0" fontId="7" fillId="23" borderId="68" xfId="0" applyFont="1" applyFill="1" applyBorder="1" applyAlignment="1">
      <alignment horizontal="center" wrapText="1"/>
    </xf>
    <xf numFmtId="0" fontId="7" fillId="23" borderId="74" xfId="0" applyFont="1" applyFill="1" applyBorder="1" applyAlignment="1">
      <alignment horizontal="center" wrapText="1"/>
    </xf>
    <xf numFmtId="0" fontId="7" fillId="0" borderId="28" xfId="0" applyFont="1" applyFill="1" applyBorder="1" applyAlignment="1">
      <alignment horizontal="center"/>
    </xf>
    <xf numFmtId="0" fontId="7" fillId="0" borderId="57" xfId="0" applyFont="1" applyFill="1" applyBorder="1" applyAlignment="1">
      <alignment horizontal="center"/>
    </xf>
    <xf numFmtId="3" fontId="7" fillId="23" borderId="56" xfId="0" applyNumberFormat="1" applyFont="1" applyFill="1" applyBorder="1" applyAlignment="1">
      <alignment horizontal="center"/>
    </xf>
    <xf numFmtId="3" fontId="7" fillId="23" borderId="0" xfId="0" applyNumberFormat="1" applyFont="1" applyFill="1" applyBorder="1" applyAlignment="1">
      <alignment horizontal="center"/>
    </xf>
    <xf numFmtId="3" fontId="7" fillId="23" borderId="56" xfId="0" applyNumberFormat="1" applyFont="1" applyFill="1" applyBorder="1" applyAlignment="1">
      <alignment horizontal="center" wrapText="1"/>
    </xf>
    <xf numFmtId="3" fontId="7" fillId="23" borderId="0" xfId="0" applyNumberFormat="1" applyFont="1" applyFill="1" applyBorder="1" applyAlignment="1">
      <alignment horizontal="center" wrapText="1"/>
    </xf>
    <xf numFmtId="0" fontId="7" fillId="23" borderId="56" xfId="0" applyFont="1" applyFill="1" applyBorder="1" applyAlignment="1">
      <alignment horizontal="center"/>
    </xf>
    <xf numFmtId="0" fontId="7" fillId="23" borderId="0" xfId="0" applyFont="1" applyFill="1" applyBorder="1" applyAlignment="1">
      <alignment horizontal="center"/>
    </xf>
    <xf numFmtId="0" fontId="50" fillId="17" borderId="18" xfId="52" applyFont="1" applyFill="1" applyBorder="1" applyAlignment="1">
      <alignment horizontal="left" vertical="center" wrapText="1"/>
    </xf>
    <xf numFmtId="0" fontId="50" fillId="17" borderId="8" xfId="52" applyFont="1" applyFill="1" applyBorder="1" applyAlignment="1">
      <alignment horizontal="left" vertical="center" wrapText="1"/>
    </xf>
    <xf numFmtId="0" fontId="50" fillId="17" borderId="8" xfId="52" applyFont="1" applyFill="1" applyBorder="1" applyAlignment="1">
      <alignment horizontal="left" vertical="center"/>
    </xf>
    <xf numFmtId="0" fontId="47" fillId="17" borderId="60" xfId="54" applyFont="1" applyFill="1" applyBorder="1" applyAlignment="1">
      <alignment horizontal="center" vertical="center" wrapText="1"/>
    </xf>
    <xf numFmtId="0" fontId="47" fillId="17" borderId="6" xfId="54" applyFont="1" applyFill="1" applyBorder="1" applyAlignment="1">
      <alignment horizontal="center" vertical="center"/>
    </xf>
    <xf numFmtId="0" fontId="2" fillId="0" borderId="19" xfId="53" applyBorder="1" applyAlignment="1">
      <alignment horizontal="center" vertical="center"/>
    </xf>
    <xf numFmtId="0" fontId="49" fillId="17" borderId="16" xfId="52" applyFont="1" applyFill="1" applyBorder="1" applyAlignment="1">
      <alignment horizontal="center" vertical="center"/>
    </xf>
    <xf numFmtId="0" fontId="49" fillId="17" borderId="17" xfId="52" applyFont="1" applyFill="1" applyBorder="1" applyAlignment="1">
      <alignment horizontal="center" vertical="center"/>
    </xf>
    <xf numFmtId="0" fontId="49" fillId="17" borderId="21" xfId="52" applyFont="1" applyFill="1" applyBorder="1" applyAlignment="1">
      <alignment horizontal="center" vertical="center"/>
    </xf>
    <xf numFmtId="49" fontId="50" fillId="17" borderId="20" xfId="52" applyNumberFormat="1" applyFont="1" applyFill="1" applyBorder="1" applyAlignment="1">
      <alignment horizontal="right" vertical="center"/>
    </xf>
    <xf numFmtId="0" fontId="46" fillId="0" borderId="0" xfId="52" applyFont="1" applyBorder="1" applyAlignment="1">
      <alignment vertical="center"/>
    </xf>
    <xf numFmtId="0" fontId="52" fillId="17" borderId="20" xfId="52" applyFont="1" applyFill="1" applyBorder="1" applyAlignment="1">
      <alignment horizontal="center" vertical="center"/>
    </xf>
    <xf numFmtId="0" fontId="52" fillId="17" borderId="0" xfId="52" applyFont="1" applyFill="1" applyBorder="1" applyAlignment="1">
      <alignment horizontal="center" vertical="center"/>
    </xf>
    <xf numFmtId="0" fontId="52" fillId="17" borderId="23" xfId="52" applyFont="1" applyFill="1" applyBorder="1" applyAlignment="1">
      <alignment horizontal="center" vertical="center"/>
    </xf>
    <xf numFmtId="0" fontId="50" fillId="17" borderId="20" xfId="52" applyFont="1" applyFill="1" applyBorder="1" applyAlignment="1">
      <alignment horizontal="right" vertical="center"/>
    </xf>
  </cellXfs>
  <cellStyles count="64">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bin" xfId="27"/>
    <cellStyle name="cell" xfId="28"/>
    <cellStyle name="Col&amp;RowHeadings" xfId="29"/>
    <cellStyle name="column" xfId="30"/>
    <cellStyle name="DataEntryCells" xfId="31"/>
    <cellStyle name="Dezimal_SKL2001" xfId="32"/>
    <cellStyle name="Eingabe" xfId="33" builtinId="20" customBuiltin="1"/>
    <cellStyle name="Ergebnis" xfId="34" builtinId="25" customBuiltin="1"/>
    <cellStyle name="Erklärender Text" xfId="35" builtinId="53" customBuiltin="1"/>
    <cellStyle name="formula" xfId="36"/>
    <cellStyle name="gap" xfId="37"/>
    <cellStyle name="GreyBackground" xfId="38"/>
    <cellStyle name="Gut" xfId="39" builtinId="26" customBuiltin="1"/>
    <cellStyle name="Hyperlink" xfId="40" builtinId="8"/>
    <cellStyle name="isced" xfId="41"/>
    <cellStyle name="Komma0" xfId="42"/>
    <cellStyle name="level1a" xfId="43"/>
    <cellStyle name="level2" xfId="44"/>
    <cellStyle name="level2a" xfId="45"/>
    <cellStyle name="level3" xfId="46"/>
    <cellStyle name="Neutral" xfId="47" builtinId="28" customBuiltin="1"/>
    <cellStyle name="Normal_ENRL7" xfId="48"/>
    <cellStyle name="Notiz" xfId="49" builtinId="10" customBuiltin="1"/>
    <cellStyle name="row" xfId="50"/>
    <cellStyle name="Schlecht" xfId="51" builtinId="27" customBuiltin="1"/>
    <cellStyle name="Standard" xfId="0" builtinId="0"/>
    <cellStyle name="Standard_SKL2001" xfId="52"/>
    <cellStyle name="Standard_SKL2010_BW" xfId="53"/>
    <cellStyle name="Standard_UmfrageschemataKurse+Abinoten" xfId="54"/>
    <cellStyle name="title1" xfId="55"/>
    <cellStyle name="Überschrift" xfId="56" builtinId="15" customBuiltin="1"/>
    <cellStyle name="Überschrift 1" xfId="57" builtinId="16" customBuiltin="1"/>
    <cellStyle name="Überschrift 2" xfId="58" builtinId="17" customBuiltin="1"/>
    <cellStyle name="Überschrift 3" xfId="59" builtinId="18" customBuiltin="1"/>
    <cellStyle name="Überschrift 4" xfId="60" builtinId="19" customBuiltin="1"/>
    <cellStyle name="Verknüpfte Zelle" xfId="61" builtinId="24" customBuiltin="1"/>
    <cellStyle name="Warnender Text" xfId="62" builtinId="11" customBuiltin="1"/>
    <cellStyle name="Zelle überprüfen" xfId="63" builtinId="23" customBuiltin="1"/>
  </cellStyles>
  <dxfs count="63">
    <dxf>
      <font>
        <condense val="0"/>
        <extend val="0"/>
        <color indexed="11"/>
      </font>
    </dxf>
    <dxf>
      <font>
        <condense val="0"/>
        <extend val="0"/>
        <color indexed="10"/>
      </font>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
      <fill>
        <patternFill>
          <bgColor indexed="6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8.xml"/><Relationship Id="rId89" Type="http://schemas.openxmlformats.org/officeDocument/2006/relationships/externalLink" Target="externalLinks/externalLink13.xml"/><Relationship Id="rId112" Type="http://schemas.openxmlformats.org/officeDocument/2006/relationships/externalLink" Target="externalLinks/externalLink36.xml"/><Relationship Id="rId133" Type="http://schemas.openxmlformats.org/officeDocument/2006/relationships/externalLink" Target="externalLinks/externalLink57.xml"/><Relationship Id="rId138" Type="http://schemas.openxmlformats.org/officeDocument/2006/relationships/externalLink" Target="externalLinks/externalLink62.xml"/><Relationship Id="rId154" Type="http://schemas.openxmlformats.org/officeDocument/2006/relationships/externalLink" Target="externalLinks/externalLink78.xml"/><Relationship Id="rId159"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3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3.xml"/><Relationship Id="rId102" Type="http://schemas.openxmlformats.org/officeDocument/2006/relationships/externalLink" Target="externalLinks/externalLink26.xml"/><Relationship Id="rId123" Type="http://schemas.openxmlformats.org/officeDocument/2006/relationships/externalLink" Target="externalLinks/externalLink47.xml"/><Relationship Id="rId128" Type="http://schemas.openxmlformats.org/officeDocument/2006/relationships/externalLink" Target="externalLinks/externalLink52.xml"/><Relationship Id="rId144" Type="http://schemas.openxmlformats.org/officeDocument/2006/relationships/externalLink" Target="externalLinks/externalLink68.xml"/><Relationship Id="rId149"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14.xml"/><Relationship Id="rId95" Type="http://schemas.openxmlformats.org/officeDocument/2006/relationships/externalLink" Target="externalLinks/externalLink19.xml"/><Relationship Id="rId16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7.xml"/><Relationship Id="rId118" Type="http://schemas.openxmlformats.org/officeDocument/2006/relationships/externalLink" Target="externalLinks/externalLink42.xml"/><Relationship Id="rId134" Type="http://schemas.openxmlformats.org/officeDocument/2006/relationships/externalLink" Target="externalLinks/externalLink58.xml"/><Relationship Id="rId139" Type="http://schemas.openxmlformats.org/officeDocument/2006/relationships/externalLink" Target="externalLinks/externalLink63.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150" Type="http://schemas.openxmlformats.org/officeDocument/2006/relationships/externalLink" Target="externalLinks/externalLink74.xml"/><Relationship Id="rId155" Type="http://schemas.openxmlformats.org/officeDocument/2006/relationships/externalLink" Target="externalLinks/externalLink7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7.xml"/><Relationship Id="rId108" Type="http://schemas.openxmlformats.org/officeDocument/2006/relationships/externalLink" Target="externalLinks/externalLink32.xml"/><Relationship Id="rId124" Type="http://schemas.openxmlformats.org/officeDocument/2006/relationships/externalLink" Target="externalLinks/externalLink48.xml"/><Relationship Id="rId129"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91" Type="http://schemas.openxmlformats.org/officeDocument/2006/relationships/externalLink" Target="externalLinks/externalLink15.xml"/><Relationship Id="rId96" Type="http://schemas.openxmlformats.org/officeDocument/2006/relationships/externalLink" Target="externalLinks/externalLink20.xml"/><Relationship Id="rId111" Type="http://schemas.openxmlformats.org/officeDocument/2006/relationships/externalLink" Target="externalLinks/externalLink35.xml"/><Relationship Id="rId132" Type="http://schemas.openxmlformats.org/officeDocument/2006/relationships/externalLink" Target="externalLinks/externalLink56.xml"/><Relationship Id="rId140" Type="http://schemas.openxmlformats.org/officeDocument/2006/relationships/externalLink" Target="externalLinks/externalLink64.xml"/><Relationship Id="rId145" Type="http://schemas.openxmlformats.org/officeDocument/2006/relationships/externalLink" Target="externalLinks/externalLink69.xml"/><Relationship Id="rId153" Type="http://schemas.openxmlformats.org/officeDocument/2006/relationships/externalLink" Target="externalLinks/externalLink7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0.xml"/><Relationship Id="rId114" Type="http://schemas.openxmlformats.org/officeDocument/2006/relationships/externalLink" Target="externalLinks/externalLink38.xml"/><Relationship Id="rId119" Type="http://schemas.openxmlformats.org/officeDocument/2006/relationships/externalLink" Target="externalLinks/externalLink43.xml"/><Relationship Id="rId127" Type="http://schemas.openxmlformats.org/officeDocument/2006/relationships/externalLink" Target="externalLinks/externalLink5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94" Type="http://schemas.openxmlformats.org/officeDocument/2006/relationships/externalLink" Target="externalLinks/externalLink18.xml"/><Relationship Id="rId99" Type="http://schemas.openxmlformats.org/officeDocument/2006/relationships/externalLink" Target="externalLinks/externalLink23.xml"/><Relationship Id="rId101" Type="http://schemas.openxmlformats.org/officeDocument/2006/relationships/externalLink" Target="externalLinks/externalLink25.xml"/><Relationship Id="rId122" Type="http://schemas.openxmlformats.org/officeDocument/2006/relationships/externalLink" Target="externalLinks/externalLink46.xml"/><Relationship Id="rId130" Type="http://schemas.openxmlformats.org/officeDocument/2006/relationships/externalLink" Target="externalLinks/externalLink54.xml"/><Relationship Id="rId135" Type="http://schemas.openxmlformats.org/officeDocument/2006/relationships/externalLink" Target="externalLinks/externalLink59.xml"/><Relationship Id="rId143" Type="http://schemas.openxmlformats.org/officeDocument/2006/relationships/externalLink" Target="externalLinks/externalLink67.xml"/><Relationship Id="rId148" Type="http://schemas.openxmlformats.org/officeDocument/2006/relationships/externalLink" Target="externalLinks/externalLink72.xml"/><Relationship Id="rId151" Type="http://schemas.openxmlformats.org/officeDocument/2006/relationships/externalLink" Target="externalLinks/externalLink75.xml"/><Relationship Id="rId156"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1.xml"/><Relationship Id="rId104" Type="http://schemas.openxmlformats.org/officeDocument/2006/relationships/externalLink" Target="externalLinks/externalLink28.xml"/><Relationship Id="rId120" Type="http://schemas.openxmlformats.org/officeDocument/2006/relationships/externalLink" Target="externalLinks/externalLink44.xml"/><Relationship Id="rId125" Type="http://schemas.openxmlformats.org/officeDocument/2006/relationships/externalLink" Target="externalLinks/externalLink49.xml"/><Relationship Id="rId141" Type="http://schemas.openxmlformats.org/officeDocument/2006/relationships/externalLink" Target="externalLinks/externalLink65.xml"/><Relationship Id="rId146"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1.xml"/><Relationship Id="rId110" Type="http://schemas.openxmlformats.org/officeDocument/2006/relationships/externalLink" Target="externalLinks/externalLink34.xml"/><Relationship Id="rId115" Type="http://schemas.openxmlformats.org/officeDocument/2006/relationships/externalLink" Target="externalLinks/externalLink39.xml"/><Relationship Id="rId131" Type="http://schemas.openxmlformats.org/officeDocument/2006/relationships/externalLink" Target="externalLinks/externalLink55.xml"/><Relationship Id="rId136" Type="http://schemas.openxmlformats.org/officeDocument/2006/relationships/externalLink" Target="externalLinks/externalLink60.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6.xml"/><Relationship Id="rId152" Type="http://schemas.openxmlformats.org/officeDocument/2006/relationships/externalLink" Target="externalLinks/externalLink7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xml"/><Relationship Id="rId100" Type="http://schemas.openxmlformats.org/officeDocument/2006/relationships/externalLink" Target="externalLinks/externalLink24.xml"/><Relationship Id="rId105" Type="http://schemas.openxmlformats.org/officeDocument/2006/relationships/externalLink" Target="externalLinks/externalLink29.xml"/><Relationship Id="rId126" Type="http://schemas.openxmlformats.org/officeDocument/2006/relationships/externalLink" Target="externalLinks/externalLink50.xml"/><Relationship Id="rId147"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7.xml"/><Relationship Id="rId98" Type="http://schemas.openxmlformats.org/officeDocument/2006/relationships/externalLink" Target="externalLinks/externalLink22.xml"/><Relationship Id="rId121" Type="http://schemas.openxmlformats.org/officeDocument/2006/relationships/externalLink" Target="externalLinks/externalLink45.xml"/><Relationship Id="rId142" Type="http://schemas.openxmlformats.org/officeDocument/2006/relationships/externalLink" Target="externalLinks/externalLink6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0.xml"/><Relationship Id="rId137" Type="http://schemas.openxmlformats.org/officeDocument/2006/relationships/externalLink" Target="externalLinks/externalLink61.xml"/><Relationship Id="rId158"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SKL/2012/Lm/SKL2012_B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SKL/2016/Lm/SKL2016_B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SKL/2012/Lm/SKL2012_B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SKL/2013/Lm/SKL2013_B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SKL/2014/Lm/SKL2014_B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SKL/2015/Lm/SKL2015_B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SKL/2016/Lm/SKL2016_B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SKL/2012/Lm/SKL2012_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SKL/2013/Lm/SKL2013_B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SKL/2014/Lm/SKL2014_B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SKL/2015/Lm/SKL2015_B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KL/2013/Lm/SKL2013_B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SKL/2016/Lm/SKL2016_BB.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SKL/2012/Lm/SKL2012_H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SKL/2013/Lm/SKL2013_H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SKL/2014/Lm/SKL2014_H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SKL/2015/Lm/SKL2015_H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SKL/2016/Lm/SKL2016_HB.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SKL/2012/Lm/SKL2012_HH.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SKL/2013/Lm/SKL2013_H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SKL/2014/Lm/SKL2014_HH.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SKL/2015/Lm/SKL2015_H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KL/2014/Lm/SKL2014_B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SKL/2016/Lm/SKL2016_HH.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SKL/2012/Lm/SKL2012_M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SKL/2013/Lm/SKL2013_M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SKL/2014/Lm/SKL2014_M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SKL/2015/Lm/SKL2015_M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SKL/2016/Lm/SKL2016_MV.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SKL/2012/Lm/SKL2012_N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SKL/2013/Lm/SKL2013_N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SKL/2014/Lm/SKL2014_N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SKL/2015/Lm/SKL2015_N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SKL/2015/Lm/SKL2015_B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SKL/2016/Lm/SKL2016_NW.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SKL/2012/Lm/SKL2012_R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SKL/2013/Lm/SKL2013_R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SKL/2014/Lm/SKL2014_R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SKL/2015/Lm/SKL2015_R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SKL/2016/Lm/SKL2016_RP.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SKL/2012/Lm/SKL2012_S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SKL/2013/Lm/SKL2013_S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SKL/2014/Lm/SKL2014_S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SKL/2015/Lm/SKL2015_S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KL/2016/Lm/SKL2016_BW.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SKL/2016/Lm/SKL2016_S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SKL/2012/Lm/SKL2012_S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SKL/2013/Lm/SKL2013_S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SKL/2014/Lm/SKL2014_S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SKL/2015/Lm/SKL2015_S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SKL/2016/Lm/SKL2016_SN.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SKL/2012/Lm/SKL2012_S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SKL/2013/Lm/SKL2013_SH.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SKL/2014/Lm/SKL2014_SH.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SKL/2015/Lm/SKL2015_S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SKL/2012/Lm/SKL2012_B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SKL/2016/Lm/SKL2016_SH.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SKL/2012/Lm/SKL2012_TH.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SKL/2013/Lm/SKL2013_T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SKL/2014/Lm/SKL2014_T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SKL/2015/Lm/SKL2015_T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SKL/2016/Lm/SKL2016_TH.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SKL/2012/Lm/SKL2012_H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SKL/2013/Lm/SKL2013_H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SKL/2014/Lm/SKL2014_H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SKL/2015/Lm/SKL2015_H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SKL/2013/Lm/SKL2013_B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SKL/2016/Lm/SKL2016_H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SKL/2012/Lm/SKL2012_NI.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SKL/2013/Lm/SKL2013_NI.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SKL/2014/Lm/SKL2014_NI.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SKL/2015/Lm/SKL2015_NI.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SKL/2016/Lm/SKL2016_NI.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SKL/2012/Lm/SKL2012_S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SKL/2013/Lm/SKL2013_S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SKL/2014/Lm/SKL2014_S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SKL/2015/Lm/SKL2015_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KL/2014/Lm/SKL2014_B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SKL/2016/Lm/SKL2016_S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SKL/2015/Lm/SKL2015_B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365456</v>
          </cell>
          <cell r="R12">
            <v>9449</v>
          </cell>
        </row>
        <row r="13">
          <cell r="D13">
            <v>400</v>
          </cell>
          <cell r="R13">
            <v>0</v>
          </cell>
        </row>
        <row r="14">
          <cell r="D14">
            <v>141482</v>
          </cell>
          <cell r="R14">
            <v>5075</v>
          </cell>
        </row>
        <row r="17">
          <cell r="D17">
            <v>0</v>
          </cell>
          <cell r="R17">
            <v>0</v>
          </cell>
        </row>
        <row r="20">
          <cell r="D20">
            <v>244103</v>
          </cell>
          <cell r="R20">
            <v>14470</v>
          </cell>
        </row>
        <row r="24">
          <cell r="D24">
            <v>209178</v>
          </cell>
          <cell r="R24">
            <v>21481</v>
          </cell>
        </row>
        <row r="29">
          <cell r="D29">
            <v>6541</v>
          </cell>
          <cell r="R29">
            <v>44</v>
          </cell>
        </row>
        <row r="30">
          <cell r="D30">
            <v>5750</v>
          </cell>
          <cell r="R30">
            <v>37</v>
          </cell>
        </row>
        <row r="35">
          <cell r="D35">
            <v>7056</v>
          </cell>
          <cell r="R35">
            <v>7056</v>
          </cell>
        </row>
        <row r="36">
          <cell r="D36">
            <v>11947</v>
          </cell>
          <cell r="R36">
            <v>11947</v>
          </cell>
        </row>
      </sheetData>
      <sheetData sheetId="4"/>
      <sheetData sheetId="5"/>
      <sheetData sheetId="6"/>
      <sheetData sheetId="7"/>
      <sheetData sheetId="8"/>
      <sheetData sheetId="9"/>
      <sheetData sheetId="10"/>
      <sheetData sheetId="11"/>
      <sheetData sheetId="12"/>
      <sheetData sheetId="13">
        <row r="9">
          <cell r="F9">
            <v>42</v>
          </cell>
          <cell r="G9">
            <v>93</v>
          </cell>
          <cell r="H9">
            <v>221</v>
          </cell>
          <cell r="I9">
            <v>2389</v>
          </cell>
        </row>
        <row r="10">
          <cell r="F10">
            <v>0</v>
          </cell>
          <cell r="G10">
            <v>0</v>
          </cell>
          <cell r="H10">
            <v>1</v>
          </cell>
          <cell r="I10">
            <v>1</v>
          </cell>
        </row>
        <row r="11">
          <cell r="F11">
            <v>140</v>
          </cell>
          <cell r="G11">
            <v>117</v>
          </cell>
          <cell r="H11">
            <v>166</v>
          </cell>
          <cell r="I11">
            <v>862</v>
          </cell>
        </row>
        <row r="12">
          <cell r="F12">
            <v>0</v>
          </cell>
          <cell r="G12">
            <v>0</v>
          </cell>
          <cell r="H12">
            <v>0</v>
          </cell>
          <cell r="I12">
            <v>0</v>
          </cell>
        </row>
        <row r="13">
          <cell r="F13">
            <v>6</v>
          </cell>
          <cell r="G13">
            <v>12</v>
          </cell>
          <cell r="H13">
            <v>108</v>
          </cell>
          <cell r="I13">
            <v>429</v>
          </cell>
        </row>
        <row r="14">
          <cell r="F14">
            <v>5</v>
          </cell>
          <cell r="G14">
            <v>14</v>
          </cell>
          <cell r="H14">
            <v>168</v>
          </cell>
          <cell r="I14">
            <v>378</v>
          </cell>
        </row>
        <row r="15">
          <cell r="F15">
            <v>47</v>
          </cell>
          <cell r="G15">
            <v>6</v>
          </cell>
          <cell r="H15">
            <v>8</v>
          </cell>
          <cell r="I15">
            <v>79</v>
          </cell>
        </row>
        <row r="16">
          <cell r="I16">
            <v>0</v>
          </cell>
        </row>
        <row r="17">
          <cell r="F17">
            <v>127</v>
          </cell>
          <cell r="G17">
            <v>18</v>
          </cell>
          <cell r="H17">
            <v>13</v>
          </cell>
          <cell r="I17">
            <v>426</v>
          </cell>
        </row>
        <row r="24">
          <cell r="E24">
            <v>17154</v>
          </cell>
          <cell r="H24">
            <v>19528</v>
          </cell>
        </row>
        <row r="25">
          <cell r="E25">
            <v>0</v>
          </cell>
          <cell r="H25">
            <v>293</v>
          </cell>
        </row>
        <row r="26">
          <cell r="E26">
            <v>42750</v>
          </cell>
          <cell r="H26">
            <v>13687</v>
          </cell>
        </row>
        <row r="27">
          <cell r="E27">
            <v>0</v>
          </cell>
          <cell r="H27">
            <v>0</v>
          </cell>
        </row>
        <row r="28">
          <cell r="E28">
            <v>4884</v>
          </cell>
          <cell r="H28">
            <v>12381</v>
          </cell>
        </row>
        <row r="29">
          <cell r="E29">
            <v>3916</v>
          </cell>
          <cell r="H29">
            <v>30805</v>
          </cell>
        </row>
        <row r="30">
          <cell r="E30">
            <v>6905</v>
          </cell>
          <cell r="H30">
            <v>749</v>
          </cell>
        </row>
        <row r="31">
          <cell r="E31">
            <v>1282</v>
          </cell>
          <cell r="H31">
            <v>749</v>
          </cell>
        </row>
        <row r="34">
          <cell r="E34">
            <v>14877</v>
          </cell>
          <cell r="H34">
            <v>441</v>
          </cell>
        </row>
        <row r="51">
          <cell r="F51">
            <v>16</v>
          </cell>
          <cell r="G51">
            <v>3</v>
          </cell>
          <cell r="H51">
            <v>7</v>
          </cell>
          <cell r="I51">
            <v>101</v>
          </cell>
        </row>
        <row r="52">
          <cell r="F52">
            <v>0</v>
          </cell>
          <cell r="G52">
            <v>0</v>
          </cell>
          <cell r="H52">
            <v>0</v>
          </cell>
          <cell r="I52">
            <v>0</v>
          </cell>
        </row>
        <row r="53">
          <cell r="F53">
            <v>10</v>
          </cell>
          <cell r="G53">
            <v>2</v>
          </cell>
          <cell r="H53">
            <v>1</v>
          </cell>
          <cell r="I53">
            <v>44</v>
          </cell>
        </row>
        <row r="54">
          <cell r="F54">
            <v>0</v>
          </cell>
          <cell r="G54">
            <v>0</v>
          </cell>
          <cell r="H54">
            <v>0</v>
          </cell>
          <cell r="I54">
            <v>0</v>
          </cell>
        </row>
        <row r="55">
          <cell r="F55">
            <v>20</v>
          </cell>
          <cell r="G55">
            <v>1</v>
          </cell>
          <cell r="H55">
            <v>7</v>
          </cell>
          <cell r="I55">
            <v>74</v>
          </cell>
        </row>
        <row r="56">
          <cell r="F56">
            <v>27</v>
          </cell>
          <cell r="G56">
            <v>0</v>
          </cell>
          <cell r="H56">
            <v>16</v>
          </cell>
          <cell r="I56">
            <v>77</v>
          </cell>
        </row>
        <row r="57">
          <cell r="F57">
            <v>2</v>
          </cell>
          <cell r="G57">
            <v>0</v>
          </cell>
          <cell r="H57">
            <v>0</v>
          </cell>
          <cell r="I57">
            <v>2</v>
          </cell>
        </row>
        <row r="58">
          <cell r="F58">
            <v>5</v>
          </cell>
          <cell r="G58">
            <v>5</v>
          </cell>
          <cell r="H58">
            <v>7</v>
          </cell>
          <cell r="I58">
            <v>58</v>
          </cell>
        </row>
        <row r="59">
          <cell r="F59">
            <v>103</v>
          </cell>
          <cell r="G59">
            <v>0</v>
          </cell>
          <cell r="H59">
            <v>1</v>
          </cell>
          <cell r="I59">
            <v>156</v>
          </cell>
        </row>
        <row r="66">
          <cell r="E66">
            <v>1617</v>
          </cell>
          <cell r="H66">
            <v>508</v>
          </cell>
        </row>
        <row r="67">
          <cell r="E67">
            <v>0</v>
          </cell>
          <cell r="H67">
            <v>0</v>
          </cell>
        </row>
        <row r="68">
          <cell r="E68">
            <v>1888</v>
          </cell>
          <cell r="H68">
            <v>71</v>
          </cell>
        </row>
        <row r="69">
          <cell r="E69">
            <v>0</v>
          </cell>
          <cell r="H69">
            <v>0</v>
          </cell>
        </row>
        <row r="70">
          <cell r="E70">
            <v>2610</v>
          </cell>
          <cell r="H70">
            <v>335</v>
          </cell>
        </row>
        <row r="71">
          <cell r="E71">
            <v>5283</v>
          </cell>
          <cell r="H71">
            <v>1620</v>
          </cell>
        </row>
        <row r="72">
          <cell r="E72">
            <v>81</v>
          </cell>
          <cell r="H72">
            <v>0</v>
          </cell>
        </row>
        <row r="73">
          <cell r="E73">
            <v>44</v>
          </cell>
          <cell r="H73">
            <v>0</v>
          </cell>
        </row>
        <row r="74">
          <cell r="E74">
            <v>2970</v>
          </cell>
          <cell r="H74">
            <v>922</v>
          </cell>
        </row>
        <row r="75">
          <cell r="E75">
            <v>1097</v>
          </cell>
          <cell r="H75">
            <v>308</v>
          </cell>
        </row>
        <row r="76">
          <cell r="E76">
            <v>11433</v>
          </cell>
          <cell r="H76">
            <v>9</v>
          </cell>
        </row>
      </sheetData>
      <sheetData sheetId="14">
        <row r="5">
          <cell r="F5">
            <v>30.541393542121874</v>
          </cell>
        </row>
        <row r="6">
          <cell r="D6">
            <v>3722</v>
          </cell>
          <cell r="E6">
            <v>1058</v>
          </cell>
          <cell r="F6">
            <v>28.425577646426653</v>
          </cell>
        </row>
        <row r="7">
          <cell r="D7">
            <v>397</v>
          </cell>
          <cell r="E7">
            <v>200</v>
          </cell>
          <cell r="F7">
            <v>50.377833753148614</v>
          </cell>
        </row>
      </sheetData>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SKL2016_BY"/>
    </sheetNames>
    <sheetDataSet>
      <sheetData sheetId="0"/>
      <sheetData sheetId="1"/>
      <sheetData sheetId="2"/>
      <sheetData sheetId="3">
        <row r="12">
          <cell r="D12">
            <v>432189</v>
          </cell>
          <cell r="R12">
            <v>16063</v>
          </cell>
        </row>
        <row r="13">
          <cell r="D13">
            <v>601</v>
          </cell>
          <cell r="R13"/>
        </row>
        <row r="14">
          <cell r="D14">
            <v>202975</v>
          </cell>
          <cell r="R14">
            <v>13970</v>
          </cell>
        </row>
        <row r="17">
          <cell r="D17">
            <v>0</v>
          </cell>
          <cell r="R17">
            <v>0</v>
          </cell>
        </row>
        <row r="20">
          <cell r="D20">
            <v>243151</v>
          </cell>
          <cell r="R20">
            <v>47582</v>
          </cell>
        </row>
        <row r="24">
          <cell r="D24">
            <v>200416</v>
          </cell>
          <cell r="R24">
            <v>19409</v>
          </cell>
        </row>
        <row r="29">
          <cell r="D29"/>
          <cell r="R29"/>
        </row>
        <row r="30">
          <cell r="D30">
            <v>1768</v>
          </cell>
          <cell r="R30">
            <v>0</v>
          </cell>
        </row>
        <row r="35">
          <cell r="D35">
            <v>2781</v>
          </cell>
          <cell r="R35">
            <v>2781</v>
          </cell>
        </row>
        <row r="36">
          <cell r="D36">
            <v>4144</v>
          </cell>
          <cell r="R36">
            <v>4144</v>
          </cell>
        </row>
        <row r="40">
          <cell r="D40">
            <v>54479</v>
          </cell>
          <cell r="R40">
            <v>24234</v>
          </cell>
        </row>
      </sheetData>
      <sheetData sheetId="4"/>
      <sheetData sheetId="5"/>
      <sheetData sheetId="6"/>
      <sheetData sheetId="7"/>
      <sheetData sheetId="8"/>
      <sheetData sheetId="9"/>
      <sheetData sheetId="10"/>
      <sheetData sheetId="11"/>
      <sheetData sheetId="12"/>
      <sheetData sheetId="13"/>
      <sheetData sheetId="14">
        <row r="9">
          <cell r="D9">
            <v>1506</v>
          </cell>
          <cell r="F9">
            <v>2</v>
          </cell>
          <cell r="G9">
            <v>361</v>
          </cell>
          <cell r="H9">
            <v>1143</v>
          </cell>
          <cell r="I9">
            <v>2258</v>
          </cell>
        </row>
        <row r="10">
          <cell r="D10">
            <v>1</v>
          </cell>
          <cell r="F10">
            <v>0</v>
          </cell>
          <cell r="G10">
            <v>1</v>
          </cell>
          <cell r="H10">
            <v>0</v>
          </cell>
          <cell r="I10">
            <v>1</v>
          </cell>
        </row>
        <row r="11">
          <cell r="D11">
            <v>740</v>
          </cell>
          <cell r="F11">
            <v>21</v>
          </cell>
          <cell r="G11">
            <v>364</v>
          </cell>
          <cell r="H11">
            <v>355</v>
          </cell>
          <cell r="I11">
            <v>891</v>
          </cell>
        </row>
        <row r="12">
          <cell r="D12">
            <v>0</v>
          </cell>
          <cell r="F12">
            <v>0</v>
          </cell>
          <cell r="G12">
            <v>0</v>
          </cell>
          <cell r="H12">
            <v>0</v>
          </cell>
          <cell r="I12">
            <v>0</v>
          </cell>
        </row>
        <row r="13">
          <cell r="D13">
            <v>225</v>
          </cell>
          <cell r="F13">
            <v>4</v>
          </cell>
          <cell r="G13">
            <v>65</v>
          </cell>
          <cell r="H13">
            <v>156</v>
          </cell>
          <cell r="I13">
            <v>319</v>
          </cell>
        </row>
        <row r="14">
          <cell r="D14">
            <v>295</v>
          </cell>
          <cell r="F14">
            <v>16</v>
          </cell>
          <cell r="G14">
            <v>58</v>
          </cell>
          <cell r="H14">
            <v>221</v>
          </cell>
          <cell r="I14">
            <v>352</v>
          </cell>
        </row>
        <row r="15">
          <cell r="D15">
            <v>2</v>
          </cell>
          <cell r="F15">
            <v>1</v>
          </cell>
          <cell r="G15">
            <v>1</v>
          </cell>
          <cell r="H15">
            <v>0</v>
          </cell>
          <cell r="I15">
            <v>2</v>
          </cell>
        </row>
        <row r="16">
          <cell r="F16">
            <v>0</v>
          </cell>
          <cell r="G16">
            <v>0</v>
          </cell>
          <cell r="H16">
            <v>0</v>
          </cell>
          <cell r="I16">
            <v>0</v>
          </cell>
        </row>
        <row r="17">
          <cell r="D17">
            <v>0</v>
          </cell>
          <cell r="I17">
            <v>0</v>
          </cell>
        </row>
        <row r="18">
          <cell r="I18">
            <v>0</v>
          </cell>
        </row>
        <row r="19">
          <cell r="D19">
            <v>145</v>
          </cell>
          <cell r="F19">
            <v>0</v>
          </cell>
          <cell r="G19">
            <v>87</v>
          </cell>
          <cell r="H19">
            <v>58</v>
          </cell>
          <cell r="I19">
            <v>162</v>
          </cell>
        </row>
        <row r="26">
          <cell r="D26">
            <v>97488</v>
          </cell>
          <cell r="E26">
            <v>26745</v>
          </cell>
          <cell r="H26">
            <v>70743</v>
          </cell>
        </row>
        <row r="27">
          <cell r="D27">
            <v>123</v>
          </cell>
          <cell r="E27">
            <v>123</v>
          </cell>
          <cell r="H27">
            <v>0</v>
          </cell>
        </row>
        <row r="28">
          <cell r="D28">
            <v>52961</v>
          </cell>
          <cell r="E28">
            <v>34216</v>
          </cell>
          <cell r="H28">
            <v>18745</v>
          </cell>
        </row>
        <row r="29">
          <cell r="D29">
            <v>0</v>
          </cell>
          <cell r="E29">
            <v>0</v>
          </cell>
          <cell r="H29">
            <v>0</v>
          </cell>
        </row>
        <row r="30">
          <cell r="D30">
            <v>19608</v>
          </cell>
          <cell r="E30">
            <v>7926</v>
          </cell>
          <cell r="H30">
            <v>11682</v>
          </cell>
        </row>
        <row r="31">
          <cell r="D31">
            <v>25302</v>
          </cell>
          <cell r="E31">
            <v>4187</v>
          </cell>
          <cell r="H31">
            <v>21115</v>
          </cell>
        </row>
        <row r="32">
          <cell r="D32">
            <v>1048</v>
          </cell>
          <cell r="E32">
            <v>948</v>
          </cell>
          <cell r="H32">
            <v>100</v>
          </cell>
        </row>
        <row r="33">
          <cell r="E33">
            <v>0</v>
          </cell>
          <cell r="H33">
            <v>0</v>
          </cell>
        </row>
        <row r="34">
          <cell r="D34">
            <v>0</v>
          </cell>
        </row>
        <row r="36">
          <cell r="D36">
            <v>10121</v>
          </cell>
          <cell r="E36">
            <v>4823</v>
          </cell>
          <cell r="H36">
            <v>5298</v>
          </cell>
        </row>
        <row r="53">
          <cell r="D53">
            <v>114</v>
          </cell>
          <cell r="F53">
            <v>22</v>
          </cell>
          <cell r="G53">
            <v>9</v>
          </cell>
          <cell r="H53">
            <v>83</v>
          </cell>
          <cell r="I53">
            <v>145</v>
          </cell>
        </row>
        <row r="54">
          <cell r="D54">
            <v>0</v>
          </cell>
          <cell r="F54">
            <v>0</v>
          </cell>
          <cell r="G54">
            <v>0</v>
          </cell>
          <cell r="H54">
            <v>0</v>
          </cell>
          <cell r="I54">
            <v>0</v>
          </cell>
        </row>
        <row r="55">
          <cell r="D55">
            <v>85</v>
          </cell>
          <cell r="F55">
            <v>10</v>
          </cell>
          <cell r="G55">
            <v>11</v>
          </cell>
          <cell r="H55">
            <v>64</v>
          </cell>
          <cell r="I55">
            <v>109</v>
          </cell>
        </row>
        <row r="56">
          <cell r="D56">
            <v>0</v>
          </cell>
          <cell r="F56">
            <v>0</v>
          </cell>
          <cell r="G56">
            <v>0</v>
          </cell>
          <cell r="H56">
            <v>0</v>
          </cell>
          <cell r="I56">
            <v>0</v>
          </cell>
        </row>
        <row r="57">
          <cell r="D57">
            <v>107</v>
          </cell>
          <cell r="F57">
            <v>13</v>
          </cell>
          <cell r="G57">
            <v>13</v>
          </cell>
          <cell r="H57">
            <v>81</v>
          </cell>
          <cell r="I57">
            <v>132</v>
          </cell>
        </row>
        <row r="58">
          <cell r="D58">
            <v>63</v>
          </cell>
          <cell r="F58">
            <v>16</v>
          </cell>
          <cell r="G58">
            <v>14</v>
          </cell>
          <cell r="H58">
            <v>33</v>
          </cell>
          <cell r="I58">
            <v>74</v>
          </cell>
        </row>
        <row r="59">
          <cell r="D59">
            <v>0</v>
          </cell>
          <cell r="F59">
            <v>0</v>
          </cell>
          <cell r="G59">
            <v>0</v>
          </cell>
          <cell r="H59">
            <v>0</v>
          </cell>
          <cell r="I59">
            <v>0</v>
          </cell>
        </row>
        <row r="60">
          <cell r="F60">
            <v>0</v>
          </cell>
          <cell r="G60">
            <v>0</v>
          </cell>
          <cell r="H60">
            <v>0</v>
          </cell>
          <cell r="I60">
            <v>0</v>
          </cell>
        </row>
        <row r="61">
          <cell r="D61">
            <v>20</v>
          </cell>
          <cell r="F61">
            <v>0</v>
          </cell>
          <cell r="G61">
            <v>2</v>
          </cell>
          <cell r="H61">
            <v>18</v>
          </cell>
          <cell r="I61">
            <v>23</v>
          </cell>
        </row>
        <row r="62">
          <cell r="F62">
            <v>0</v>
          </cell>
          <cell r="G62">
            <v>0</v>
          </cell>
          <cell r="H62">
            <v>0</v>
          </cell>
          <cell r="I62">
            <v>23</v>
          </cell>
        </row>
        <row r="63">
          <cell r="D63">
            <v>158</v>
          </cell>
          <cell r="F63">
            <v>0</v>
          </cell>
          <cell r="G63">
            <v>20</v>
          </cell>
          <cell r="H63">
            <v>138</v>
          </cell>
          <cell r="I63">
            <v>193</v>
          </cell>
        </row>
        <row r="70">
          <cell r="D70">
            <v>8847</v>
          </cell>
          <cell r="E70">
            <v>3257</v>
          </cell>
          <cell r="H70">
            <v>5590</v>
          </cell>
        </row>
        <row r="71">
          <cell r="D71">
            <v>0</v>
          </cell>
          <cell r="E71">
            <v>0</v>
          </cell>
          <cell r="H71">
            <v>0</v>
          </cell>
        </row>
        <row r="72">
          <cell r="D72">
            <v>7494</v>
          </cell>
          <cell r="E72">
            <v>3098</v>
          </cell>
          <cell r="H72">
            <v>4396</v>
          </cell>
        </row>
        <row r="73">
          <cell r="D73">
            <v>0</v>
          </cell>
          <cell r="E73">
            <v>0</v>
          </cell>
          <cell r="H73">
            <v>0</v>
          </cell>
        </row>
        <row r="74">
          <cell r="D74">
            <v>8302</v>
          </cell>
          <cell r="E74">
            <v>3106</v>
          </cell>
          <cell r="H74">
            <v>5196</v>
          </cell>
        </row>
        <row r="75">
          <cell r="D75">
            <v>5952</v>
          </cell>
          <cell r="E75">
            <v>2983</v>
          </cell>
          <cell r="H75">
            <v>2969</v>
          </cell>
        </row>
        <row r="76">
          <cell r="D76">
            <v>0</v>
          </cell>
          <cell r="E76">
            <v>0</v>
          </cell>
          <cell r="H76">
            <v>0</v>
          </cell>
        </row>
        <row r="77">
          <cell r="E77">
            <v>0</v>
          </cell>
          <cell r="H77">
            <v>0</v>
          </cell>
        </row>
        <row r="78">
          <cell r="D78">
            <v>3383</v>
          </cell>
          <cell r="E78">
            <v>72</v>
          </cell>
          <cell r="H78">
            <v>3311</v>
          </cell>
        </row>
        <row r="79">
          <cell r="E79">
            <v>0</v>
          </cell>
          <cell r="H79">
            <v>594</v>
          </cell>
        </row>
        <row r="80">
          <cell r="D80">
            <v>12288</v>
          </cell>
          <cell r="E80">
            <v>1026</v>
          </cell>
          <cell r="H80">
            <v>11262</v>
          </cell>
        </row>
        <row r="97">
          <cell r="D97">
            <v>1620</v>
          </cell>
        </row>
        <row r="98">
          <cell r="D98">
            <v>1</v>
          </cell>
        </row>
        <row r="99">
          <cell r="D99">
            <v>825</v>
          </cell>
        </row>
        <row r="100">
          <cell r="D100">
            <v>0</v>
          </cell>
        </row>
        <row r="101">
          <cell r="D101">
            <v>332</v>
          </cell>
        </row>
        <row r="102">
          <cell r="D102">
            <v>358</v>
          </cell>
        </row>
        <row r="103">
          <cell r="D103">
            <v>2</v>
          </cell>
        </row>
        <row r="105">
          <cell r="D105">
            <v>20</v>
          </cell>
        </row>
        <row r="107">
          <cell r="D107">
            <v>303</v>
          </cell>
        </row>
        <row r="114">
          <cell r="D114">
            <v>106335</v>
          </cell>
        </row>
        <row r="115">
          <cell r="D115">
            <v>123</v>
          </cell>
        </row>
        <row r="116">
          <cell r="D116">
            <v>60455</v>
          </cell>
        </row>
        <row r="117">
          <cell r="D117">
            <v>0</v>
          </cell>
        </row>
        <row r="118">
          <cell r="D118">
            <v>27910</v>
          </cell>
        </row>
        <row r="119">
          <cell r="D119">
            <v>31254</v>
          </cell>
        </row>
        <row r="120">
          <cell r="D120">
            <v>1048</v>
          </cell>
        </row>
        <row r="122">
          <cell r="D122">
            <v>3383</v>
          </cell>
        </row>
        <row r="124">
          <cell r="D124">
            <v>22409</v>
          </cell>
        </row>
      </sheetData>
      <sheetData sheetId="15">
        <row r="5">
          <cell r="F5">
            <v>74.097052958120983</v>
          </cell>
        </row>
        <row r="6">
          <cell r="D6">
            <v>3960</v>
          </cell>
          <cell r="E6">
            <v>2889</v>
          </cell>
          <cell r="F6">
            <v>72.954545454545453</v>
          </cell>
        </row>
        <row r="7">
          <cell r="D7">
            <v>553</v>
          </cell>
          <cell r="E7">
            <v>455</v>
          </cell>
          <cell r="F7">
            <v>82.278481012658233</v>
          </cell>
        </row>
      </sheetData>
      <sheetData sheetId="16"/>
      <sheetData sheetId="17"/>
      <sheetData sheetId="18"/>
      <sheetData sheetId="19"/>
      <sheetData sheetId="20"/>
      <sheetData sheetId="2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102936</v>
          </cell>
          <cell r="R12">
            <v>7471</v>
          </cell>
        </row>
        <row r="13">
          <cell r="D13">
            <v>44433</v>
          </cell>
          <cell r="R13">
            <v>2934</v>
          </cell>
        </row>
        <row r="14">
          <cell r="D14">
            <v>2431</v>
          </cell>
          <cell r="R14">
            <v>59</v>
          </cell>
        </row>
        <row r="17">
          <cell r="D17">
            <v>0</v>
          </cell>
          <cell r="R17">
            <v>0</v>
          </cell>
        </row>
        <row r="20">
          <cell r="D20">
            <v>5565</v>
          </cell>
          <cell r="R20">
            <v>505</v>
          </cell>
        </row>
        <row r="24">
          <cell r="D24">
            <v>42792</v>
          </cell>
          <cell r="R24">
            <v>4238</v>
          </cell>
        </row>
        <row r="29">
          <cell r="D29">
            <v>6350</v>
          </cell>
          <cell r="R29">
            <v>2227</v>
          </cell>
        </row>
        <row r="30">
          <cell r="D30">
            <v>57221</v>
          </cell>
          <cell r="R30">
            <v>4330</v>
          </cell>
        </row>
        <row r="35">
          <cell r="D35">
            <v>1543</v>
          </cell>
          <cell r="R35">
            <v>1543</v>
          </cell>
        </row>
        <row r="36">
          <cell r="D36">
            <v>1934</v>
          </cell>
          <cell r="R36">
            <v>1934</v>
          </cell>
        </row>
        <row r="40">
          <cell r="D40">
            <v>10265</v>
          </cell>
          <cell r="R40">
            <v>767</v>
          </cell>
        </row>
      </sheetData>
      <sheetData sheetId="4"/>
      <sheetData sheetId="5"/>
      <sheetData sheetId="6"/>
      <sheetData sheetId="7"/>
      <sheetData sheetId="8"/>
      <sheetData sheetId="9"/>
      <sheetData sheetId="10"/>
      <sheetData sheetId="11"/>
      <sheetData sheetId="12"/>
      <sheetData sheetId="13">
        <row r="9">
          <cell r="F9">
            <v>44</v>
          </cell>
          <cell r="G9">
            <v>21</v>
          </cell>
          <cell r="H9">
            <v>297</v>
          </cell>
          <cell r="I9">
            <v>362</v>
          </cell>
        </row>
        <row r="10">
          <cell r="F10">
            <v>44</v>
          </cell>
          <cell r="G10">
            <v>21</v>
          </cell>
          <cell r="H10">
            <v>293</v>
          </cell>
          <cell r="I10">
            <v>358</v>
          </cell>
        </row>
        <row r="11">
          <cell r="I11">
            <v>0</v>
          </cell>
        </row>
        <row r="12">
          <cell r="I12">
            <v>0</v>
          </cell>
        </row>
        <row r="13">
          <cell r="I13">
            <v>0</v>
          </cell>
        </row>
        <row r="14">
          <cell r="F14">
            <v>8</v>
          </cell>
          <cell r="H14">
            <v>12</v>
          </cell>
          <cell r="I14">
            <v>93</v>
          </cell>
        </row>
        <row r="15">
          <cell r="F15">
            <v>42</v>
          </cell>
          <cell r="G15">
            <v>62</v>
          </cell>
          <cell r="H15">
            <v>17</v>
          </cell>
          <cell r="I15">
            <v>121</v>
          </cell>
        </row>
        <row r="16">
          <cell r="I16">
            <v>0</v>
          </cell>
        </row>
        <row r="17">
          <cell r="F17">
            <v>25</v>
          </cell>
          <cell r="H17">
            <v>36</v>
          </cell>
          <cell r="I17">
            <v>76</v>
          </cell>
        </row>
        <row r="24">
          <cell r="E24">
            <v>15689</v>
          </cell>
          <cell r="H24">
            <v>59933</v>
          </cell>
        </row>
        <row r="25">
          <cell r="E25">
            <v>7497</v>
          </cell>
          <cell r="H25">
            <v>2956</v>
          </cell>
        </row>
        <row r="26">
          <cell r="E26">
            <v>0</v>
          </cell>
          <cell r="H26">
            <v>0</v>
          </cell>
        </row>
        <row r="27">
          <cell r="E27">
            <v>0</v>
          </cell>
          <cell r="H27">
            <v>0</v>
          </cell>
        </row>
        <row r="28">
          <cell r="E28">
            <v>0</v>
          </cell>
          <cell r="H28">
            <v>0</v>
          </cell>
        </row>
        <row r="29">
          <cell r="E29">
            <v>1944</v>
          </cell>
          <cell r="H29">
            <v>2929</v>
          </cell>
        </row>
        <row r="30">
          <cell r="E30">
            <v>35124</v>
          </cell>
          <cell r="H30">
            <v>6181</v>
          </cell>
        </row>
        <row r="31">
          <cell r="E31">
            <v>1299</v>
          </cell>
          <cell r="H31">
            <v>2131</v>
          </cell>
        </row>
        <row r="34">
          <cell r="E34">
            <v>1080</v>
          </cell>
          <cell r="H34">
            <v>1386</v>
          </cell>
        </row>
        <row r="51">
          <cell r="F51">
            <v>6</v>
          </cell>
          <cell r="G51">
            <v>0</v>
          </cell>
          <cell r="H51">
            <v>42</v>
          </cell>
          <cell r="I51">
            <v>56</v>
          </cell>
        </row>
        <row r="52">
          <cell r="F52">
            <v>5</v>
          </cell>
          <cell r="G52">
            <v>0</v>
          </cell>
          <cell r="H52">
            <v>36</v>
          </cell>
          <cell r="I52">
            <v>50</v>
          </cell>
        </row>
        <row r="53">
          <cell r="G53">
            <v>0</v>
          </cell>
          <cell r="H53">
            <v>0</v>
          </cell>
          <cell r="I53">
            <v>0</v>
          </cell>
        </row>
        <row r="54">
          <cell r="G54">
            <v>0</v>
          </cell>
          <cell r="H54">
            <v>0</v>
          </cell>
          <cell r="I54">
            <v>0</v>
          </cell>
        </row>
        <row r="55">
          <cell r="G55">
            <v>0</v>
          </cell>
          <cell r="H55">
            <v>0</v>
          </cell>
          <cell r="I55">
            <v>0</v>
          </cell>
        </row>
        <row r="56">
          <cell r="F56">
            <v>4</v>
          </cell>
          <cell r="G56">
            <v>2</v>
          </cell>
          <cell r="H56">
            <v>8</v>
          </cell>
          <cell r="I56">
            <v>23</v>
          </cell>
        </row>
        <row r="57">
          <cell r="F57">
            <v>5</v>
          </cell>
          <cell r="G57">
            <v>7</v>
          </cell>
          <cell r="H57">
            <v>14</v>
          </cell>
          <cell r="I57">
            <v>28</v>
          </cell>
        </row>
        <row r="58">
          <cell r="F58">
            <v>0</v>
          </cell>
          <cell r="G58">
            <v>0</v>
          </cell>
          <cell r="H58">
            <v>10</v>
          </cell>
          <cell r="I58">
            <v>11</v>
          </cell>
        </row>
        <row r="59">
          <cell r="F59">
            <v>3</v>
          </cell>
          <cell r="G59">
            <v>0</v>
          </cell>
          <cell r="H59">
            <v>0</v>
          </cell>
          <cell r="I59">
            <v>10</v>
          </cell>
        </row>
        <row r="66">
          <cell r="E66">
            <v>918</v>
          </cell>
          <cell r="H66">
            <v>3852</v>
          </cell>
        </row>
        <row r="67">
          <cell r="E67">
            <v>280</v>
          </cell>
          <cell r="H67">
            <v>378</v>
          </cell>
        </row>
        <row r="68">
          <cell r="E68">
            <v>0</v>
          </cell>
          <cell r="H68">
            <v>0</v>
          </cell>
        </row>
        <row r="69">
          <cell r="E69">
            <v>0</v>
          </cell>
          <cell r="H69">
            <v>0</v>
          </cell>
        </row>
        <row r="70">
          <cell r="E70">
            <v>0</v>
          </cell>
          <cell r="H70">
            <v>0</v>
          </cell>
        </row>
        <row r="71">
          <cell r="E71">
            <v>714</v>
          </cell>
          <cell r="H71">
            <v>863</v>
          </cell>
        </row>
        <row r="72">
          <cell r="E72">
            <v>1246</v>
          </cell>
          <cell r="H72">
            <v>1908</v>
          </cell>
        </row>
        <row r="73">
          <cell r="E73">
            <v>410</v>
          </cell>
          <cell r="H73">
            <v>1453</v>
          </cell>
        </row>
        <row r="74">
          <cell r="E74">
            <v>0</v>
          </cell>
          <cell r="H74">
            <v>1352</v>
          </cell>
        </row>
        <row r="75">
          <cell r="E75">
            <v>0</v>
          </cell>
          <cell r="H75">
            <v>1126</v>
          </cell>
        </row>
        <row r="76">
          <cell r="E76">
            <v>167</v>
          </cell>
          <cell r="H76">
            <v>0</v>
          </cell>
        </row>
      </sheetData>
      <sheetData sheetId="14">
        <row r="5">
          <cell r="F5">
            <v>87.5</v>
          </cell>
        </row>
        <row r="6">
          <cell r="D6">
            <v>646</v>
          </cell>
          <cell r="E6">
            <v>564</v>
          </cell>
          <cell r="F6">
            <v>87.306501547987622</v>
          </cell>
        </row>
        <row r="7">
          <cell r="D7">
            <v>114</v>
          </cell>
          <cell r="E7">
            <v>101</v>
          </cell>
          <cell r="F7">
            <v>88.596491228070178</v>
          </cell>
        </row>
      </sheetData>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106927</v>
          </cell>
          <cell r="R12">
            <v>7963</v>
          </cell>
        </row>
        <row r="13">
          <cell r="D13">
            <v>45549</v>
          </cell>
          <cell r="R13">
            <v>3247</v>
          </cell>
        </row>
        <row r="14">
          <cell r="D14">
            <v>29</v>
          </cell>
          <cell r="R14">
            <v>29</v>
          </cell>
        </row>
        <row r="17">
          <cell r="D17">
            <v>0</v>
          </cell>
          <cell r="R17">
            <v>0</v>
          </cell>
        </row>
        <row r="20">
          <cell r="D20">
            <v>667</v>
          </cell>
          <cell r="R20">
            <v>118</v>
          </cell>
        </row>
        <row r="24">
          <cell r="D24">
            <v>41395</v>
          </cell>
          <cell r="R24">
            <v>4220</v>
          </cell>
        </row>
        <row r="29">
          <cell r="D29">
            <v>6309</v>
          </cell>
          <cell r="R29">
            <v>2279</v>
          </cell>
        </row>
        <row r="30">
          <cell r="D30">
            <v>64807</v>
          </cell>
          <cell r="R30">
            <v>5027</v>
          </cell>
        </row>
        <row r="35">
          <cell r="D35">
            <v>1497</v>
          </cell>
          <cell r="R35">
            <v>1497</v>
          </cell>
        </row>
        <row r="36">
          <cell r="D36">
            <v>1896</v>
          </cell>
          <cell r="R36">
            <v>1896</v>
          </cell>
        </row>
        <row r="40">
          <cell r="D40">
            <v>9435</v>
          </cell>
          <cell r="R40">
            <v>710</v>
          </cell>
        </row>
      </sheetData>
      <sheetData sheetId="4"/>
      <sheetData sheetId="5"/>
      <sheetData sheetId="6"/>
      <sheetData sheetId="7"/>
      <sheetData sheetId="8"/>
      <sheetData sheetId="9"/>
      <sheetData sheetId="10"/>
      <sheetData sheetId="11"/>
      <sheetData sheetId="12"/>
      <sheetData sheetId="13">
        <row r="9">
          <cell r="F9">
            <v>45</v>
          </cell>
          <cell r="G9">
            <v>18</v>
          </cell>
          <cell r="H9">
            <v>299</v>
          </cell>
          <cell r="I9">
            <v>362</v>
          </cell>
        </row>
        <row r="10">
          <cell r="F10">
            <v>45</v>
          </cell>
          <cell r="G10">
            <v>18</v>
          </cell>
          <cell r="H10">
            <v>296</v>
          </cell>
          <cell r="I10">
            <v>359</v>
          </cell>
        </row>
        <row r="11">
          <cell r="F11">
            <v>0</v>
          </cell>
          <cell r="G11">
            <v>0</v>
          </cell>
          <cell r="H11">
            <v>0</v>
          </cell>
          <cell r="I11">
            <v>0</v>
          </cell>
        </row>
        <row r="12">
          <cell r="F12">
            <v>0</v>
          </cell>
          <cell r="G12">
            <v>0</v>
          </cell>
          <cell r="H12">
            <v>0</v>
          </cell>
          <cell r="I12">
            <v>0</v>
          </cell>
        </row>
        <row r="13">
          <cell r="F13">
            <v>0</v>
          </cell>
          <cell r="G13">
            <v>0</v>
          </cell>
          <cell r="H13">
            <v>0</v>
          </cell>
          <cell r="I13">
            <v>0</v>
          </cell>
        </row>
        <row r="14">
          <cell r="F14">
            <v>6</v>
          </cell>
          <cell r="G14">
            <v>3</v>
          </cell>
          <cell r="H14">
            <v>13</v>
          </cell>
          <cell r="I14">
            <v>91</v>
          </cell>
        </row>
        <row r="15">
          <cell r="F15">
            <v>46</v>
          </cell>
          <cell r="G15">
            <v>49</v>
          </cell>
          <cell r="H15">
            <v>26</v>
          </cell>
          <cell r="I15">
            <v>121</v>
          </cell>
        </row>
        <row r="16">
          <cell r="F16">
            <v>46</v>
          </cell>
          <cell r="G16">
            <v>7</v>
          </cell>
          <cell r="H16">
            <v>26</v>
          </cell>
          <cell r="I16">
            <v>121</v>
          </cell>
        </row>
        <row r="17">
          <cell r="I17">
            <v>0</v>
          </cell>
        </row>
        <row r="18">
          <cell r="I18">
            <v>0</v>
          </cell>
        </row>
        <row r="19">
          <cell r="F19">
            <v>25</v>
          </cell>
          <cell r="G19">
            <v>8</v>
          </cell>
          <cell r="H19">
            <v>24</v>
          </cell>
          <cell r="I19">
            <v>68</v>
          </cell>
        </row>
        <row r="26">
          <cell r="E26">
            <v>16109</v>
          </cell>
          <cell r="H26">
            <v>64878</v>
          </cell>
        </row>
        <row r="27">
          <cell r="E27">
            <v>7279</v>
          </cell>
          <cell r="H27">
            <v>4264</v>
          </cell>
        </row>
        <row r="28">
          <cell r="E28">
            <v>0</v>
          </cell>
          <cell r="H28">
            <v>0</v>
          </cell>
        </row>
        <row r="29">
          <cell r="E29">
            <v>0</v>
          </cell>
          <cell r="H29">
            <v>0</v>
          </cell>
        </row>
        <row r="30">
          <cell r="E30">
            <v>0</v>
          </cell>
          <cell r="H30">
            <v>0</v>
          </cell>
        </row>
        <row r="31">
          <cell r="E31">
            <v>2781</v>
          </cell>
          <cell r="H31">
            <v>6844</v>
          </cell>
        </row>
        <row r="32">
          <cell r="E32">
            <v>50014</v>
          </cell>
          <cell r="H32">
            <v>11069</v>
          </cell>
        </row>
        <row r="33">
          <cell r="E33">
            <v>1924</v>
          </cell>
          <cell r="H33">
            <v>1632</v>
          </cell>
        </row>
        <row r="36">
          <cell r="E36">
            <v>3075</v>
          </cell>
          <cell r="H36">
            <v>1059</v>
          </cell>
        </row>
        <row r="53">
          <cell r="F53">
            <v>5</v>
          </cell>
          <cell r="H53">
            <v>38</v>
          </cell>
          <cell r="I53">
            <v>48</v>
          </cell>
        </row>
        <row r="54">
          <cell r="F54">
            <v>5</v>
          </cell>
          <cell r="H54">
            <v>35</v>
          </cell>
          <cell r="I54">
            <v>45</v>
          </cell>
        </row>
        <row r="55">
          <cell r="F55">
            <v>0</v>
          </cell>
          <cell r="G55">
            <v>0</v>
          </cell>
          <cell r="H55">
            <v>0</v>
          </cell>
          <cell r="I55">
            <v>0</v>
          </cell>
        </row>
        <row r="56">
          <cell r="F56">
            <v>0</v>
          </cell>
          <cell r="G56">
            <v>0</v>
          </cell>
          <cell r="H56">
            <v>0</v>
          </cell>
          <cell r="I56">
            <v>0</v>
          </cell>
        </row>
        <row r="57">
          <cell r="F57">
            <v>0</v>
          </cell>
          <cell r="G57">
            <v>0</v>
          </cell>
          <cell r="H57">
            <v>0</v>
          </cell>
          <cell r="I57">
            <v>0</v>
          </cell>
        </row>
        <row r="58">
          <cell r="F58">
            <v>1</v>
          </cell>
          <cell r="G58">
            <v>1</v>
          </cell>
          <cell r="H58">
            <v>2</v>
          </cell>
          <cell r="I58">
            <v>10</v>
          </cell>
        </row>
        <row r="59">
          <cell r="F59">
            <v>4</v>
          </cell>
          <cell r="G59">
            <v>2</v>
          </cell>
          <cell r="H59">
            <v>17</v>
          </cell>
          <cell r="I59">
            <v>26</v>
          </cell>
        </row>
        <row r="60">
          <cell r="F60">
            <v>4</v>
          </cell>
          <cell r="G60">
            <v>2</v>
          </cell>
          <cell r="H60">
            <v>17</v>
          </cell>
          <cell r="I60">
            <v>26</v>
          </cell>
        </row>
        <row r="61">
          <cell r="F61">
            <v>0</v>
          </cell>
          <cell r="G61">
            <v>0</v>
          </cell>
          <cell r="H61">
            <v>10</v>
          </cell>
          <cell r="I61">
            <v>10</v>
          </cell>
        </row>
        <row r="62">
          <cell r="F62">
            <v>0</v>
          </cell>
          <cell r="G62">
            <v>0</v>
          </cell>
          <cell r="H62">
            <v>10</v>
          </cell>
          <cell r="I62">
            <v>10</v>
          </cell>
        </row>
        <row r="63">
          <cell r="F63">
            <v>3</v>
          </cell>
          <cell r="G63">
            <v>0</v>
          </cell>
          <cell r="H63">
            <v>0</v>
          </cell>
          <cell r="I63">
            <v>9</v>
          </cell>
        </row>
        <row r="70">
          <cell r="E70">
            <v>834</v>
          </cell>
          <cell r="H70">
            <v>4212</v>
          </cell>
        </row>
        <row r="71">
          <cell r="E71">
            <v>321</v>
          </cell>
          <cell r="H71">
            <v>1213</v>
          </cell>
        </row>
        <row r="72">
          <cell r="E72">
            <v>0</v>
          </cell>
          <cell r="H72">
            <v>0</v>
          </cell>
        </row>
        <row r="73">
          <cell r="E73">
            <v>0</v>
          </cell>
          <cell r="H73">
            <v>0</v>
          </cell>
        </row>
        <row r="74">
          <cell r="E74">
            <v>0</v>
          </cell>
          <cell r="H74">
            <v>0</v>
          </cell>
        </row>
        <row r="75">
          <cell r="E75">
            <v>328</v>
          </cell>
          <cell r="H75">
            <v>616</v>
          </cell>
        </row>
        <row r="76">
          <cell r="E76">
            <v>812</v>
          </cell>
          <cell r="H76">
            <v>2609</v>
          </cell>
        </row>
        <row r="77">
          <cell r="E77">
            <v>174</v>
          </cell>
          <cell r="H77">
            <v>1610</v>
          </cell>
        </row>
        <row r="78">
          <cell r="E78">
            <v>0</v>
          </cell>
          <cell r="H78">
            <v>1459</v>
          </cell>
        </row>
        <row r="79">
          <cell r="E79">
            <v>0</v>
          </cell>
          <cell r="H79">
            <v>1145</v>
          </cell>
        </row>
        <row r="80">
          <cell r="E80">
            <v>317</v>
          </cell>
          <cell r="H80">
            <v>0</v>
          </cell>
        </row>
      </sheetData>
      <sheetData sheetId="14">
        <row r="5">
          <cell r="F5">
            <v>84.980237154150203</v>
          </cell>
        </row>
        <row r="6">
          <cell r="D6">
            <v>642</v>
          </cell>
          <cell r="E6">
            <v>562</v>
          </cell>
          <cell r="F6">
            <v>87.53894080996885</v>
          </cell>
        </row>
        <row r="7">
          <cell r="D7">
            <v>117</v>
          </cell>
          <cell r="E7">
            <v>83</v>
          </cell>
          <cell r="F7">
            <v>70.940170940170944</v>
          </cell>
        </row>
      </sheetData>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110120</v>
          </cell>
          <cell r="R12">
            <v>8398</v>
          </cell>
        </row>
        <row r="13">
          <cell r="D13">
            <v>46879</v>
          </cell>
          <cell r="R13">
            <v>3444</v>
          </cell>
        </row>
        <row r="14">
          <cell r="D14">
            <v>0</v>
          </cell>
          <cell r="R14">
            <v>0</v>
          </cell>
        </row>
        <row r="17">
          <cell r="D17">
            <v>0</v>
          </cell>
          <cell r="R17">
            <v>0</v>
          </cell>
        </row>
        <row r="20">
          <cell r="D20">
            <v>0</v>
          </cell>
          <cell r="R20">
            <v>0</v>
          </cell>
        </row>
        <row r="24">
          <cell r="D24">
            <v>38948</v>
          </cell>
          <cell r="R24">
            <v>4155</v>
          </cell>
        </row>
        <row r="29">
          <cell r="D29">
            <v>6590</v>
          </cell>
          <cell r="R29">
            <v>2304</v>
          </cell>
        </row>
        <row r="30">
          <cell r="D30">
            <v>66416</v>
          </cell>
          <cell r="R30">
            <v>5631</v>
          </cell>
        </row>
        <row r="35">
          <cell r="D35">
            <v>1563</v>
          </cell>
          <cell r="R35">
            <v>1563</v>
          </cell>
        </row>
        <row r="36">
          <cell r="D36">
            <v>1953</v>
          </cell>
          <cell r="R36">
            <v>1953</v>
          </cell>
        </row>
        <row r="40">
          <cell r="D40">
            <v>8993</v>
          </cell>
          <cell r="R40">
            <v>725</v>
          </cell>
        </row>
      </sheetData>
      <sheetData sheetId="4"/>
      <sheetData sheetId="5"/>
      <sheetData sheetId="6"/>
      <sheetData sheetId="7"/>
      <sheetData sheetId="8"/>
      <sheetData sheetId="9"/>
      <sheetData sheetId="10"/>
      <sheetData sheetId="11"/>
      <sheetData sheetId="12"/>
      <sheetData sheetId="13"/>
      <sheetData sheetId="14">
        <row r="9">
          <cell r="F9">
            <v>45</v>
          </cell>
          <cell r="G9">
            <v>18</v>
          </cell>
          <cell r="H9">
            <v>308</v>
          </cell>
          <cell r="I9">
            <v>371</v>
          </cell>
        </row>
        <row r="10">
          <cell r="F10">
            <v>47</v>
          </cell>
          <cell r="G10">
            <v>17</v>
          </cell>
          <cell r="H10">
            <v>289</v>
          </cell>
          <cell r="I10">
            <v>369</v>
          </cell>
        </row>
        <row r="11">
          <cell r="F11">
            <v>0</v>
          </cell>
          <cell r="G11">
            <v>0</v>
          </cell>
          <cell r="H11">
            <v>0</v>
          </cell>
          <cell r="I11">
            <v>0</v>
          </cell>
        </row>
        <row r="12">
          <cell r="F12">
            <v>0</v>
          </cell>
          <cell r="G12">
            <v>0</v>
          </cell>
          <cell r="H12">
            <v>0</v>
          </cell>
          <cell r="I12">
            <v>0</v>
          </cell>
        </row>
        <row r="13">
          <cell r="F13">
            <v>0</v>
          </cell>
          <cell r="G13">
            <v>0</v>
          </cell>
          <cell r="H13">
            <v>0</v>
          </cell>
          <cell r="I13">
            <v>0</v>
          </cell>
        </row>
        <row r="14">
          <cell r="F14">
            <v>5</v>
          </cell>
          <cell r="G14">
            <v>2</v>
          </cell>
          <cell r="H14">
            <v>11</v>
          </cell>
          <cell r="I14">
            <v>90</v>
          </cell>
        </row>
        <row r="15">
          <cell r="F15">
            <v>51</v>
          </cell>
          <cell r="G15">
            <v>55</v>
          </cell>
          <cell r="H15">
            <v>16</v>
          </cell>
          <cell r="I15">
            <v>130</v>
          </cell>
        </row>
        <row r="16">
          <cell r="F16">
            <v>10</v>
          </cell>
          <cell r="G16">
            <v>1</v>
          </cell>
          <cell r="H16">
            <v>8</v>
          </cell>
          <cell r="I16">
            <v>19</v>
          </cell>
        </row>
        <row r="17">
          <cell r="I17">
            <v>0</v>
          </cell>
        </row>
        <row r="18">
          <cell r="I18">
            <v>0</v>
          </cell>
        </row>
        <row r="19">
          <cell r="F19">
            <v>24</v>
          </cell>
          <cell r="G19">
            <v>8</v>
          </cell>
          <cell r="H19">
            <v>22</v>
          </cell>
          <cell r="I19">
            <v>68</v>
          </cell>
        </row>
        <row r="26">
          <cell r="E26">
            <v>17517</v>
          </cell>
          <cell r="H26">
            <v>63068</v>
          </cell>
        </row>
        <row r="27">
          <cell r="E27">
            <v>7537</v>
          </cell>
          <cell r="H27">
            <v>4684</v>
          </cell>
        </row>
        <row r="28">
          <cell r="E28">
            <v>0</v>
          </cell>
          <cell r="H28">
            <v>0</v>
          </cell>
        </row>
        <row r="29">
          <cell r="E29">
            <v>0</v>
          </cell>
          <cell r="H29">
            <v>0</v>
          </cell>
        </row>
        <row r="30">
          <cell r="E30">
            <v>0</v>
          </cell>
          <cell r="H30">
            <v>0</v>
          </cell>
        </row>
        <row r="31">
          <cell r="E31">
            <v>2659</v>
          </cell>
          <cell r="H31">
            <v>7211</v>
          </cell>
        </row>
        <row r="32">
          <cell r="E32">
            <v>53177</v>
          </cell>
          <cell r="H32">
            <v>8018</v>
          </cell>
        </row>
        <row r="33">
          <cell r="E33">
            <v>1829</v>
          </cell>
          <cell r="H33">
            <v>1967</v>
          </cell>
        </row>
        <row r="36">
          <cell r="E36">
            <v>3394</v>
          </cell>
          <cell r="H36">
            <v>834</v>
          </cell>
        </row>
        <row r="53">
          <cell r="F53">
            <v>6</v>
          </cell>
          <cell r="G53">
            <v>0</v>
          </cell>
          <cell r="H53">
            <v>36</v>
          </cell>
          <cell r="I53">
            <v>60</v>
          </cell>
        </row>
        <row r="54">
          <cell r="F54">
            <v>5</v>
          </cell>
          <cell r="G54">
            <v>0</v>
          </cell>
          <cell r="H54">
            <v>31</v>
          </cell>
          <cell r="I54">
            <v>57</v>
          </cell>
        </row>
        <row r="55">
          <cell r="F55">
            <v>0</v>
          </cell>
          <cell r="G55">
            <v>0</v>
          </cell>
          <cell r="H55">
            <v>0</v>
          </cell>
          <cell r="I55">
            <v>0</v>
          </cell>
        </row>
        <row r="56">
          <cell r="F56">
            <v>0</v>
          </cell>
          <cell r="G56">
            <v>0</v>
          </cell>
          <cell r="H56">
            <v>0</v>
          </cell>
          <cell r="I56">
            <v>0</v>
          </cell>
        </row>
        <row r="57">
          <cell r="F57">
            <v>0</v>
          </cell>
          <cell r="G57">
            <v>0</v>
          </cell>
          <cell r="H57">
            <v>0</v>
          </cell>
          <cell r="I57">
            <v>0</v>
          </cell>
        </row>
        <row r="58">
          <cell r="F58">
            <v>2</v>
          </cell>
          <cell r="G58">
            <v>0</v>
          </cell>
          <cell r="H58">
            <v>2</v>
          </cell>
          <cell r="I58">
            <v>23</v>
          </cell>
        </row>
        <row r="59">
          <cell r="F59">
            <v>5</v>
          </cell>
          <cell r="G59">
            <v>3</v>
          </cell>
          <cell r="H59">
            <v>15</v>
          </cell>
          <cell r="I59">
            <v>35</v>
          </cell>
        </row>
        <row r="60">
          <cell r="F60">
            <v>0</v>
          </cell>
          <cell r="G60">
            <v>0</v>
          </cell>
          <cell r="H60">
            <v>14</v>
          </cell>
          <cell r="I60">
            <v>19</v>
          </cell>
        </row>
        <row r="61">
          <cell r="F61">
            <v>0</v>
          </cell>
          <cell r="G61">
            <v>0</v>
          </cell>
          <cell r="H61">
            <v>9</v>
          </cell>
          <cell r="I61">
            <v>10</v>
          </cell>
        </row>
        <row r="62">
          <cell r="F62">
            <v>0</v>
          </cell>
          <cell r="G62">
            <v>0</v>
          </cell>
          <cell r="H62">
            <v>9</v>
          </cell>
          <cell r="I62">
            <v>10</v>
          </cell>
        </row>
        <row r="63">
          <cell r="F63">
            <v>4</v>
          </cell>
          <cell r="G63">
            <v>0</v>
          </cell>
          <cell r="H63">
            <v>1</v>
          </cell>
          <cell r="I63">
            <v>9</v>
          </cell>
        </row>
        <row r="70">
          <cell r="E70">
            <v>1009</v>
          </cell>
          <cell r="H70">
            <v>3939</v>
          </cell>
        </row>
        <row r="71">
          <cell r="E71">
            <v>373</v>
          </cell>
          <cell r="H71">
            <v>698</v>
          </cell>
        </row>
        <row r="72">
          <cell r="E72">
            <v>0</v>
          </cell>
          <cell r="H72">
            <v>0</v>
          </cell>
        </row>
        <row r="73">
          <cell r="E73">
            <v>0</v>
          </cell>
          <cell r="H73">
            <v>0</v>
          </cell>
        </row>
        <row r="74">
          <cell r="E74">
            <v>0</v>
          </cell>
          <cell r="H74">
            <v>0</v>
          </cell>
        </row>
        <row r="75">
          <cell r="E75">
            <v>368</v>
          </cell>
          <cell r="H75">
            <v>832</v>
          </cell>
        </row>
        <row r="76">
          <cell r="E76">
            <v>1138</v>
          </cell>
          <cell r="H76">
            <v>2335</v>
          </cell>
        </row>
        <row r="77">
          <cell r="E77">
            <v>0</v>
          </cell>
          <cell r="H77">
            <v>2136</v>
          </cell>
        </row>
        <row r="78">
          <cell r="E78">
            <v>0</v>
          </cell>
          <cell r="H78">
            <v>1439</v>
          </cell>
        </row>
        <row r="79">
          <cell r="E79">
            <v>0</v>
          </cell>
          <cell r="H79">
            <v>1177</v>
          </cell>
        </row>
        <row r="80">
          <cell r="E80">
            <v>380</v>
          </cell>
          <cell r="H80">
            <v>19</v>
          </cell>
        </row>
      </sheetData>
      <sheetData sheetId="15">
        <row r="5">
          <cell r="F5">
            <v>85.638998682476938</v>
          </cell>
        </row>
        <row r="6">
          <cell r="D6">
            <v>638</v>
          </cell>
          <cell r="E6">
            <v>566</v>
          </cell>
          <cell r="F6">
            <v>88.714733542319749</v>
          </cell>
        </row>
        <row r="7">
          <cell r="D7">
            <v>121</v>
          </cell>
          <cell r="E7">
            <v>84</v>
          </cell>
          <cell r="F7">
            <v>69.421487603305792</v>
          </cell>
        </row>
      </sheetData>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113268</v>
          </cell>
          <cell r="R12">
            <v>8462</v>
          </cell>
        </row>
        <row r="13">
          <cell r="D13">
            <v>48457</v>
          </cell>
          <cell r="R13">
            <v>3515</v>
          </cell>
        </row>
        <row r="14">
          <cell r="D14">
            <v>0</v>
          </cell>
          <cell r="R14">
            <v>0</v>
          </cell>
        </row>
        <row r="17">
          <cell r="D17">
            <v>0</v>
          </cell>
          <cell r="R17">
            <v>0</v>
          </cell>
        </row>
        <row r="20">
          <cell r="D20">
            <v>0</v>
          </cell>
          <cell r="R20">
            <v>0</v>
          </cell>
        </row>
        <row r="24">
          <cell r="D24">
            <v>39399</v>
          </cell>
          <cell r="R24">
            <v>4147</v>
          </cell>
        </row>
        <row r="29">
          <cell r="D29">
            <v>7550</v>
          </cell>
          <cell r="R29">
            <v>2602</v>
          </cell>
        </row>
        <row r="30">
          <cell r="D30">
            <v>64753</v>
          </cell>
          <cell r="R30">
            <v>5880</v>
          </cell>
        </row>
        <row r="35">
          <cell r="D35">
            <v>1580</v>
          </cell>
          <cell r="R35">
            <v>1580</v>
          </cell>
        </row>
        <row r="36">
          <cell r="D36">
            <v>2008</v>
          </cell>
          <cell r="R36">
            <v>2008</v>
          </cell>
        </row>
        <row r="40">
          <cell r="D40">
            <v>8507</v>
          </cell>
          <cell r="R40">
            <v>716</v>
          </cell>
        </row>
      </sheetData>
      <sheetData sheetId="4"/>
      <sheetData sheetId="5"/>
      <sheetData sheetId="6"/>
      <sheetData sheetId="7"/>
      <sheetData sheetId="8"/>
      <sheetData sheetId="9"/>
      <sheetData sheetId="10"/>
      <sheetData sheetId="11"/>
      <sheetData sheetId="12"/>
      <sheetData sheetId="13"/>
      <sheetData sheetId="14">
        <row r="9">
          <cell r="F9">
            <v>38</v>
          </cell>
          <cell r="G9">
            <v>25</v>
          </cell>
          <cell r="H9">
            <v>304</v>
          </cell>
          <cell r="I9">
            <v>367</v>
          </cell>
        </row>
        <row r="10">
          <cell r="F10">
            <v>38</v>
          </cell>
          <cell r="G10">
            <v>25</v>
          </cell>
          <cell r="H10">
            <v>301</v>
          </cell>
          <cell r="I10">
            <v>365</v>
          </cell>
        </row>
        <row r="14">
          <cell r="F14">
            <v>6</v>
          </cell>
          <cell r="G14">
            <v>2</v>
          </cell>
          <cell r="H14">
            <v>17</v>
          </cell>
          <cell r="I14">
            <v>90</v>
          </cell>
        </row>
        <row r="15">
          <cell r="F15">
            <v>38</v>
          </cell>
          <cell r="G15">
            <v>67</v>
          </cell>
          <cell r="H15">
            <v>19</v>
          </cell>
          <cell r="I15">
            <v>133</v>
          </cell>
        </row>
        <row r="16">
          <cell r="F16">
            <v>10</v>
          </cell>
          <cell r="G16">
            <v>1</v>
          </cell>
          <cell r="H16">
            <v>11</v>
          </cell>
          <cell r="I16">
            <v>22</v>
          </cell>
        </row>
        <row r="19">
          <cell r="F19">
            <v>30</v>
          </cell>
          <cell r="G19">
            <v>0</v>
          </cell>
          <cell r="H19">
            <v>27</v>
          </cell>
          <cell r="I19">
            <v>68</v>
          </cell>
        </row>
        <row r="26">
          <cell r="E26">
            <v>18202</v>
          </cell>
          <cell r="H26">
            <v>62837</v>
          </cell>
        </row>
        <row r="27">
          <cell r="E27">
            <v>6846</v>
          </cell>
          <cell r="H27">
            <v>4629</v>
          </cell>
        </row>
        <row r="31">
          <cell r="E31">
            <v>2999</v>
          </cell>
          <cell r="H31">
            <v>10551</v>
          </cell>
        </row>
        <row r="32">
          <cell r="E32">
            <v>49087</v>
          </cell>
          <cell r="H32">
            <v>12656</v>
          </cell>
        </row>
        <row r="33">
          <cell r="E33">
            <v>2387</v>
          </cell>
          <cell r="H33">
            <v>2284</v>
          </cell>
        </row>
        <row r="36">
          <cell r="E36">
            <v>3045</v>
          </cell>
          <cell r="H36">
            <v>1157</v>
          </cell>
        </row>
        <row r="53">
          <cell r="F53">
            <v>10</v>
          </cell>
          <cell r="G53">
            <v>0</v>
          </cell>
          <cell r="H53">
            <v>42</v>
          </cell>
          <cell r="I53">
            <v>59</v>
          </cell>
        </row>
        <row r="54">
          <cell r="F54">
            <v>10</v>
          </cell>
          <cell r="G54">
            <v>0</v>
          </cell>
          <cell r="H54">
            <v>42</v>
          </cell>
          <cell r="I54">
            <v>57</v>
          </cell>
        </row>
        <row r="58">
          <cell r="F58">
            <v>2</v>
          </cell>
          <cell r="G58">
            <v>1</v>
          </cell>
          <cell r="H58">
            <v>3</v>
          </cell>
          <cell r="I58">
            <v>23</v>
          </cell>
        </row>
        <row r="59">
          <cell r="F59">
            <v>7</v>
          </cell>
          <cell r="G59">
            <v>0</v>
          </cell>
          <cell r="H59">
            <v>21</v>
          </cell>
          <cell r="I59">
            <v>38</v>
          </cell>
        </row>
        <row r="60">
          <cell r="F60">
            <v>0</v>
          </cell>
          <cell r="G60">
            <v>0</v>
          </cell>
          <cell r="H60">
            <v>21</v>
          </cell>
          <cell r="I60">
            <v>21</v>
          </cell>
        </row>
        <row r="61">
          <cell r="F61">
            <v>0</v>
          </cell>
          <cell r="G61">
            <v>0</v>
          </cell>
          <cell r="H61">
            <v>10</v>
          </cell>
          <cell r="I61">
            <v>10</v>
          </cell>
        </row>
        <row r="62">
          <cell r="F62">
            <v>0</v>
          </cell>
          <cell r="G62">
            <v>0</v>
          </cell>
          <cell r="H62">
            <v>10</v>
          </cell>
          <cell r="I62">
            <v>10</v>
          </cell>
        </row>
        <row r="63">
          <cell r="F63">
            <v>3</v>
          </cell>
          <cell r="G63">
            <v>0</v>
          </cell>
          <cell r="H63">
            <v>2</v>
          </cell>
          <cell r="I63">
            <v>9</v>
          </cell>
        </row>
        <row r="70">
          <cell r="E70">
            <v>2045</v>
          </cell>
          <cell r="H70">
            <v>4342</v>
          </cell>
        </row>
        <row r="71">
          <cell r="E71">
            <v>891</v>
          </cell>
          <cell r="H71">
            <v>986</v>
          </cell>
        </row>
        <row r="75">
          <cell r="E75">
            <v>320</v>
          </cell>
          <cell r="H75">
            <v>601</v>
          </cell>
        </row>
        <row r="76">
          <cell r="E76">
            <v>1545</v>
          </cell>
          <cell r="H76">
            <v>3421</v>
          </cell>
        </row>
        <row r="77">
          <cell r="E77">
            <v>0</v>
          </cell>
          <cell r="H77">
            <v>2169</v>
          </cell>
        </row>
        <row r="78">
          <cell r="E78">
            <v>0</v>
          </cell>
          <cell r="H78">
            <v>1600</v>
          </cell>
        </row>
        <row r="79">
          <cell r="E79">
            <v>0</v>
          </cell>
          <cell r="H79">
            <v>1330</v>
          </cell>
        </row>
        <row r="80">
          <cell r="E80">
            <v>87</v>
          </cell>
          <cell r="H80">
            <v>48</v>
          </cell>
        </row>
      </sheetData>
      <sheetData sheetId="15">
        <row r="5">
          <cell r="F5">
            <v>89.035667107001316</v>
          </cell>
        </row>
        <row r="6">
          <cell r="D6">
            <v>635</v>
          </cell>
          <cell r="E6">
            <v>573</v>
          </cell>
          <cell r="F6">
            <v>90.236220472440948</v>
          </cell>
        </row>
        <row r="7">
          <cell r="D7">
            <v>122</v>
          </cell>
          <cell r="E7">
            <v>101</v>
          </cell>
          <cell r="F7">
            <v>82.786885245901644</v>
          </cell>
        </row>
      </sheetData>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Tabelle1"/>
      <sheetName val="SKL2016_BE"/>
    </sheetNames>
    <sheetDataSet>
      <sheetData sheetId="0"/>
      <sheetData sheetId="1"/>
      <sheetData sheetId="2"/>
      <sheetData sheetId="3">
        <row r="12">
          <cell r="D12">
            <v>117287</v>
          </cell>
          <cell r="R12">
            <v>8531</v>
          </cell>
        </row>
        <row r="13">
          <cell r="D13">
            <v>50598</v>
          </cell>
          <cell r="R13">
            <v>3682</v>
          </cell>
        </row>
        <row r="14">
          <cell r="D14">
            <v>0</v>
          </cell>
          <cell r="R14">
            <v>0</v>
          </cell>
        </row>
        <row r="17">
          <cell r="D17">
            <v>0</v>
          </cell>
          <cell r="R17">
            <v>0</v>
          </cell>
        </row>
        <row r="20">
          <cell r="D20">
            <v>0</v>
          </cell>
          <cell r="R20">
            <v>0</v>
          </cell>
        </row>
        <row r="24">
          <cell r="D24">
            <v>41550</v>
          </cell>
          <cell r="R24">
            <v>4165</v>
          </cell>
        </row>
        <row r="29">
          <cell r="D29">
            <v>8076</v>
          </cell>
          <cell r="R29">
            <v>2735</v>
          </cell>
        </row>
        <row r="30">
          <cell r="D30">
            <v>66572</v>
          </cell>
          <cell r="R30">
            <v>6260</v>
          </cell>
        </row>
        <row r="35">
          <cell r="D35">
            <v>1670</v>
          </cell>
          <cell r="R35">
            <v>1670</v>
          </cell>
        </row>
        <row r="36">
          <cell r="D36">
            <v>2137</v>
          </cell>
          <cell r="R36">
            <v>2137</v>
          </cell>
        </row>
        <row r="40">
          <cell r="D40">
            <v>8199</v>
          </cell>
          <cell r="R40">
            <v>537</v>
          </cell>
        </row>
      </sheetData>
      <sheetData sheetId="4"/>
      <sheetData sheetId="5"/>
      <sheetData sheetId="6"/>
      <sheetData sheetId="7"/>
      <sheetData sheetId="8"/>
      <sheetData sheetId="9"/>
      <sheetData sheetId="10"/>
      <sheetData sheetId="11"/>
      <sheetData sheetId="12"/>
      <sheetData sheetId="13"/>
      <sheetData sheetId="14">
        <row r="9">
          <cell r="D9">
            <v>366</v>
          </cell>
          <cell r="F9">
            <v>46</v>
          </cell>
          <cell r="G9">
            <v>19</v>
          </cell>
          <cell r="H9">
            <v>301</v>
          </cell>
          <cell r="I9">
            <v>368</v>
          </cell>
        </row>
        <row r="10">
          <cell r="D10">
            <v>356</v>
          </cell>
          <cell r="F10">
            <v>46</v>
          </cell>
          <cell r="G10">
            <v>18</v>
          </cell>
          <cell r="H10">
            <v>292</v>
          </cell>
          <cell r="I10">
            <v>368</v>
          </cell>
        </row>
        <row r="11">
          <cell r="D11">
            <v>0</v>
          </cell>
          <cell r="F11">
            <v>0</v>
          </cell>
          <cell r="G11">
            <v>0</v>
          </cell>
          <cell r="H11">
            <v>0</v>
          </cell>
          <cell r="I11">
            <v>0</v>
          </cell>
        </row>
        <row r="12">
          <cell r="D12">
            <v>0</v>
          </cell>
          <cell r="F12">
            <v>0</v>
          </cell>
          <cell r="G12">
            <v>0</v>
          </cell>
          <cell r="H12">
            <v>0</v>
          </cell>
          <cell r="I12">
            <v>0</v>
          </cell>
        </row>
        <row r="13">
          <cell r="D13">
            <v>0</v>
          </cell>
          <cell r="F13">
            <v>0</v>
          </cell>
          <cell r="G13">
            <v>0</v>
          </cell>
          <cell r="H13">
            <v>0</v>
          </cell>
          <cell r="I13">
            <v>0</v>
          </cell>
        </row>
        <row r="14">
          <cell r="D14">
            <v>25</v>
          </cell>
          <cell r="F14">
            <v>6</v>
          </cell>
          <cell r="G14">
            <v>2</v>
          </cell>
          <cell r="H14">
            <v>17</v>
          </cell>
          <cell r="I14">
            <v>91</v>
          </cell>
        </row>
        <row r="15">
          <cell r="D15">
            <v>121</v>
          </cell>
          <cell r="F15">
            <v>55</v>
          </cell>
          <cell r="G15">
            <v>46</v>
          </cell>
          <cell r="H15">
            <v>20</v>
          </cell>
          <cell r="I15">
            <v>133</v>
          </cell>
        </row>
        <row r="16">
          <cell r="F16">
            <v>10</v>
          </cell>
          <cell r="G16">
            <v>1</v>
          </cell>
          <cell r="H16">
            <v>12</v>
          </cell>
          <cell r="I16">
            <v>23</v>
          </cell>
        </row>
        <row r="17">
          <cell r="D17">
            <v>0</v>
          </cell>
          <cell r="I17">
            <v>0</v>
          </cell>
        </row>
        <row r="18">
          <cell r="I18">
            <v>0</v>
          </cell>
        </row>
        <row r="19">
          <cell r="D19">
            <v>50</v>
          </cell>
          <cell r="F19">
            <v>25</v>
          </cell>
          <cell r="G19">
            <v>8</v>
          </cell>
          <cell r="H19">
            <v>17</v>
          </cell>
          <cell r="I19">
            <v>68</v>
          </cell>
        </row>
        <row r="26">
          <cell r="D26">
            <v>85008</v>
          </cell>
          <cell r="E26">
            <v>20033</v>
          </cell>
          <cell r="H26">
            <v>64975</v>
          </cell>
        </row>
        <row r="27">
          <cell r="D27">
            <v>13919</v>
          </cell>
          <cell r="E27">
            <v>8727</v>
          </cell>
          <cell r="H27">
            <v>5192</v>
          </cell>
        </row>
        <row r="28">
          <cell r="D28">
            <v>0</v>
          </cell>
          <cell r="E28">
            <v>0</v>
          </cell>
          <cell r="H28">
            <v>0</v>
          </cell>
        </row>
        <row r="29">
          <cell r="D29">
            <v>0</v>
          </cell>
          <cell r="E29">
            <v>0</v>
          </cell>
          <cell r="H29">
            <v>0</v>
          </cell>
        </row>
        <row r="30">
          <cell r="D30">
            <v>0</v>
          </cell>
          <cell r="E30">
            <v>0</v>
          </cell>
          <cell r="H30">
            <v>0</v>
          </cell>
        </row>
        <row r="31">
          <cell r="D31">
            <v>12321</v>
          </cell>
          <cell r="E31">
            <v>3221</v>
          </cell>
          <cell r="H31">
            <v>9100</v>
          </cell>
        </row>
        <row r="32">
          <cell r="D32">
            <v>60352</v>
          </cell>
          <cell r="E32">
            <v>47236</v>
          </cell>
          <cell r="H32">
            <v>13116</v>
          </cell>
        </row>
        <row r="33">
          <cell r="E33">
            <v>2166</v>
          </cell>
          <cell r="H33">
            <v>2458</v>
          </cell>
        </row>
        <row r="34">
          <cell r="D34">
            <v>0</v>
          </cell>
        </row>
        <row r="36">
          <cell r="D36">
            <v>3222</v>
          </cell>
          <cell r="E36">
            <v>2557</v>
          </cell>
          <cell r="H36">
            <v>665</v>
          </cell>
        </row>
        <row r="53">
          <cell r="D53">
            <v>49</v>
          </cell>
          <cell r="F53">
            <v>10</v>
          </cell>
          <cell r="G53">
            <v>0</v>
          </cell>
          <cell r="H53">
            <v>39</v>
          </cell>
          <cell r="I53">
            <v>56</v>
          </cell>
        </row>
        <row r="54">
          <cell r="D54">
            <v>47</v>
          </cell>
          <cell r="F54">
            <v>10</v>
          </cell>
          <cell r="G54">
            <v>0</v>
          </cell>
          <cell r="H54">
            <v>37</v>
          </cell>
          <cell r="I54">
            <v>54</v>
          </cell>
        </row>
        <row r="55">
          <cell r="D55">
            <v>0</v>
          </cell>
          <cell r="F55">
            <v>0</v>
          </cell>
          <cell r="G55">
            <v>0</v>
          </cell>
          <cell r="H55">
            <v>0</v>
          </cell>
          <cell r="I55">
            <v>0</v>
          </cell>
        </row>
        <row r="56">
          <cell r="D56">
            <v>0</v>
          </cell>
          <cell r="F56">
            <v>0</v>
          </cell>
          <cell r="G56">
            <v>0</v>
          </cell>
          <cell r="H56">
            <v>0</v>
          </cell>
          <cell r="I56">
            <v>0</v>
          </cell>
        </row>
        <row r="57">
          <cell r="D57">
            <v>0</v>
          </cell>
          <cell r="F57">
            <v>0</v>
          </cell>
          <cell r="G57">
            <v>0</v>
          </cell>
          <cell r="H57">
            <v>0</v>
          </cell>
          <cell r="I57">
            <v>0</v>
          </cell>
        </row>
        <row r="58">
          <cell r="D58">
            <v>8</v>
          </cell>
          <cell r="F58">
            <v>2</v>
          </cell>
          <cell r="G58">
            <v>1</v>
          </cell>
          <cell r="H58">
            <v>5</v>
          </cell>
          <cell r="I58">
            <v>22</v>
          </cell>
        </row>
        <row r="59">
          <cell r="D59">
            <v>20</v>
          </cell>
          <cell r="F59">
            <v>8</v>
          </cell>
          <cell r="G59">
            <v>0</v>
          </cell>
          <cell r="H59">
            <v>12</v>
          </cell>
          <cell r="I59">
            <v>42</v>
          </cell>
        </row>
        <row r="60">
          <cell r="F60">
            <v>1</v>
          </cell>
          <cell r="G60">
            <v>0</v>
          </cell>
          <cell r="H60">
            <v>23</v>
          </cell>
          <cell r="I60">
            <v>24</v>
          </cell>
        </row>
        <row r="61">
          <cell r="D61">
            <v>10</v>
          </cell>
          <cell r="F61">
            <v>0</v>
          </cell>
          <cell r="G61">
            <v>0</v>
          </cell>
          <cell r="H61">
            <v>10</v>
          </cell>
          <cell r="I61">
            <v>11</v>
          </cell>
        </row>
        <row r="62">
          <cell r="F62">
            <v>0</v>
          </cell>
          <cell r="G62">
            <v>0</v>
          </cell>
          <cell r="H62">
            <v>10</v>
          </cell>
          <cell r="I62">
            <v>10</v>
          </cell>
        </row>
        <row r="63">
          <cell r="D63">
            <v>3</v>
          </cell>
          <cell r="F63">
            <v>3</v>
          </cell>
          <cell r="G63">
            <v>0</v>
          </cell>
          <cell r="H63">
            <v>0</v>
          </cell>
          <cell r="I63">
            <v>8</v>
          </cell>
        </row>
        <row r="70">
          <cell r="D70">
            <v>6464</v>
          </cell>
          <cell r="E70">
            <v>2099</v>
          </cell>
          <cell r="H70">
            <v>4365</v>
          </cell>
        </row>
        <row r="71">
          <cell r="D71">
            <v>1807</v>
          </cell>
          <cell r="E71">
            <v>866</v>
          </cell>
          <cell r="H71">
            <v>941</v>
          </cell>
        </row>
        <row r="72">
          <cell r="D72">
            <v>0</v>
          </cell>
          <cell r="E72">
            <v>0</v>
          </cell>
          <cell r="H72">
            <v>0</v>
          </cell>
        </row>
        <row r="73">
          <cell r="D73">
            <v>0</v>
          </cell>
          <cell r="E73">
            <v>0</v>
          </cell>
          <cell r="H73">
            <v>0</v>
          </cell>
        </row>
        <row r="74">
          <cell r="D74">
            <v>0</v>
          </cell>
          <cell r="E74">
            <v>0</v>
          </cell>
          <cell r="H74">
            <v>0</v>
          </cell>
        </row>
        <row r="75">
          <cell r="D75">
            <v>1396</v>
          </cell>
          <cell r="E75">
            <v>576</v>
          </cell>
          <cell r="H75">
            <v>820</v>
          </cell>
        </row>
        <row r="76">
          <cell r="D76">
            <v>5363</v>
          </cell>
          <cell r="E76">
            <v>1344</v>
          </cell>
          <cell r="H76">
            <v>4019</v>
          </cell>
        </row>
        <row r="77">
          <cell r="E77">
            <v>74</v>
          </cell>
          <cell r="H77">
            <v>2566</v>
          </cell>
        </row>
        <row r="78">
          <cell r="D78">
            <v>1740</v>
          </cell>
          <cell r="E78">
            <v>0</v>
          </cell>
          <cell r="H78">
            <v>1740</v>
          </cell>
        </row>
        <row r="79">
          <cell r="E79">
            <v>0</v>
          </cell>
          <cell r="H79">
            <v>1363</v>
          </cell>
        </row>
        <row r="80">
          <cell r="D80">
            <v>227</v>
          </cell>
          <cell r="E80">
            <v>227</v>
          </cell>
          <cell r="H80">
            <v>0</v>
          </cell>
        </row>
        <row r="97">
          <cell r="D97">
            <v>415</v>
          </cell>
        </row>
        <row r="98">
          <cell r="D98">
            <v>403</v>
          </cell>
        </row>
        <row r="99">
          <cell r="D99">
            <v>0</v>
          </cell>
        </row>
        <row r="100">
          <cell r="D100">
            <v>0</v>
          </cell>
        </row>
        <row r="101">
          <cell r="D101">
            <v>0</v>
          </cell>
        </row>
        <row r="102">
          <cell r="D102">
            <v>33</v>
          </cell>
        </row>
        <row r="103">
          <cell r="D103">
            <v>141</v>
          </cell>
        </row>
        <row r="105">
          <cell r="D105">
            <v>10</v>
          </cell>
        </row>
        <row r="107">
          <cell r="D107">
            <v>53</v>
          </cell>
        </row>
        <row r="114">
          <cell r="D114">
            <v>91472</v>
          </cell>
        </row>
        <row r="115">
          <cell r="D115">
            <v>15726</v>
          </cell>
        </row>
        <row r="116">
          <cell r="D116">
            <v>0</v>
          </cell>
        </row>
        <row r="117">
          <cell r="D117">
            <v>0</v>
          </cell>
        </row>
        <row r="118">
          <cell r="D118">
            <v>0</v>
          </cell>
        </row>
        <row r="119">
          <cell r="D119">
            <v>13717</v>
          </cell>
        </row>
        <row r="120">
          <cell r="D120">
            <v>65715</v>
          </cell>
        </row>
        <row r="122">
          <cell r="D122">
            <v>1740</v>
          </cell>
        </row>
        <row r="124">
          <cell r="D124">
            <v>3449</v>
          </cell>
        </row>
      </sheetData>
      <sheetData sheetId="15">
        <row r="5">
          <cell r="F5">
            <v>92.621870882740453</v>
          </cell>
        </row>
        <row r="6">
          <cell r="D6">
            <v>633</v>
          </cell>
          <cell r="E6">
            <v>588</v>
          </cell>
          <cell r="F6">
            <v>92.890995260663502</v>
          </cell>
        </row>
        <row r="7">
          <cell r="D7">
            <v>126</v>
          </cell>
          <cell r="E7">
            <v>115</v>
          </cell>
          <cell r="F7">
            <v>91.269841269841265</v>
          </cell>
        </row>
      </sheetData>
      <sheetData sheetId="16"/>
      <sheetData sheetId="17"/>
      <sheetData sheetId="18"/>
      <sheetData sheetId="19"/>
      <sheetData sheetId="20"/>
      <sheetData sheetId="21"/>
      <sheetData sheetId="22"/>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76772</v>
          </cell>
          <cell r="R12">
            <v>5962</v>
          </cell>
        </row>
        <row r="13">
          <cell r="D13">
            <v>35437</v>
          </cell>
          <cell r="R13">
            <v>2477</v>
          </cell>
        </row>
        <row r="14">
          <cell r="D14">
            <v>0</v>
          </cell>
          <cell r="R14">
            <v>0</v>
          </cell>
        </row>
        <row r="17">
          <cell r="D17">
            <v>30750</v>
          </cell>
          <cell r="R17">
            <v>2540</v>
          </cell>
        </row>
        <row r="20">
          <cell r="D20">
            <v>0</v>
          </cell>
          <cell r="R20">
            <v>0</v>
          </cell>
        </row>
        <row r="24">
          <cell r="D24">
            <v>29225</v>
          </cell>
          <cell r="R24">
            <v>3482</v>
          </cell>
        </row>
        <row r="29">
          <cell r="D29">
            <v>235</v>
          </cell>
          <cell r="R29">
            <v>0</v>
          </cell>
        </row>
        <row r="30">
          <cell r="D30">
            <v>10359</v>
          </cell>
          <cell r="R30">
            <v>620</v>
          </cell>
        </row>
        <row r="35">
          <cell r="D35">
            <v>476</v>
          </cell>
          <cell r="R35">
            <v>476</v>
          </cell>
        </row>
        <row r="36">
          <cell r="D36">
            <v>700</v>
          </cell>
          <cell r="R36">
            <v>700</v>
          </cell>
        </row>
        <row r="40">
          <cell r="D40">
            <v>9387</v>
          </cell>
          <cell r="R40">
            <v>1046</v>
          </cell>
        </row>
      </sheetData>
      <sheetData sheetId="4"/>
      <sheetData sheetId="5"/>
      <sheetData sheetId="6"/>
      <sheetData sheetId="7"/>
      <sheetData sheetId="8"/>
      <sheetData sheetId="9"/>
      <sheetData sheetId="10"/>
      <sheetData sheetId="11"/>
      <sheetData sheetId="12"/>
      <sheetData sheetId="13">
        <row r="9">
          <cell r="F9">
            <v>0</v>
          </cell>
          <cell r="G9">
            <v>0</v>
          </cell>
          <cell r="H9">
            <v>195</v>
          </cell>
          <cell r="I9">
            <v>443</v>
          </cell>
        </row>
        <row r="10">
          <cell r="F10">
            <v>0</v>
          </cell>
          <cell r="G10">
            <v>0</v>
          </cell>
          <cell r="H10">
            <v>195</v>
          </cell>
          <cell r="I10">
            <v>440</v>
          </cell>
        </row>
        <row r="12">
          <cell r="F12">
            <v>48</v>
          </cell>
          <cell r="G12">
            <v>13</v>
          </cell>
          <cell r="H12">
            <v>32</v>
          </cell>
          <cell r="I12">
            <v>120</v>
          </cell>
        </row>
        <row r="14">
          <cell r="F14">
            <v>0</v>
          </cell>
          <cell r="G14">
            <v>1</v>
          </cell>
          <cell r="H14">
            <v>32</v>
          </cell>
          <cell r="I14">
            <v>77</v>
          </cell>
        </row>
        <row r="15">
          <cell r="F15">
            <v>12</v>
          </cell>
          <cell r="G15">
            <v>1</v>
          </cell>
          <cell r="H15">
            <v>5</v>
          </cell>
          <cell r="I15">
            <v>23</v>
          </cell>
        </row>
        <row r="17">
          <cell r="F17">
            <v>48</v>
          </cell>
          <cell r="G17">
            <v>6</v>
          </cell>
          <cell r="H17">
            <v>6</v>
          </cell>
          <cell r="I17">
            <v>105</v>
          </cell>
        </row>
        <row r="24">
          <cell r="E24">
            <v>0</v>
          </cell>
          <cell r="H24">
            <v>27649</v>
          </cell>
        </row>
        <row r="25">
          <cell r="E25">
            <v>0</v>
          </cell>
          <cell r="H25">
            <v>12151</v>
          </cell>
        </row>
        <row r="26">
          <cell r="E26">
            <v>0</v>
          </cell>
        </row>
        <row r="27">
          <cell r="E27">
            <v>14000</v>
          </cell>
          <cell r="H27">
            <v>4856</v>
          </cell>
        </row>
        <row r="28">
          <cell r="E28">
            <v>0</v>
          </cell>
        </row>
        <row r="29">
          <cell r="E29">
            <v>157</v>
          </cell>
          <cell r="H29">
            <v>7228</v>
          </cell>
        </row>
        <row r="30">
          <cell r="E30">
            <v>5700</v>
          </cell>
          <cell r="H30">
            <v>1581</v>
          </cell>
        </row>
        <row r="31">
          <cell r="E31">
            <v>0</v>
          </cell>
          <cell r="H31">
            <v>103</v>
          </cell>
        </row>
        <row r="34">
          <cell r="E34">
            <v>3216</v>
          </cell>
          <cell r="H34">
            <v>172</v>
          </cell>
        </row>
        <row r="51">
          <cell r="F51">
            <v>0</v>
          </cell>
          <cell r="G51">
            <v>0</v>
          </cell>
          <cell r="H51">
            <v>50</v>
          </cell>
          <cell r="I51">
            <v>62</v>
          </cell>
        </row>
        <row r="52">
          <cell r="F52">
            <v>0</v>
          </cell>
          <cell r="G52">
            <v>0</v>
          </cell>
          <cell r="H52">
            <v>46</v>
          </cell>
          <cell r="I52">
            <v>56</v>
          </cell>
        </row>
        <row r="54">
          <cell r="F54">
            <v>11</v>
          </cell>
          <cell r="G54">
            <v>2</v>
          </cell>
          <cell r="H54">
            <v>4</v>
          </cell>
          <cell r="I54">
            <v>29</v>
          </cell>
        </row>
        <row r="56">
          <cell r="F56">
            <v>13</v>
          </cell>
          <cell r="G56">
            <v>1</v>
          </cell>
          <cell r="H56">
            <v>5</v>
          </cell>
          <cell r="I56">
            <v>23</v>
          </cell>
        </row>
        <row r="57">
          <cell r="F57">
            <v>3</v>
          </cell>
          <cell r="G57">
            <v>0</v>
          </cell>
          <cell r="H57">
            <v>0</v>
          </cell>
          <cell r="I57">
            <v>4</v>
          </cell>
        </row>
        <row r="58">
          <cell r="F58">
            <v>4</v>
          </cell>
          <cell r="G58">
            <v>0</v>
          </cell>
          <cell r="H58">
            <v>1</v>
          </cell>
          <cell r="I58">
            <v>5</v>
          </cell>
        </row>
        <row r="59">
          <cell r="F59">
            <v>11</v>
          </cell>
          <cell r="G59">
            <v>0</v>
          </cell>
          <cell r="H59">
            <v>0</v>
          </cell>
          <cell r="I59">
            <v>12</v>
          </cell>
        </row>
        <row r="66">
          <cell r="E66">
            <v>0</v>
          </cell>
          <cell r="H66">
            <v>4992</v>
          </cell>
        </row>
        <row r="67">
          <cell r="E67">
            <v>0</v>
          </cell>
          <cell r="H67">
            <v>2080</v>
          </cell>
        </row>
        <row r="68">
          <cell r="E68">
            <v>0</v>
          </cell>
        </row>
        <row r="69">
          <cell r="E69">
            <v>1263</v>
          </cell>
          <cell r="H69">
            <v>276</v>
          </cell>
        </row>
        <row r="70">
          <cell r="E70">
            <v>0</v>
          </cell>
        </row>
        <row r="71">
          <cell r="E71">
            <v>1786</v>
          </cell>
          <cell r="H71">
            <v>676</v>
          </cell>
        </row>
        <row r="72">
          <cell r="E72">
            <v>522</v>
          </cell>
          <cell r="H72">
            <v>0</v>
          </cell>
        </row>
        <row r="73">
          <cell r="E73">
            <v>0</v>
          </cell>
          <cell r="H73">
            <v>0</v>
          </cell>
        </row>
        <row r="74">
          <cell r="E74">
            <v>386</v>
          </cell>
          <cell r="H74">
            <v>512</v>
          </cell>
        </row>
        <row r="75">
          <cell r="E75">
            <v>0</v>
          </cell>
          <cell r="H75">
            <v>374</v>
          </cell>
        </row>
        <row r="76">
          <cell r="E76">
            <v>888</v>
          </cell>
          <cell r="H76">
            <v>125</v>
          </cell>
        </row>
      </sheetData>
      <sheetData sheetId="14">
        <row r="5">
          <cell r="F5">
            <v>56.80473372781065</v>
          </cell>
        </row>
        <row r="6">
          <cell r="D6">
            <v>714</v>
          </cell>
          <cell r="E6">
            <v>379</v>
          </cell>
          <cell r="F6">
            <v>53.081232492997202</v>
          </cell>
        </row>
        <row r="7">
          <cell r="D7">
            <v>131</v>
          </cell>
          <cell r="E7">
            <v>101</v>
          </cell>
          <cell r="F7">
            <v>77.099236641221367</v>
          </cell>
        </row>
      </sheetData>
      <sheetData sheetId="15"/>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77373</v>
          </cell>
          <cell r="R12">
            <v>6129</v>
          </cell>
        </row>
        <row r="13">
          <cell r="D13">
            <v>35741</v>
          </cell>
          <cell r="R13">
            <v>2648</v>
          </cell>
        </row>
        <row r="14">
          <cell r="D14">
            <v>0</v>
          </cell>
          <cell r="R14">
            <v>0</v>
          </cell>
        </row>
        <row r="17">
          <cell r="D17">
            <v>31676</v>
          </cell>
          <cell r="R17">
            <v>2702</v>
          </cell>
        </row>
        <row r="20">
          <cell r="D20">
            <v>0</v>
          </cell>
          <cell r="R20">
            <v>0</v>
          </cell>
        </row>
        <row r="24">
          <cell r="D24">
            <v>29382</v>
          </cell>
          <cell r="R24">
            <v>3699</v>
          </cell>
        </row>
        <row r="29">
          <cell r="D29">
            <v>240</v>
          </cell>
          <cell r="R29">
            <v>0</v>
          </cell>
        </row>
        <row r="30">
          <cell r="D30">
            <v>10554</v>
          </cell>
          <cell r="R30">
            <v>784</v>
          </cell>
        </row>
        <row r="35">
          <cell r="D35">
            <v>448</v>
          </cell>
          <cell r="R35">
            <v>448</v>
          </cell>
        </row>
        <row r="36">
          <cell r="D36">
            <v>714</v>
          </cell>
          <cell r="R36">
            <v>714</v>
          </cell>
        </row>
        <row r="40">
          <cell r="D40">
            <v>9084</v>
          </cell>
          <cell r="R40">
            <v>1124</v>
          </cell>
        </row>
      </sheetData>
      <sheetData sheetId="4"/>
      <sheetData sheetId="5"/>
      <sheetData sheetId="6"/>
      <sheetData sheetId="7"/>
      <sheetData sheetId="8"/>
      <sheetData sheetId="9"/>
      <sheetData sheetId="10"/>
      <sheetData sheetId="11"/>
      <sheetData sheetId="12"/>
      <sheetData sheetId="13">
        <row r="9">
          <cell r="F9">
            <v>0</v>
          </cell>
          <cell r="G9">
            <v>0</v>
          </cell>
          <cell r="H9">
            <v>196</v>
          </cell>
          <cell r="I9">
            <v>441</v>
          </cell>
        </row>
        <row r="10">
          <cell r="F10">
            <v>0</v>
          </cell>
          <cell r="G10">
            <v>0</v>
          </cell>
          <cell r="H10">
            <v>198</v>
          </cell>
          <cell r="I10">
            <v>438</v>
          </cell>
        </row>
        <row r="12">
          <cell r="F12">
            <v>49</v>
          </cell>
          <cell r="G12">
            <v>11</v>
          </cell>
          <cell r="H12">
            <v>33</v>
          </cell>
          <cell r="I12">
            <v>119</v>
          </cell>
        </row>
        <row r="14">
          <cell r="F14">
            <v>0</v>
          </cell>
          <cell r="G14">
            <v>1</v>
          </cell>
          <cell r="H14">
            <v>32</v>
          </cell>
          <cell r="I14">
            <v>76</v>
          </cell>
        </row>
        <row r="15">
          <cell r="F15">
            <v>13</v>
          </cell>
          <cell r="G15">
            <v>1</v>
          </cell>
          <cell r="H15">
            <v>5</v>
          </cell>
          <cell r="I15">
            <v>23</v>
          </cell>
        </row>
        <row r="16">
          <cell r="F16">
            <v>0</v>
          </cell>
          <cell r="G16">
            <v>0</v>
          </cell>
          <cell r="H16">
            <v>1</v>
          </cell>
          <cell r="I16">
            <v>2</v>
          </cell>
        </row>
        <row r="19">
          <cell r="F19">
            <v>48</v>
          </cell>
          <cell r="G19">
            <v>6</v>
          </cell>
          <cell r="H19">
            <v>8</v>
          </cell>
          <cell r="I19">
            <v>105</v>
          </cell>
        </row>
        <row r="26">
          <cell r="E26">
            <v>0</v>
          </cell>
          <cell r="H26">
            <v>27739</v>
          </cell>
        </row>
        <row r="27">
          <cell r="E27">
            <v>0</v>
          </cell>
          <cell r="H27">
            <v>12505</v>
          </cell>
        </row>
        <row r="28">
          <cell r="E28">
            <v>0</v>
          </cell>
        </row>
        <row r="29">
          <cell r="E29">
            <v>14331</v>
          </cell>
          <cell r="H29">
            <v>5058</v>
          </cell>
        </row>
        <row r="30">
          <cell r="E30">
            <v>0</v>
          </cell>
        </row>
        <row r="31">
          <cell r="E31">
            <v>126</v>
          </cell>
          <cell r="H31">
            <v>8273</v>
          </cell>
        </row>
        <row r="32">
          <cell r="E32">
            <v>5927</v>
          </cell>
          <cell r="H32">
            <v>1374</v>
          </cell>
        </row>
        <row r="33">
          <cell r="E33">
            <v>0</v>
          </cell>
          <cell r="H33">
            <v>108</v>
          </cell>
        </row>
        <row r="36">
          <cell r="E36">
            <v>3195</v>
          </cell>
          <cell r="H36">
            <v>257</v>
          </cell>
        </row>
        <row r="53">
          <cell r="F53">
            <v>0</v>
          </cell>
          <cell r="G53">
            <v>0</v>
          </cell>
          <cell r="H53">
            <v>51</v>
          </cell>
          <cell r="I53">
            <v>63</v>
          </cell>
        </row>
        <row r="54">
          <cell r="F54">
            <v>0</v>
          </cell>
          <cell r="G54">
            <v>0</v>
          </cell>
          <cell r="H54">
            <v>48</v>
          </cell>
          <cell r="I54">
            <v>59</v>
          </cell>
        </row>
        <row r="56">
          <cell r="F56">
            <v>12</v>
          </cell>
          <cell r="G56">
            <v>2</v>
          </cell>
          <cell r="H56">
            <v>4</v>
          </cell>
          <cell r="I56">
            <v>29</v>
          </cell>
        </row>
        <row r="58">
          <cell r="F58">
            <v>12</v>
          </cell>
          <cell r="G58">
            <v>2</v>
          </cell>
          <cell r="H58">
            <v>5</v>
          </cell>
          <cell r="I58">
            <v>23</v>
          </cell>
        </row>
        <row r="59">
          <cell r="F59">
            <v>3</v>
          </cell>
          <cell r="G59">
            <v>0</v>
          </cell>
          <cell r="H59">
            <v>1</v>
          </cell>
          <cell r="I59">
            <v>6</v>
          </cell>
        </row>
        <row r="60">
          <cell r="F60">
            <v>0</v>
          </cell>
          <cell r="G60">
            <v>0</v>
          </cell>
          <cell r="H60">
            <v>0</v>
          </cell>
          <cell r="I60">
            <v>0</v>
          </cell>
        </row>
        <row r="61">
          <cell r="F61">
            <v>4</v>
          </cell>
          <cell r="G61">
            <v>0</v>
          </cell>
          <cell r="H61">
            <v>1</v>
          </cell>
          <cell r="I61">
            <v>5</v>
          </cell>
        </row>
        <row r="62">
          <cell r="F62">
            <v>0</v>
          </cell>
          <cell r="G62">
            <v>0</v>
          </cell>
          <cell r="H62">
            <v>4</v>
          </cell>
          <cell r="I62">
            <v>5</v>
          </cell>
        </row>
        <row r="63">
          <cell r="F63">
            <v>13</v>
          </cell>
          <cell r="G63">
            <v>0</v>
          </cell>
          <cell r="H63">
            <v>0</v>
          </cell>
          <cell r="I63">
            <v>14</v>
          </cell>
        </row>
        <row r="70">
          <cell r="E70">
            <v>0</v>
          </cell>
          <cell r="H70">
            <v>4978</v>
          </cell>
        </row>
        <row r="71">
          <cell r="E71">
            <v>0</v>
          </cell>
          <cell r="H71">
            <v>2076</v>
          </cell>
        </row>
        <row r="72">
          <cell r="E72">
            <v>0</v>
          </cell>
        </row>
        <row r="73">
          <cell r="E73">
            <v>1470</v>
          </cell>
          <cell r="H73">
            <v>318</v>
          </cell>
        </row>
        <row r="74">
          <cell r="E74">
            <v>0</v>
          </cell>
        </row>
        <row r="75">
          <cell r="E75">
            <v>1840</v>
          </cell>
          <cell r="H75">
            <v>726</v>
          </cell>
        </row>
        <row r="76">
          <cell r="E76">
            <v>608</v>
          </cell>
          <cell r="H76">
            <v>9</v>
          </cell>
        </row>
        <row r="77">
          <cell r="E77">
            <v>0</v>
          </cell>
          <cell r="H77">
            <v>0</v>
          </cell>
        </row>
        <row r="78">
          <cell r="E78">
            <v>392</v>
          </cell>
          <cell r="H78">
            <v>540</v>
          </cell>
        </row>
        <row r="79">
          <cell r="E79">
            <v>0</v>
          </cell>
          <cell r="H79">
            <v>367</v>
          </cell>
        </row>
        <row r="80">
          <cell r="E80">
            <v>946</v>
          </cell>
          <cell r="H80">
            <v>113</v>
          </cell>
        </row>
      </sheetData>
      <sheetData sheetId="14">
        <row r="5">
          <cell r="F5">
            <v>57.5</v>
          </cell>
        </row>
        <row r="6">
          <cell r="D6">
            <v>707</v>
          </cell>
          <cell r="E6">
            <v>380</v>
          </cell>
          <cell r="F6">
            <v>53.748231966053751</v>
          </cell>
        </row>
        <row r="7">
          <cell r="D7">
            <v>133</v>
          </cell>
          <cell r="E7">
            <v>103</v>
          </cell>
          <cell r="F7">
            <v>77.443609022556387</v>
          </cell>
        </row>
      </sheetData>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79098</v>
          </cell>
          <cell r="R12">
            <v>6234</v>
          </cell>
        </row>
        <row r="13">
          <cell r="D13">
            <v>36290</v>
          </cell>
          <cell r="R13">
            <v>2818</v>
          </cell>
        </row>
        <row r="14">
          <cell r="D14">
            <v>0</v>
          </cell>
          <cell r="R14">
            <v>0</v>
          </cell>
        </row>
        <row r="17">
          <cell r="D17">
            <v>32506</v>
          </cell>
          <cell r="R17">
            <v>2746</v>
          </cell>
        </row>
        <row r="20">
          <cell r="D20">
            <v>0</v>
          </cell>
          <cell r="R20">
            <v>0</v>
          </cell>
        </row>
        <row r="24">
          <cell r="D24">
            <v>28018</v>
          </cell>
          <cell r="R24">
            <v>3718</v>
          </cell>
        </row>
        <row r="29">
          <cell r="D29">
            <v>260</v>
          </cell>
          <cell r="R29">
            <v>0</v>
          </cell>
        </row>
        <row r="30">
          <cell r="D30">
            <v>10939</v>
          </cell>
          <cell r="R30">
            <v>1068</v>
          </cell>
        </row>
        <row r="35">
          <cell r="D35">
            <v>451</v>
          </cell>
          <cell r="R35">
            <v>451</v>
          </cell>
        </row>
        <row r="36">
          <cell r="D36">
            <v>738</v>
          </cell>
          <cell r="R36">
            <v>738</v>
          </cell>
        </row>
        <row r="40">
          <cell r="D40">
            <v>8767</v>
          </cell>
          <cell r="R40">
            <v>1171</v>
          </cell>
        </row>
      </sheetData>
      <sheetData sheetId="4"/>
      <sheetData sheetId="5"/>
      <sheetData sheetId="6"/>
      <sheetData sheetId="7"/>
      <sheetData sheetId="8"/>
      <sheetData sheetId="9"/>
      <sheetData sheetId="10"/>
      <sheetData sheetId="11"/>
      <sheetData sheetId="12"/>
      <sheetData sheetId="13"/>
      <sheetData sheetId="14">
        <row r="9">
          <cell r="F9">
            <v>0</v>
          </cell>
          <cell r="G9">
            <v>0</v>
          </cell>
          <cell r="H9">
            <v>197</v>
          </cell>
          <cell r="I9">
            <v>438</v>
          </cell>
        </row>
        <row r="10">
          <cell r="F10">
            <v>0</v>
          </cell>
          <cell r="G10">
            <v>0</v>
          </cell>
          <cell r="H10">
            <v>199</v>
          </cell>
          <cell r="I10">
            <v>436</v>
          </cell>
        </row>
        <row r="11">
          <cell r="F11">
            <v>0</v>
          </cell>
          <cell r="G11">
            <v>0</v>
          </cell>
          <cell r="H11">
            <v>0</v>
          </cell>
          <cell r="I11">
            <v>0</v>
          </cell>
        </row>
        <row r="12">
          <cell r="F12">
            <v>49</v>
          </cell>
          <cell r="G12">
            <v>11</v>
          </cell>
          <cell r="H12">
            <v>34</v>
          </cell>
          <cell r="I12">
            <v>119</v>
          </cell>
        </row>
        <row r="13">
          <cell r="F13">
            <v>0</v>
          </cell>
          <cell r="G13">
            <v>0</v>
          </cell>
          <cell r="H13">
            <v>0</v>
          </cell>
          <cell r="I13">
            <v>0</v>
          </cell>
        </row>
        <row r="14">
          <cell r="F14">
            <v>0</v>
          </cell>
          <cell r="G14">
            <v>1</v>
          </cell>
          <cell r="H14">
            <v>33</v>
          </cell>
          <cell r="I14">
            <v>76</v>
          </cell>
        </row>
        <row r="15">
          <cell r="F15">
            <v>13</v>
          </cell>
          <cell r="G15">
            <v>1</v>
          </cell>
          <cell r="H15">
            <v>4</v>
          </cell>
          <cell r="I15">
            <v>22</v>
          </cell>
        </row>
        <row r="16">
          <cell r="F16">
            <v>0</v>
          </cell>
          <cell r="G16">
            <v>0</v>
          </cell>
          <cell r="H16">
            <v>1</v>
          </cell>
          <cell r="I16">
            <v>2</v>
          </cell>
        </row>
        <row r="17">
          <cell r="I17">
            <v>0</v>
          </cell>
        </row>
        <row r="18">
          <cell r="I18">
            <v>0</v>
          </cell>
        </row>
        <row r="19">
          <cell r="F19">
            <v>47</v>
          </cell>
          <cell r="G19">
            <v>6</v>
          </cell>
          <cell r="H19">
            <v>8</v>
          </cell>
          <cell r="I19">
            <v>100</v>
          </cell>
        </row>
        <row r="26">
          <cell r="E26">
            <v>0</v>
          </cell>
          <cell r="H26">
            <v>28231</v>
          </cell>
        </row>
        <row r="27">
          <cell r="E27">
            <v>0</v>
          </cell>
          <cell r="H27">
            <v>13046</v>
          </cell>
        </row>
        <row r="28">
          <cell r="E28">
            <v>0</v>
          </cell>
          <cell r="H28">
            <v>0</v>
          </cell>
        </row>
        <row r="29">
          <cell r="E29">
            <v>14789</v>
          </cell>
          <cell r="H29">
            <v>5218</v>
          </cell>
        </row>
        <row r="30">
          <cell r="E30">
            <v>0</v>
          </cell>
          <cell r="H30">
            <v>0</v>
          </cell>
        </row>
        <row r="31">
          <cell r="E31">
            <v>150</v>
          </cell>
          <cell r="H31">
            <v>7653</v>
          </cell>
        </row>
        <row r="32">
          <cell r="E32">
            <v>5914</v>
          </cell>
          <cell r="H32">
            <v>1410</v>
          </cell>
        </row>
        <row r="33">
          <cell r="E33">
            <v>0</v>
          </cell>
          <cell r="H33">
            <v>122</v>
          </cell>
        </row>
        <row r="36">
          <cell r="E36">
            <v>3193</v>
          </cell>
          <cell r="H36">
            <v>241</v>
          </cell>
        </row>
        <row r="53">
          <cell r="F53">
            <v>0</v>
          </cell>
          <cell r="G53">
            <v>0</v>
          </cell>
          <cell r="H53">
            <v>51</v>
          </cell>
          <cell r="I53">
            <v>63</v>
          </cell>
        </row>
        <row r="54">
          <cell r="F54">
            <v>0</v>
          </cell>
          <cell r="G54">
            <v>0</v>
          </cell>
          <cell r="H54">
            <v>49</v>
          </cell>
          <cell r="I54">
            <v>60</v>
          </cell>
        </row>
        <row r="55">
          <cell r="F55">
            <v>0</v>
          </cell>
          <cell r="G55">
            <v>0</v>
          </cell>
          <cell r="H55">
            <v>0</v>
          </cell>
          <cell r="I55">
            <v>0</v>
          </cell>
        </row>
        <row r="56">
          <cell r="F56">
            <v>13</v>
          </cell>
          <cell r="G56">
            <v>1</v>
          </cell>
          <cell r="H56">
            <v>4</v>
          </cell>
          <cell r="I56">
            <v>30</v>
          </cell>
        </row>
        <row r="57">
          <cell r="F57">
            <v>0</v>
          </cell>
          <cell r="G57">
            <v>0</v>
          </cell>
          <cell r="H57">
            <v>0</v>
          </cell>
          <cell r="I57">
            <v>0</v>
          </cell>
        </row>
        <row r="58">
          <cell r="F58">
            <v>13</v>
          </cell>
          <cell r="G58">
            <v>2</v>
          </cell>
          <cell r="H58">
            <v>6</v>
          </cell>
          <cell r="I58">
            <v>24</v>
          </cell>
        </row>
        <row r="59">
          <cell r="F59">
            <v>5</v>
          </cell>
          <cell r="G59">
            <v>0</v>
          </cell>
          <cell r="H59">
            <v>1</v>
          </cell>
          <cell r="I59">
            <v>9</v>
          </cell>
        </row>
        <row r="60">
          <cell r="F60">
            <v>0</v>
          </cell>
          <cell r="G60">
            <v>0</v>
          </cell>
          <cell r="H60">
            <v>0</v>
          </cell>
          <cell r="I60">
            <v>0</v>
          </cell>
        </row>
        <row r="61">
          <cell r="F61">
            <v>4</v>
          </cell>
          <cell r="G61">
            <v>0</v>
          </cell>
          <cell r="H61">
            <v>1</v>
          </cell>
          <cell r="I61">
            <v>5</v>
          </cell>
        </row>
        <row r="62">
          <cell r="F62">
            <v>0</v>
          </cell>
          <cell r="G62">
            <v>0</v>
          </cell>
          <cell r="H62">
            <v>4</v>
          </cell>
          <cell r="I62">
            <v>5</v>
          </cell>
        </row>
        <row r="63">
          <cell r="F63">
            <v>12</v>
          </cell>
          <cell r="G63">
            <v>0</v>
          </cell>
          <cell r="H63">
            <v>0</v>
          </cell>
          <cell r="I63">
            <v>13</v>
          </cell>
        </row>
        <row r="70">
          <cell r="E70">
            <v>0</v>
          </cell>
          <cell r="H70">
            <v>5039</v>
          </cell>
        </row>
        <row r="71">
          <cell r="E71">
            <v>0</v>
          </cell>
          <cell r="H71">
            <v>2196</v>
          </cell>
        </row>
        <row r="72">
          <cell r="E72">
            <v>0</v>
          </cell>
          <cell r="H72">
            <v>0</v>
          </cell>
        </row>
        <row r="73">
          <cell r="E73">
            <v>1486</v>
          </cell>
          <cell r="H73">
            <v>295</v>
          </cell>
        </row>
        <row r="74">
          <cell r="E74">
            <v>0</v>
          </cell>
          <cell r="H74">
            <v>0</v>
          </cell>
        </row>
        <row r="75">
          <cell r="E75">
            <v>1795</v>
          </cell>
          <cell r="H75">
            <v>760</v>
          </cell>
        </row>
        <row r="76">
          <cell r="E76">
            <v>793</v>
          </cell>
          <cell r="H76">
            <v>22</v>
          </cell>
        </row>
        <row r="77">
          <cell r="E77">
            <v>0</v>
          </cell>
          <cell r="H77">
            <v>0</v>
          </cell>
        </row>
        <row r="78">
          <cell r="E78">
            <v>397</v>
          </cell>
          <cell r="H78">
            <v>539</v>
          </cell>
        </row>
        <row r="79">
          <cell r="E79">
            <v>0</v>
          </cell>
          <cell r="H79">
            <v>371</v>
          </cell>
        </row>
        <row r="80">
          <cell r="E80">
            <v>973</v>
          </cell>
          <cell r="H80">
            <v>126</v>
          </cell>
        </row>
      </sheetData>
      <sheetData sheetId="15">
        <row r="5">
          <cell r="F5">
            <v>57.89473684210526</v>
          </cell>
        </row>
        <row r="6">
          <cell r="D6">
            <v>700</v>
          </cell>
          <cell r="E6">
            <v>379</v>
          </cell>
          <cell r="F6">
            <v>54.142857142857146</v>
          </cell>
        </row>
        <row r="7">
          <cell r="D7">
            <v>136</v>
          </cell>
          <cell r="E7">
            <v>105</v>
          </cell>
          <cell r="F7">
            <v>77.205882352941174</v>
          </cell>
        </row>
      </sheetData>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81582</v>
          </cell>
          <cell r="R12">
            <v>6364</v>
          </cell>
        </row>
        <row r="13">
          <cell r="D13">
            <v>36418</v>
          </cell>
          <cell r="R13">
            <v>2947</v>
          </cell>
        </row>
        <row r="14">
          <cell r="D14">
            <v>0</v>
          </cell>
          <cell r="R14">
            <v>0</v>
          </cell>
        </row>
        <row r="17">
          <cell r="D17">
            <v>32397</v>
          </cell>
          <cell r="R17">
            <v>2764</v>
          </cell>
        </row>
        <row r="20">
          <cell r="D20">
            <v>0</v>
          </cell>
          <cell r="R20">
            <v>0</v>
          </cell>
        </row>
        <row r="24">
          <cell r="D24">
            <v>27749</v>
          </cell>
          <cell r="R24">
            <v>3742</v>
          </cell>
        </row>
        <row r="29">
          <cell r="D29">
            <v>273</v>
          </cell>
          <cell r="R29">
            <v>7</v>
          </cell>
        </row>
        <row r="30">
          <cell r="D30">
            <v>11208</v>
          </cell>
          <cell r="R30">
            <v>1345</v>
          </cell>
        </row>
        <row r="35">
          <cell r="D35">
            <v>503</v>
          </cell>
          <cell r="R35">
            <v>503</v>
          </cell>
        </row>
        <row r="36">
          <cell r="D36">
            <v>742</v>
          </cell>
          <cell r="R36">
            <v>742</v>
          </cell>
        </row>
        <row r="40">
          <cell r="D40">
            <v>8594</v>
          </cell>
          <cell r="R40">
            <v>1164</v>
          </cell>
        </row>
      </sheetData>
      <sheetData sheetId="4"/>
      <sheetData sheetId="5"/>
      <sheetData sheetId="6"/>
      <sheetData sheetId="7"/>
      <sheetData sheetId="8"/>
      <sheetData sheetId="9"/>
      <sheetData sheetId="10"/>
      <sheetData sheetId="11"/>
      <sheetData sheetId="12"/>
      <sheetData sheetId="13"/>
      <sheetData sheetId="14">
        <row r="9">
          <cell r="F9">
            <v>0</v>
          </cell>
          <cell r="G9">
            <v>0</v>
          </cell>
          <cell r="H9">
            <v>195</v>
          </cell>
          <cell r="I9">
            <v>437</v>
          </cell>
        </row>
        <row r="10">
          <cell r="F10">
            <v>0</v>
          </cell>
          <cell r="G10">
            <v>0</v>
          </cell>
          <cell r="H10">
            <v>196</v>
          </cell>
          <cell r="I10">
            <v>434</v>
          </cell>
        </row>
        <row r="12">
          <cell r="F12">
            <v>50</v>
          </cell>
          <cell r="G12">
            <v>10</v>
          </cell>
          <cell r="H12">
            <v>34</v>
          </cell>
          <cell r="I12">
            <v>119</v>
          </cell>
        </row>
        <row r="14">
          <cell r="F14">
            <v>0</v>
          </cell>
          <cell r="G14">
            <v>1</v>
          </cell>
          <cell r="H14">
            <v>33</v>
          </cell>
          <cell r="I14">
            <v>76</v>
          </cell>
        </row>
        <row r="15">
          <cell r="F15">
            <v>13</v>
          </cell>
          <cell r="G15">
            <v>1</v>
          </cell>
          <cell r="H15">
            <v>4</v>
          </cell>
          <cell r="I15">
            <v>23</v>
          </cell>
        </row>
        <row r="16">
          <cell r="F16">
            <v>0</v>
          </cell>
          <cell r="G16">
            <v>0</v>
          </cell>
          <cell r="H16">
            <v>1</v>
          </cell>
          <cell r="I16">
            <v>2</v>
          </cell>
        </row>
        <row r="19">
          <cell r="F19">
            <v>46</v>
          </cell>
          <cell r="G19">
            <v>6</v>
          </cell>
          <cell r="H19">
            <v>8</v>
          </cell>
          <cell r="I19">
            <v>96</v>
          </cell>
        </row>
        <row r="26">
          <cell r="E26">
            <v>0</v>
          </cell>
          <cell r="H26">
            <v>28427</v>
          </cell>
        </row>
        <row r="27">
          <cell r="E27">
            <v>0</v>
          </cell>
          <cell r="H27">
            <v>12765</v>
          </cell>
        </row>
        <row r="29">
          <cell r="E29">
            <v>14848</v>
          </cell>
          <cell r="H29">
            <v>5231</v>
          </cell>
        </row>
        <row r="31">
          <cell r="E31">
            <v>181</v>
          </cell>
          <cell r="H31">
            <v>7239</v>
          </cell>
        </row>
        <row r="32">
          <cell r="E32">
            <v>5814</v>
          </cell>
          <cell r="H32">
            <v>1515</v>
          </cell>
        </row>
        <row r="33">
          <cell r="E33">
            <v>0</v>
          </cell>
          <cell r="H33">
            <v>129</v>
          </cell>
        </row>
        <row r="36">
          <cell r="E36">
            <v>3231</v>
          </cell>
          <cell r="H36">
            <v>225</v>
          </cell>
        </row>
        <row r="53">
          <cell r="F53">
            <v>0</v>
          </cell>
          <cell r="G53">
            <v>0</v>
          </cell>
          <cell r="H53">
            <v>50</v>
          </cell>
          <cell r="I53">
            <v>65</v>
          </cell>
        </row>
        <row r="54">
          <cell r="F54">
            <v>0</v>
          </cell>
          <cell r="G54">
            <v>0</v>
          </cell>
          <cell r="H54">
            <v>49</v>
          </cell>
          <cell r="I54">
            <v>61</v>
          </cell>
        </row>
        <row r="56">
          <cell r="F56">
            <v>15</v>
          </cell>
          <cell r="G56">
            <v>1</v>
          </cell>
          <cell r="H56">
            <v>3</v>
          </cell>
          <cell r="I56">
            <v>32</v>
          </cell>
        </row>
        <row r="58">
          <cell r="F58">
            <v>15</v>
          </cell>
          <cell r="G58">
            <v>1</v>
          </cell>
          <cell r="H58">
            <v>6</v>
          </cell>
          <cell r="I58">
            <v>25</v>
          </cell>
        </row>
        <row r="59">
          <cell r="F59">
            <v>8</v>
          </cell>
          <cell r="G59">
            <v>1</v>
          </cell>
          <cell r="H59">
            <v>1</v>
          </cell>
          <cell r="I59">
            <v>12</v>
          </cell>
        </row>
        <row r="60">
          <cell r="F60">
            <v>0</v>
          </cell>
          <cell r="G60">
            <v>0</v>
          </cell>
          <cell r="H60">
            <v>1</v>
          </cell>
          <cell r="I60">
            <v>1</v>
          </cell>
        </row>
        <row r="61">
          <cell r="F61">
            <v>4</v>
          </cell>
          <cell r="G61">
            <v>1</v>
          </cell>
          <cell r="H61">
            <v>0</v>
          </cell>
          <cell r="I61">
            <v>5</v>
          </cell>
        </row>
        <row r="62">
          <cell r="F62">
            <v>0</v>
          </cell>
          <cell r="G62">
            <v>0</v>
          </cell>
          <cell r="H62">
            <v>4</v>
          </cell>
          <cell r="I62">
            <v>5</v>
          </cell>
        </row>
        <row r="63">
          <cell r="F63">
            <v>12</v>
          </cell>
          <cell r="G63">
            <v>0</v>
          </cell>
          <cell r="H63">
            <v>0</v>
          </cell>
          <cell r="I63">
            <v>13</v>
          </cell>
        </row>
        <row r="70">
          <cell r="E70">
            <v>0</v>
          </cell>
          <cell r="H70">
            <v>5061</v>
          </cell>
        </row>
        <row r="71">
          <cell r="E71">
            <v>0</v>
          </cell>
          <cell r="H71">
            <v>2327</v>
          </cell>
        </row>
        <row r="73">
          <cell r="E73">
            <v>1586</v>
          </cell>
          <cell r="H73">
            <v>218</v>
          </cell>
        </row>
        <row r="75">
          <cell r="E75">
            <v>1815</v>
          </cell>
          <cell r="H75">
            <v>942</v>
          </cell>
        </row>
        <row r="76">
          <cell r="E76">
            <v>1191</v>
          </cell>
          <cell r="H76">
            <v>51</v>
          </cell>
        </row>
        <row r="77">
          <cell r="E77">
            <v>0</v>
          </cell>
          <cell r="H77">
            <v>7</v>
          </cell>
        </row>
        <row r="78">
          <cell r="E78">
            <v>479</v>
          </cell>
          <cell r="H78">
            <v>572</v>
          </cell>
        </row>
        <row r="79">
          <cell r="E79">
            <v>0</v>
          </cell>
          <cell r="H79">
            <v>405</v>
          </cell>
        </row>
        <row r="80">
          <cell r="E80">
            <v>978</v>
          </cell>
          <cell r="H80">
            <v>119</v>
          </cell>
        </row>
      </sheetData>
      <sheetData sheetId="15">
        <row r="5">
          <cell r="F5">
            <v>57.806912991656738</v>
          </cell>
        </row>
        <row r="6">
          <cell r="D6">
            <v>697</v>
          </cell>
          <cell r="E6">
            <v>377</v>
          </cell>
          <cell r="F6">
            <v>54.088952654232422</v>
          </cell>
        </row>
        <row r="7">
          <cell r="D7">
            <v>142</v>
          </cell>
          <cell r="E7">
            <v>108</v>
          </cell>
          <cell r="F7">
            <v>76.056338028169009</v>
          </cell>
        </row>
      </sheetData>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 val="Tabelle1"/>
    </sheetNames>
    <sheetDataSet>
      <sheetData sheetId="0"/>
      <sheetData sheetId="1"/>
      <sheetData sheetId="2"/>
      <sheetData sheetId="3">
        <row r="12">
          <cell r="D12">
            <v>347745</v>
          </cell>
          <cell r="R12">
            <v>9366</v>
          </cell>
        </row>
        <row r="13">
          <cell r="D13">
            <v>354</v>
          </cell>
          <cell r="R13">
            <v>0</v>
          </cell>
        </row>
        <row r="14">
          <cell r="D14">
            <v>127068</v>
          </cell>
          <cell r="R14">
            <v>4728</v>
          </cell>
        </row>
        <row r="17">
          <cell r="D17">
            <v>0</v>
          </cell>
          <cell r="R17">
            <v>0</v>
          </cell>
        </row>
        <row r="20">
          <cell r="D20">
            <v>239350</v>
          </cell>
          <cell r="R20">
            <v>14781</v>
          </cell>
        </row>
        <row r="24">
          <cell r="D24">
            <v>206962</v>
          </cell>
          <cell r="R24">
            <v>21719</v>
          </cell>
        </row>
        <row r="29">
          <cell r="D29">
            <v>20474</v>
          </cell>
          <cell r="R29">
            <v>235</v>
          </cell>
        </row>
        <row r="30">
          <cell r="D30">
            <v>12199</v>
          </cell>
          <cell r="R30">
            <v>109</v>
          </cell>
        </row>
        <row r="35">
          <cell r="D35">
            <v>6991</v>
          </cell>
          <cell r="R35">
            <v>6991</v>
          </cell>
        </row>
        <row r="36">
          <cell r="D36">
            <v>11871</v>
          </cell>
          <cell r="R36">
            <v>11871</v>
          </cell>
        </row>
        <row r="40">
          <cell r="D40">
            <v>52176</v>
          </cell>
          <cell r="R40">
            <v>15566</v>
          </cell>
        </row>
      </sheetData>
      <sheetData sheetId="4"/>
      <sheetData sheetId="5"/>
      <sheetData sheetId="6"/>
      <sheetData sheetId="7"/>
      <sheetData sheetId="8"/>
      <sheetData sheetId="9"/>
      <sheetData sheetId="10"/>
      <sheetData sheetId="11"/>
      <sheetData sheetId="12"/>
      <sheetData sheetId="13">
        <row r="9">
          <cell r="F9">
            <v>43</v>
          </cell>
          <cell r="G9">
            <v>91</v>
          </cell>
          <cell r="H9">
            <v>224</v>
          </cell>
          <cell r="I9">
            <v>2307</v>
          </cell>
        </row>
        <row r="10">
          <cell r="F10">
            <v>0</v>
          </cell>
          <cell r="G10">
            <v>0</v>
          </cell>
          <cell r="H10">
            <v>1</v>
          </cell>
          <cell r="I10">
            <v>1</v>
          </cell>
        </row>
        <row r="11">
          <cell r="F11">
            <v>139</v>
          </cell>
          <cell r="G11">
            <v>119</v>
          </cell>
          <cell r="H11">
            <v>171</v>
          </cell>
          <cell r="I11">
            <v>824</v>
          </cell>
        </row>
        <row r="12">
          <cell r="F12">
            <v>0</v>
          </cell>
          <cell r="G12">
            <v>0</v>
          </cell>
          <cell r="H12">
            <v>0</v>
          </cell>
          <cell r="I12">
            <v>0</v>
          </cell>
        </row>
        <row r="13">
          <cell r="F13">
            <v>6</v>
          </cell>
          <cell r="G13">
            <v>11</v>
          </cell>
          <cell r="H13">
            <v>109</v>
          </cell>
          <cell r="I13">
            <v>429</v>
          </cell>
        </row>
        <row r="14">
          <cell r="F14">
            <v>5</v>
          </cell>
          <cell r="G14">
            <v>14</v>
          </cell>
          <cell r="H14">
            <v>180</v>
          </cell>
          <cell r="I14">
            <v>378</v>
          </cell>
        </row>
        <row r="15">
          <cell r="F15">
            <v>134</v>
          </cell>
          <cell r="G15">
            <v>9</v>
          </cell>
          <cell r="H15">
            <v>34</v>
          </cell>
          <cell r="I15">
            <v>236</v>
          </cell>
        </row>
        <row r="16">
          <cell r="F16">
            <v>3</v>
          </cell>
          <cell r="G16">
            <v>9</v>
          </cell>
          <cell r="H16">
            <v>34</v>
          </cell>
          <cell r="I16">
            <v>105</v>
          </cell>
        </row>
        <row r="17">
          <cell r="I17">
            <v>0</v>
          </cell>
        </row>
        <row r="18">
          <cell r="I18">
            <v>0</v>
          </cell>
        </row>
        <row r="19">
          <cell r="F19">
            <v>127</v>
          </cell>
          <cell r="G19">
            <v>18</v>
          </cell>
          <cell r="H19">
            <v>15</v>
          </cell>
          <cell r="I19">
            <v>424</v>
          </cell>
        </row>
        <row r="26">
          <cell r="E26">
            <v>17231</v>
          </cell>
          <cell r="H26">
            <v>20347</v>
          </cell>
        </row>
        <row r="27">
          <cell r="E27">
            <v>0</v>
          </cell>
          <cell r="H27">
            <v>280</v>
          </cell>
        </row>
        <row r="28">
          <cell r="E28">
            <v>39577</v>
          </cell>
          <cell r="H28">
            <v>12571</v>
          </cell>
        </row>
        <row r="29">
          <cell r="E29">
            <v>0</v>
          </cell>
          <cell r="H29">
            <v>0</v>
          </cell>
        </row>
        <row r="30">
          <cell r="E30">
            <v>4552</v>
          </cell>
          <cell r="H30">
            <v>12831</v>
          </cell>
        </row>
        <row r="31">
          <cell r="E31">
            <v>3682</v>
          </cell>
          <cell r="H31">
            <v>31878</v>
          </cell>
        </row>
        <row r="32">
          <cell r="E32">
            <v>13615</v>
          </cell>
          <cell r="H32">
            <v>3435</v>
          </cell>
        </row>
        <row r="33">
          <cell r="E33">
            <v>1529</v>
          </cell>
          <cell r="H33">
            <v>3435</v>
          </cell>
        </row>
        <row r="36">
          <cell r="E36">
            <v>14764</v>
          </cell>
          <cell r="H36">
            <v>543</v>
          </cell>
        </row>
        <row r="53">
          <cell r="F53">
            <v>18</v>
          </cell>
          <cell r="G53">
            <v>3</v>
          </cell>
          <cell r="H53">
            <v>5</v>
          </cell>
          <cell r="I53">
            <v>102</v>
          </cell>
        </row>
        <row r="54">
          <cell r="F54">
            <v>0</v>
          </cell>
          <cell r="G54">
            <v>0</v>
          </cell>
          <cell r="H54">
            <v>0</v>
          </cell>
          <cell r="I54">
            <v>0</v>
          </cell>
        </row>
        <row r="55">
          <cell r="F55">
            <v>8</v>
          </cell>
          <cell r="G55">
            <v>2</v>
          </cell>
          <cell r="H55">
            <v>1</v>
          </cell>
          <cell r="I55">
            <v>44</v>
          </cell>
        </row>
        <row r="56">
          <cell r="F56">
            <v>0</v>
          </cell>
          <cell r="G56">
            <v>0</v>
          </cell>
          <cell r="H56">
            <v>0</v>
          </cell>
          <cell r="I56">
            <v>0</v>
          </cell>
        </row>
        <row r="57">
          <cell r="F57">
            <v>20</v>
          </cell>
          <cell r="G57">
            <v>1</v>
          </cell>
          <cell r="H57">
            <v>6</v>
          </cell>
          <cell r="I57">
            <v>74</v>
          </cell>
        </row>
        <row r="58">
          <cell r="F58">
            <v>28</v>
          </cell>
          <cell r="G58">
            <v>0</v>
          </cell>
          <cell r="H58">
            <v>17</v>
          </cell>
          <cell r="I58">
            <v>80</v>
          </cell>
        </row>
        <row r="59">
          <cell r="F59">
            <v>4</v>
          </cell>
          <cell r="G59">
            <v>0</v>
          </cell>
          <cell r="H59">
            <v>1</v>
          </cell>
          <cell r="I59">
            <v>6</v>
          </cell>
        </row>
        <row r="60">
          <cell r="F60">
            <v>1</v>
          </cell>
          <cell r="G60">
            <v>0</v>
          </cell>
          <cell r="H60">
            <v>1</v>
          </cell>
          <cell r="I60">
            <v>3</v>
          </cell>
        </row>
        <row r="61">
          <cell r="F61">
            <v>5</v>
          </cell>
          <cell r="G61">
            <v>4</v>
          </cell>
          <cell r="H61">
            <v>7</v>
          </cell>
          <cell r="I61">
            <v>58</v>
          </cell>
        </row>
        <row r="62">
          <cell r="F62">
            <v>5</v>
          </cell>
          <cell r="G62">
            <v>4</v>
          </cell>
          <cell r="H62">
            <v>7</v>
          </cell>
          <cell r="I62">
            <v>58</v>
          </cell>
        </row>
        <row r="63">
          <cell r="F63">
            <v>102</v>
          </cell>
          <cell r="G63">
            <v>0</v>
          </cell>
          <cell r="H63">
            <v>1</v>
          </cell>
          <cell r="I63">
            <v>154</v>
          </cell>
        </row>
        <row r="70">
          <cell r="E70">
            <v>1552</v>
          </cell>
          <cell r="H70">
            <v>416</v>
          </cell>
        </row>
        <row r="71">
          <cell r="E71">
            <v>0</v>
          </cell>
          <cell r="H71">
            <v>0</v>
          </cell>
        </row>
        <row r="72">
          <cell r="E72">
            <v>1307</v>
          </cell>
          <cell r="H72">
            <v>71</v>
          </cell>
        </row>
        <row r="73">
          <cell r="E73">
            <v>0</v>
          </cell>
          <cell r="H73">
            <v>0</v>
          </cell>
        </row>
        <row r="74">
          <cell r="E74">
            <v>2595</v>
          </cell>
          <cell r="H74">
            <v>371</v>
          </cell>
        </row>
        <row r="75">
          <cell r="E75">
            <v>5195</v>
          </cell>
          <cell r="H75">
            <v>1882</v>
          </cell>
        </row>
        <row r="76">
          <cell r="E76">
            <v>154</v>
          </cell>
          <cell r="H76">
            <v>99</v>
          </cell>
        </row>
        <row r="77">
          <cell r="E77">
            <v>45</v>
          </cell>
          <cell r="H77">
            <v>99</v>
          </cell>
        </row>
        <row r="78">
          <cell r="E78">
            <v>2445</v>
          </cell>
          <cell r="H78">
            <v>830</v>
          </cell>
        </row>
        <row r="79">
          <cell r="E79">
            <v>924</v>
          </cell>
          <cell r="H79">
            <v>309</v>
          </cell>
        </row>
        <row r="80">
          <cell r="E80">
            <v>11574</v>
          </cell>
          <cell r="H80">
            <v>9</v>
          </cell>
        </row>
      </sheetData>
      <sheetData sheetId="14">
        <row r="5">
          <cell r="F5">
            <v>32.446938277628689</v>
          </cell>
        </row>
        <row r="6">
          <cell r="D6">
            <v>3701</v>
          </cell>
          <cell r="E6">
            <v>1132</v>
          </cell>
          <cell r="F6">
            <v>30.5863280194542</v>
          </cell>
        </row>
        <row r="7">
          <cell r="D7">
            <v>398</v>
          </cell>
          <cell r="E7">
            <v>198</v>
          </cell>
          <cell r="F7">
            <v>49.748743718592962</v>
          </cell>
        </row>
      </sheetData>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85160</v>
          </cell>
          <cell r="R12">
            <v>6463</v>
          </cell>
        </row>
        <row r="13">
          <cell r="D13">
            <v>37074</v>
          </cell>
          <cell r="R13">
            <v>2966</v>
          </cell>
        </row>
        <row r="14">
          <cell r="D14">
            <v>0</v>
          </cell>
          <cell r="R14">
            <v>0</v>
          </cell>
        </row>
        <row r="17">
          <cell r="D17">
            <v>32735</v>
          </cell>
          <cell r="R17">
            <v>2836</v>
          </cell>
        </row>
        <row r="20">
          <cell r="D20">
            <v>0</v>
          </cell>
          <cell r="R20">
            <v>0</v>
          </cell>
        </row>
        <row r="24">
          <cell r="D24">
            <v>27945</v>
          </cell>
          <cell r="R24">
            <v>3919</v>
          </cell>
        </row>
        <row r="29">
          <cell r="D29">
            <v>447</v>
          </cell>
          <cell r="R29">
            <v>0</v>
          </cell>
        </row>
        <row r="30">
          <cell r="D30">
            <v>11811</v>
          </cell>
          <cell r="R30">
            <v>1512</v>
          </cell>
        </row>
        <row r="35">
          <cell r="D35">
            <v>504</v>
          </cell>
          <cell r="R35">
            <v>504</v>
          </cell>
        </row>
        <row r="36">
          <cell r="D36">
            <v>755</v>
          </cell>
          <cell r="R36">
            <v>755</v>
          </cell>
        </row>
        <row r="40">
          <cell r="D40">
            <v>8587</v>
          </cell>
          <cell r="R40">
            <v>1174</v>
          </cell>
        </row>
      </sheetData>
      <sheetData sheetId="4"/>
      <sheetData sheetId="5"/>
      <sheetData sheetId="6"/>
      <sheetData sheetId="7"/>
      <sheetData sheetId="8"/>
      <sheetData sheetId="9"/>
      <sheetData sheetId="10"/>
      <sheetData sheetId="11"/>
      <sheetData sheetId="12"/>
      <sheetData sheetId="13"/>
      <sheetData sheetId="14">
        <row r="9">
          <cell r="D9">
            <v>198</v>
          </cell>
          <cell r="F9">
            <v>0</v>
          </cell>
          <cell r="G9">
            <v>0</v>
          </cell>
          <cell r="H9">
            <v>198</v>
          </cell>
          <cell r="I9">
            <v>439</v>
          </cell>
        </row>
        <row r="10">
          <cell r="D10">
            <v>200</v>
          </cell>
          <cell r="F10">
            <v>0</v>
          </cell>
          <cell r="G10">
            <v>105</v>
          </cell>
          <cell r="H10">
            <v>95</v>
          </cell>
          <cell r="I10">
            <v>433</v>
          </cell>
        </row>
        <row r="11">
          <cell r="D11">
            <v>0</v>
          </cell>
          <cell r="F11"/>
          <cell r="G11"/>
          <cell r="H11"/>
          <cell r="I11"/>
        </row>
        <row r="12">
          <cell r="D12">
            <v>94</v>
          </cell>
          <cell r="F12">
            <v>51</v>
          </cell>
          <cell r="G12">
            <v>9</v>
          </cell>
          <cell r="H12">
            <v>34</v>
          </cell>
          <cell r="I12">
            <v>119</v>
          </cell>
        </row>
        <row r="13">
          <cell r="D13">
            <v>0</v>
          </cell>
          <cell r="F13"/>
          <cell r="G13"/>
          <cell r="H13"/>
          <cell r="I13"/>
        </row>
        <row r="14">
          <cell r="D14">
            <v>34</v>
          </cell>
          <cell r="F14">
            <v>0</v>
          </cell>
          <cell r="G14">
            <v>1</v>
          </cell>
          <cell r="H14">
            <v>33</v>
          </cell>
          <cell r="I14">
            <v>77</v>
          </cell>
        </row>
        <row r="15">
          <cell r="D15">
            <v>19</v>
          </cell>
          <cell r="F15">
            <v>13</v>
          </cell>
          <cell r="G15">
            <v>2</v>
          </cell>
          <cell r="H15">
            <v>4</v>
          </cell>
          <cell r="I15">
            <v>24</v>
          </cell>
        </row>
        <row r="16">
          <cell r="F16">
            <v>0</v>
          </cell>
          <cell r="G16">
            <v>0</v>
          </cell>
          <cell r="H16">
            <v>2</v>
          </cell>
          <cell r="I16">
            <v>3</v>
          </cell>
        </row>
        <row r="17">
          <cell r="D17">
            <v>0</v>
          </cell>
          <cell r="I17"/>
        </row>
        <row r="18">
          <cell r="I18"/>
        </row>
        <row r="19">
          <cell r="D19">
            <v>58</v>
          </cell>
          <cell r="F19">
            <v>46</v>
          </cell>
          <cell r="G19">
            <v>8</v>
          </cell>
          <cell r="H19">
            <v>4</v>
          </cell>
          <cell r="I19">
            <v>93</v>
          </cell>
        </row>
        <row r="26">
          <cell r="D26">
            <v>31023</v>
          </cell>
          <cell r="E26">
            <v>0</v>
          </cell>
          <cell r="H26">
            <v>31023</v>
          </cell>
        </row>
        <row r="27">
          <cell r="D27">
            <v>13890</v>
          </cell>
          <cell r="E27">
            <v>8102</v>
          </cell>
          <cell r="H27">
            <v>5788</v>
          </cell>
        </row>
        <row r="28">
          <cell r="D28">
            <v>0</v>
          </cell>
          <cell r="E28"/>
          <cell r="H28"/>
        </row>
        <row r="29">
          <cell r="D29">
            <v>20442</v>
          </cell>
          <cell r="E29">
            <v>15068</v>
          </cell>
          <cell r="H29">
            <v>5374</v>
          </cell>
        </row>
        <row r="30">
          <cell r="D30">
            <v>0</v>
          </cell>
          <cell r="E30"/>
          <cell r="H30"/>
        </row>
        <row r="31">
          <cell r="D31">
            <v>7168</v>
          </cell>
          <cell r="E31">
            <v>161</v>
          </cell>
          <cell r="H31">
            <v>7007</v>
          </cell>
        </row>
        <row r="32">
          <cell r="D32">
            <v>7722</v>
          </cell>
          <cell r="E32">
            <v>6068</v>
          </cell>
          <cell r="H32">
            <v>1654</v>
          </cell>
        </row>
        <row r="33">
          <cell r="E33">
            <v>0</v>
          </cell>
          <cell r="H33">
            <v>265</v>
          </cell>
        </row>
        <row r="34">
          <cell r="D34">
            <v>0</v>
          </cell>
        </row>
        <row r="36">
          <cell r="D36">
            <v>3525</v>
          </cell>
          <cell r="E36">
            <v>3289</v>
          </cell>
          <cell r="H36">
            <v>236</v>
          </cell>
        </row>
        <row r="53">
          <cell r="D53">
            <v>50</v>
          </cell>
          <cell r="F53">
            <v>0</v>
          </cell>
          <cell r="G53">
            <v>0</v>
          </cell>
          <cell r="H53">
            <v>50</v>
          </cell>
          <cell r="I53">
            <v>65</v>
          </cell>
        </row>
        <row r="54">
          <cell r="D54">
            <v>49</v>
          </cell>
          <cell r="F54">
            <v>0</v>
          </cell>
          <cell r="G54">
            <v>39</v>
          </cell>
          <cell r="H54">
            <v>10</v>
          </cell>
          <cell r="I54">
            <v>62</v>
          </cell>
        </row>
        <row r="55">
          <cell r="D55">
            <v>0</v>
          </cell>
          <cell r="F55"/>
          <cell r="G55"/>
          <cell r="H55"/>
          <cell r="I55"/>
        </row>
        <row r="56">
          <cell r="D56">
            <v>19</v>
          </cell>
          <cell r="F56">
            <v>15</v>
          </cell>
          <cell r="G56">
            <v>1</v>
          </cell>
          <cell r="H56">
            <v>3</v>
          </cell>
          <cell r="I56">
            <v>33</v>
          </cell>
        </row>
        <row r="57">
          <cell r="D57">
            <v>0</v>
          </cell>
          <cell r="F57"/>
          <cell r="G57"/>
          <cell r="H57"/>
          <cell r="I57"/>
        </row>
        <row r="58">
          <cell r="D58">
            <v>23</v>
          </cell>
          <cell r="F58">
            <v>15</v>
          </cell>
          <cell r="G58">
            <v>1</v>
          </cell>
          <cell r="H58">
            <v>7</v>
          </cell>
          <cell r="I58">
            <v>25</v>
          </cell>
        </row>
        <row r="59">
          <cell r="D59">
            <v>9</v>
          </cell>
          <cell r="F59">
            <v>7</v>
          </cell>
          <cell r="G59">
            <v>1</v>
          </cell>
          <cell r="H59">
            <v>1</v>
          </cell>
          <cell r="I59">
            <v>11</v>
          </cell>
        </row>
        <row r="60">
          <cell r="F60">
            <v>0</v>
          </cell>
          <cell r="G60">
            <v>0</v>
          </cell>
          <cell r="H60">
            <v>0</v>
          </cell>
          <cell r="I60">
            <v>0</v>
          </cell>
        </row>
        <row r="61">
          <cell r="D61">
            <v>5</v>
          </cell>
          <cell r="F61">
            <v>4</v>
          </cell>
          <cell r="G61">
            <v>1</v>
          </cell>
          <cell r="H61">
            <v>0</v>
          </cell>
          <cell r="I61">
            <v>5</v>
          </cell>
        </row>
        <row r="62">
          <cell r="F62">
            <v>0</v>
          </cell>
          <cell r="G62">
            <v>0</v>
          </cell>
          <cell r="H62">
            <v>4</v>
          </cell>
          <cell r="I62">
            <v>5</v>
          </cell>
        </row>
        <row r="63">
          <cell r="D63">
            <v>12</v>
          </cell>
          <cell r="F63">
            <v>12</v>
          </cell>
          <cell r="G63">
            <v>0</v>
          </cell>
          <cell r="H63">
            <v>0</v>
          </cell>
          <cell r="I63">
            <v>13</v>
          </cell>
        </row>
        <row r="70">
          <cell r="D70">
            <v>5097</v>
          </cell>
          <cell r="E70">
            <v>0</v>
          </cell>
          <cell r="H70">
            <v>5097</v>
          </cell>
        </row>
        <row r="71">
          <cell r="D71">
            <v>2313</v>
          </cell>
          <cell r="E71">
            <v>1752</v>
          </cell>
          <cell r="H71">
            <v>561</v>
          </cell>
        </row>
        <row r="72">
          <cell r="D72">
            <v>0</v>
          </cell>
          <cell r="E72"/>
          <cell r="H72"/>
        </row>
        <row r="73">
          <cell r="D73">
            <v>1871</v>
          </cell>
          <cell r="E73">
            <v>1646</v>
          </cell>
          <cell r="H73">
            <v>225</v>
          </cell>
        </row>
        <row r="74">
          <cell r="D74">
            <v>0</v>
          </cell>
          <cell r="E74"/>
          <cell r="H74"/>
        </row>
        <row r="75">
          <cell r="D75">
            <v>2915</v>
          </cell>
          <cell r="E75">
            <v>1949</v>
          </cell>
          <cell r="H75">
            <v>966</v>
          </cell>
        </row>
        <row r="76">
          <cell r="D76">
            <v>1394</v>
          </cell>
          <cell r="E76">
            <v>1359</v>
          </cell>
          <cell r="H76">
            <v>35</v>
          </cell>
        </row>
        <row r="77">
          <cell r="E77">
            <v>0</v>
          </cell>
          <cell r="H77">
            <v>0</v>
          </cell>
        </row>
        <row r="78">
          <cell r="D78">
            <v>1056</v>
          </cell>
          <cell r="E78">
            <v>567</v>
          </cell>
          <cell r="H78">
            <v>489</v>
          </cell>
        </row>
        <row r="79">
          <cell r="E79">
            <v>0</v>
          </cell>
          <cell r="H79">
            <v>420</v>
          </cell>
        </row>
        <row r="80">
          <cell r="D80">
            <v>1124</v>
          </cell>
          <cell r="E80">
            <v>1028</v>
          </cell>
          <cell r="H80">
            <v>96</v>
          </cell>
        </row>
        <row r="97">
          <cell r="D97">
            <v>248</v>
          </cell>
        </row>
        <row r="98">
          <cell r="D98">
            <v>249</v>
          </cell>
        </row>
        <row r="99">
          <cell r="D99">
            <v>0</v>
          </cell>
        </row>
        <row r="100">
          <cell r="D100">
            <v>113</v>
          </cell>
        </row>
        <row r="101">
          <cell r="D101">
            <v>0</v>
          </cell>
        </row>
        <row r="102">
          <cell r="D102">
            <v>57</v>
          </cell>
        </row>
        <row r="103">
          <cell r="D103">
            <v>28</v>
          </cell>
        </row>
        <row r="105">
          <cell r="D105">
            <v>5</v>
          </cell>
        </row>
        <row r="107">
          <cell r="D107">
            <v>70</v>
          </cell>
        </row>
        <row r="114">
          <cell r="D114">
            <v>36120</v>
          </cell>
        </row>
        <row r="115">
          <cell r="D115">
            <v>16203</v>
          </cell>
        </row>
        <row r="116">
          <cell r="D116">
            <v>0</v>
          </cell>
        </row>
        <row r="117">
          <cell r="D117">
            <v>22313</v>
          </cell>
        </row>
        <row r="118">
          <cell r="D118">
            <v>0</v>
          </cell>
        </row>
        <row r="119">
          <cell r="D119">
            <v>10083</v>
          </cell>
        </row>
        <row r="120">
          <cell r="D120">
            <v>9116</v>
          </cell>
        </row>
        <row r="122">
          <cell r="D122">
            <v>1056</v>
          </cell>
        </row>
        <row r="124">
          <cell r="D124">
            <v>4649</v>
          </cell>
        </row>
      </sheetData>
      <sheetData sheetId="15">
        <row r="5">
          <cell r="F5">
            <v>57.957244655581945</v>
          </cell>
        </row>
        <row r="6">
          <cell r="D6">
            <v>700</v>
          </cell>
          <cell r="E6">
            <v>379</v>
          </cell>
          <cell r="F6">
            <v>54.142857142857146</v>
          </cell>
        </row>
        <row r="7">
          <cell r="D7">
            <v>142</v>
          </cell>
          <cell r="E7">
            <v>109</v>
          </cell>
          <cell r="F7">
            <v>76.760563380281695</v>
          </cell>
        </row>
      </sheetData>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_1"/>
      <sheetName val="Absolventen_JG "/>
      <sheetName val="SopäFö"/>
      <sheetName val="SopäInt"/>
      <sheetName val="GtS"/>
      <sheetName val="GtS_VE"/>
      <sheetName val="Kurse"/>
      <sheetName val="AbiNoten"/>
      <sheetName val="OECD_U_F"/>
      <sheetName val="OECD_P_L"/>
      <sheetName val="OECD_L_G"/>
      <sheetName val="Absolventen_JG"/>
      <sheetName val="A_HBS"/>
    </sheetNames>
    <sheetDataSet>
      <sheetData sheetId="0"/>
      <sheetData sheetId="1"/>
      <sheetData sheetId="2"/>
      <sheetData sheetId="3">
        <row r="12">
          <cell r="D12">
            <v>20826</v>
          </cell>
          <cell r="R12">
            <v>1780</v>
          </cell>
        </row>
        <row r="14">
          <cell r="D14">
            <v>0</v>
          </cell>
          <cell r="R14">
            <v>0</v>
          </cell>
        </row>
        <row r="17">
          <cell r="D17">
            <v>5018</v>
          </cell>
          <cell r="R17">
            <v>949</v>
          </cell>
        </row>
        <row r="20">
          <cell r="D20">
            <v>0</v>
          </cell>
          <cell r="R20">
            <v>0</v>
          </cell>
        </row>
        <row r="24">
          <cell r="D24">
            <v>9892</v>
          </cell>
          <cell r="R24">
            <v>1698</v>
          </cell>
        </row>
        <row r="30">
          <cell r="D30">
            <v>16680</v>
          </cell>
          <cell r="R30">
            <v>389</v>
          </cell>
        </row>
        <row r="35">
          <cell r="D35">
            <v>316</v>
          </cell>
          <cell r="R35">
            <v>316</v>
          </cell>
        </row>
        <row r="36">
          <cell r="D36">
            <v>490</v>
          </cell>
          <cell r="R36">
            <v>490</v>
          </cell>
        </row>
        <row r="40">
          <cell r="D40">
            <v>1228</v>
          </cell>
          <cell r="R40">
            <v>126</v>
          </cell>
        </row>
      </sheetData>
      <sheetData sheetId="4"/>
      <sheetData sheetId="5"/>
      <sheetData sheetId="6"/>
      <sheetData sheetId="7"/>
      <sheetData sheetId="8"/>
      <sheetData sheetId="9"/>
      <sheetData sheetId="10"/>
      <sheetData sheetId="11"/>
      <sheetData sheetId="12"/>
      <sheetData sheetId="13"/>
      <sheetData sheetId="14">
        <row r="9">
          <cell r="F9">
            <v>24</v>
          </cell>
          <cell r="G9">
            <v>0</v>
          </cell>
          <cell r="H9">
            <v>14</v>
          </cell>
          <cell r="I9">
            <v>91</v>
          </cell>
        </row>
        <row r="10">
          <cell r="F10">
            <v>0</v>
          </cell>
          <cell r="G10">
            <v>0</v>
          </cell>
          <cell r="H10">
            <v>0</v>
          </cell>
        </row>
        <row r="11">
          <cell r="F11">
            <v>0</v>
          </cell>
          <cell r="G11">
            <v>0</v>
          </cell>
          <cell r="H11">
            <v>0</v>
          </cell>
        </row>
        <row r="12">
          <cell r="F12">
            <v>0</v>
          </cell>
          <cell r="G12">
            <v>4</v>
          </cell>
          <cell r="H12">
            <v>1</v>
          </cell>
          <cell r="I12">
            <v>23</v>
          </cell>
        </row>
        <row r="13">
          <cell r="F13">
            <v>0</v>
          </cell>
          <cell r="G13">
            <v>0</v>
          </cell>
          <cell r="H13">
            <v>0</v>
          </cell>
        </row>
        <row r="14">
          <cell r="F14">
            <v>0</v>
          </cell>
          <cell r="G14">
            <v>6</v>
          </cell>
          <cell r="H14">
            <v>0</v>
          </cell>
          <cell r="I14">
            <v>31</v>
          </cell>
        </row>
        <row r="15">
          <cell r="F15">
            <v>4</v>
          </cell>
          <cell r="G15">
            <v>22</v>
          </cell>
          <cell r="H15">
            <v>3</v>
          </cell>
          <cell r="I15">
            <v>57</v>
          </cell>
        </row>
        <row r="17">
          <cell r="F17">
            <v>0</v>
          </cell>
          <cell r="G17">
            <v>0</v>
          </cell>
          <cell r="H17">
            <v>0</v>
          </cell>
          <cell r="I17">
            <v>17</v>
          </cell>
        </row>
        <row r="24">
          <cell r="E24">
            <v>5244</v>
          </cell>
          <cell r="H24">
            <v>1308</v>
          </cell>
        </row>
        <row r="25">
          <cell r="E25">
            <v>0</v>
          </cell>
        </row>
        <row r="26">
          <cell r="E26">
            <v>0</v>
          </cell>
        </row>
        <row r="27">
          <cell r="E27">
            <v>218</v>
          </cell>
          <cell r="H27">
            <v>60</v>
          </cell>
        </row>
        <row r="28">
          <cell r="E28">
            <v>0</v>
          </cell>
        </row>
        <row r="29">
          <cell r="E29">
            <v>990</v>
          </cell>
          <cell r="H29">
            <v>0</v>
          </cell>
        </row>
        <row r="30">
          <cell r="E30">
            <v>7768</v>
          </cell>
          <cell r="H30">
            <v>425</v>
          </cell>
        </row>
        <row r="31">
          <cell r="E31">
            <v>0</v>
          </cell>
        </row>
        <row r="34">
          <cell r="E34">
            <v>0</v>
          </cell>
        </row>
        <row r="51">
          <cell r="F51">
            <v>2</v>
          </cell>
          <cell r="G51">
            <v>0</v>
          </cell>
          <cell r="H51">
            <v>3</v>
          </cell>
          <cell r="I51">
            <v>9</v>
          </cell>
        </row>
        <row r="52">
          <cell r="F52">
            <v>0</v>
          </cell>
          <cell r="G52">
            <v>0</v>
          </cell>
          <cell r="H52">
            <v>0</v>
          </cell>
        </row>
        <row r="53">
          <cell r="F53">
            <v>0</v>
          </cell>
          <cell r="G53">
            <v>0</v>
          </cell>
          <cell r="H53">
            <v>0</v>
          </cell>
        </row>
        <row r="54">
          <cell r="F54">
            <v>0</v>
          </cell>
          <cell r="G54">
            <v>0</v>
          </cell>
          <cell r="H54">
            <v>0</v>
          </cell>
          <cell r="I54">
            <v>3</v>
          </cell>
        </row>
        <row r="55">
          <cell r="F55">
            <v>0</v>
          </cell>
          <cell r="G55">
            <v>0</v>
          </cell>
          <cell r="H55">
            <v>0</v>
          </cell>
        </row>
        <row r="56">
          <cell r="F56">
            <v>0</v>
          </cell>
          <cell r="G56">
            <v>0</v>
          </cell>
          <cell r="H56">
            <v>1</v>
          </cell>
          <cell r="I56">
            <v>5</v>
          </cell>
        </row>
        <row r="57">
          <cell r="F57">
            <v>1</v>
          </cell>
          <cell r="G57">
            <v>0</v>
          </cell>
          <cell r="H57">
            <v>1</v>
          </cell>
          <cell r="I57">
            <v>3</v>
          </cell>
        </row>
        <row r="58">
          <cell r="F58">
            <v>0</v>
          </cell>
          <cell r="G58">
            <v>1</v>
          </cell>
          <cell r="H58">
            <v>0</v>
          </cell>
          <cell r="I58">
            <v>3</v>
          </cell>
        </row>
        <row r="59">
          <cell r="F59">
            <v>0</v>
          </cell>
          <cell r="G59">
            <v>0</v>
          </cell>
          <cell r="H59">
            <v>1</v>
          </cell>
          <cell r="I59">
            <v>1</v>
          </cell>
        </row>
        <row r="66">
          <cell r="E66">
            <v>233</v>
          </cell>
          <cell r="H66">
            <v>208</v>
          </cell>
        </row>
        <row r="67">
          <cell r="E67">
            <v>0</v>
          </cell>
        </row>
        <row r="68">
          <cell r="E68">
            <v>0</v>
          </cell>
          <cell r="H68">
            <v>0</v>
          </cell>
        </row>
        <row r="69">
          <cell r="E69">
            <v>0</v>
          </cell>
        </row>
        <row r="70">
          <cell r="E70">
            <v>0</v>
          </cell>
          <cell r="H70">
            <v>0</v>
          </cell>
        </row>
        <row r="71">
          <cell r="E71">
            <v>0</v>
          </cell>
          <cell r="H71">
            <v>82</v>
          </cell>
        </row>
        <row r="72">
          <cell r="E72">
            <v>167</v>
          </cell>
          <cell r="H72">
            <v>19</v>
          </cell>
        </row>
        <row r="73">
          <cell r="E73">
            <v>0</v>
          </cell>
        </row>
        <row r="74">
          <cell r="E74">
            <v>224</v>
          </cell>
          <cell r="H74">
            <v>0</v>
          </cell>
        </row>
        <row r="75">
          <cell r="E75">
            <v>77</v>
          </cell>
        </row>
        <row r="76">
          <cell r="E76">
            <v>0</v>
          </cell>
          <cell r="H76">
            <v>45</v>
          </cell>
        </row>
      </sheetData>
      <sheetData sheetId="15">
        <row r="5">
          <cell r="F5">
            <v>41.530054644808743</v>
          </cell>
        </row>
        <row r="6">
          <cell r="D6">
            <v>164</v>
          </cell>
          <cell r="E6">
            <v>71</v>
          </cell>
          <cell r="F6">
            <v>43.292682926829265</v>
          </cell>
        </row>
        <row r="7">
          <cell r="D7">
            <v>19</v>
          </cell>
          <cell r="E7">
            <v>5</v>
          </cell>
          <cell r="F7">
            <v>26.315789473684209</v>
          </cell>
        </row>
      </sheetData>
      <sheetData sheetId="16"/>
      <sheetData sheetId="17"/>
      <sheetData sheetId="18"/>
      <sheetData sheetId="19"/>
      <sheetData sheetId="20"/>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 val="Absolventen_JG "/>
      <sheetName val="Absolventen_JG_1"/>
    </sheetNames>
    <sheetDataSet>
      <sheetData sheetId="0"/>
      <sheetData sheetId="1"/>
      <sheetData sheetId="2"/>
      <sheetData sheetId="3">
        <row r="12">
          <cell r="D12">
            <v>20917</v>
          </cell>
          <cell r="R12">
            <v>1694</v>
          </cell>
        </row>
        <row r="14">
          <cell r="D14">
            <v>0</v>
          </cell>
          <cell r="R14">
            <v>0</v>
          </cell>
        </row>
        <row r="17">
          <cell r="D17">
            <v>3654</v>
          </cell>
          <cell r="R17">
            <v>928</v>
          </cell>
        </row>
        <row r="20">
          <cell r="D20">
            <v>0</v>
          </cell>
          <cell r="R20">
            <v>0</v>
          </cell>
        </row>
        <row r="24">
          <cell r="D24">
            <v>8589</v>
          </cell>
          <cell r="R24">
            <v>1653</v>
          </cell>
        </row>
        <row r="30">
          <cell r="D30">
            <v>18740</v>
          </cell>
          <cell r="R30">
            <v>460</v>
          </cell>
        </row>
        <row r="35">
          <cell r="D35">
            <v>314</v>
          </cell>
          <cell r="R35">
            <v>314</v>
          </cell>
        </row>
        <row r="36">
          <cell r="D36">
            <v>513</v>
          </cell>
          <cell r="R36">
            <v>513</v>
          </cell>
        </row>
        <row r="40">
          <cell r="D40">
            <v>1000</v>
          </cell>
          <cell r="R40">
            <v>126</v>
          </cell>
        </row>
      </sheetData>
      <sheetData sheetId="4"/>
      <sheetData sheetId="5"/>
      <sheetData sheetId="6"/>
      <sheetData sheetId="7"/>
      <sheetData sheetId="8"/>
      <sheetData sheetId="9"/>
      <sheetData sheetId="10"/>
      <sheetData sheetId="11"/>
      <sheetData sheetId="12"/>
      <sheetData sheetId="13">
        <row r="9">
          <cell r="F9">
            <v>24</v>
          </cell>
          <cell r="G9">
            <v>0</v>
          </cell>
          <cell r="H9">
            <v>14</v>
          </cell>
          <cell r="I9">
            <v>90</v>
          </cell>
        </row>
        <row r="10">
          <cell r="F10">
            <v>0</v>
          </cell>
          <cell r="G10">
            <v>0</v>
          </cell>
          <cell r="H10">
            <v>0</v>
          </cell>
          <cell r="I10">
            <v>0</v>
          </cell>
        </row>
        <row r="11">
          <cell r="F11">
            <v>0</v>
          </cell>
          <cell r="G11">
            <v>0</v>
          </cell>
          <cell r="H11">
            <v>0</v>
          </cell>
          <cell r="I11">
            <v>0</v>
          </cell>
        </row>
        <row r="12">
          <cell r="F12">
            <v>0</v>
          </cell>
          <cell r="G12">
            <v>2</v>
          </cell>
          <cell r="H12">
            <v>0</v>
          </cell>
          <cell r="I12">
            <v>23</v>
          </cell>
        </row>
        <row r="13">
          <cell r="F13">
            <v>0</v>
          </cell>
          <cell r="G13">
            <v>0</v>
          </cell>
          <cell r="H13">
            <v>0</v>
          </cell>
          <cell r="I13">
            <v>0</v>
          </cell>
        </row>
        <row r="14">
          <cell r="F14">
            <v>0</v>
          </cell>
          <cell r="G14">
            <v>3</v>
          </cell>
          <cell r="H14">
            <v>0</v>
          </cell>
          <cell r="I14">
            <v>25</v>
          </cell>
        </row>
        <row r="15">
          <cell r="F15">
            <v>4</v>
          </cell>
          <cell r="G15">
            <v>22</v>
          </cell>
          <cell r="H15">
            <v>4</v>
          </cell>
          <cell r="I15">
            <v>57</v>
          </cell>
        </row>
        <row r="16">
          <cell r="F16">
            <v>0</v>
          </cell>
          <cell r="G16">
            <v>0</v>
          </cell>
          <cell r="H16">
            <v>0</v>
          </cell>
          <cell r="I16">
            <v>0</v>
          </cell>
        </row>
        <row r="17">
          <cell r="I17">
            <v>0</v>
          </cell>
        </row>
        <row r="18">
          <cell r="I18">
            <v>0</v>
          </cell>
        </row>
        <row r="19">
          <cell r="F19">
            <v>0</v>
          </cell>
          <cell r="G19">
            <v>0</v>
          </cell>
          <cell r="H19">
            <v>0</v>
          </cell>
          <cell r="I19">
            <v>18</v>
          </cell>
        </row>
        <row r="26">
          <cell r="E26">
            <v>5468</v>
          </cell>
          <cell r="H26">
            <v>1502</v>
          </cell>
        </row>
        <row r="27">
          <cell r="E27">
            <v>0</v>
          </cell>
          <cell r="H27">
            <v>0</v>
          </cell>
        </row>
        <row r="28">
          <cell r="E28">
            <v>0</v>
          </cell>
          <cell r="H28">
            <v>0</v>
          </cell>
        </row>
        <row r="29">
          <cell r="E29">
            <v>159</v>
          </cell>
          <cell r="H29">
            <v>0</v>
          </cell>
        </row>
        <row r="30">
          <cell r="E30">
            <v>0</v>
          </cell>
          <cell r="H30">
            <v>0</v>
          </cell>
        </row>
        <row r="31">
          <cell r="E31">
            <v>877</v>
          </cell>
          <cell r="H31">
            <v>0</v>
          </cell>
        </row>
        <row r="32">
          <cell r="E32">
            <v>8147</v>
          </cell>
          <cell r="H32">
            <v>485</v>
          </cell>
        </row>
        <row r="33">
          <cell r="E33">
            <v>0</v>
          </cell>
          <cell r="H33">
            <v>0</v>
          </cell>
        </row>
        <row r="36">
          <cell r="E36">
            <v>0</v>
          </cell>
          <cell r="H36">
            <v>0</v>
          </cell>
        </row>
        <row r="53">
          <cell r="F53">
            <v>2</v>
          </cell>
          <cell r="G53">
            <v>0</v>
          </cell>
          <cell r="H53">
            <v>4</v>
          </cell>
          <cell r="I53">
            <v>9</v>
          </cell>
        </row>
        <row r="54">
          <cell r="F54">
            <v>0</v>
          </cell>
          <cell r="G54">
            <v>0</v>
          </cell>
          <cell r="H54">
            <v>0</v>
          </cell>
          <cell r="I54">
            <v>0</v>
          </cell>
        </row>
        <row r="55">
          <cell r="F55">
            <v>0</v>
          </cell>
          <cell r="G55">
            <v>0</v>
          </cell>
          <cell r="H55">
            <v>0</v>
          </cell>
          <cell r="I55">
            <v>0</v>
          </cell>
        </row>
        <row r="56">
          <cell r="F56">
            <v>0</v>
          </cell>
          <cell r="G56">
            <v>0</v>
          </cell>
          <cell r="H56">
            <v>0</v>
          </cell>
          <cell r="I56">
            <v>3</v>
          </cell>
        </row>
        <row r="57">
          <cell r="F57">
            <v>0</v>
          </cell>
          <cell r="G57">
            <v>0</v>
          </cell>
          <cell r="H57">
            <v>0</v>
          </cell>
          <cell r="I57">
            <v>0</v>
          </cell>
        </row>
        <row r="58">
          <cell r="F58">
            <v>0</v>
          </cell>
          <cell r="G58">
            <v>0</v>
          </cell>
          <cell r="H58">
            <v>1</v>
          </cell>
          <cell r="I58">
            <v>5</v>
          </cell>
        </row>
        <row r="59">
          <cell r="F59">
            <v>1</v>
          </cell>
          <cell r="G59">
            <v>0</v>
          </cell>
          <cell r="H59">
            <v>1</v>
          </cell>
          <cell r="I59">
            <v>3</v>
          </cell>
        </row>
        <row r="60">
          <cell r="F60">
            <v>0</v>
          </cell>
          <cell r="G60">
            <v>0</v>
          </cell>
          <cell r="H60">
            <v>0</v>
          </cell>
          <cell r="I60">
            <v>0</v>
          </cell>
        </row>
        <row r="61">
          <cell r="F61">
            <v>0</v>
          </cell>
          <cell r="G61">
            <v>1</v>
          </cell>
          <cell r="H61">
            <v>0</v>
          </cell>
          <cell r="I61">
            <v>3</v>
          </cell>
        </row>
        <row r="62">
          <cell r="F62">
            <v>0</v>
          </cell>
          <cell r="G62">
            <v>1</v>
          </cell>
          <cell r="H62">
            <v>0</v>
          </cell>
          <cell r="I62">
            <v>3</v>
          </cell>
        </row>
        <row r="63">
          <cell r="F63">
            <v>0</v>
          </cell>
          <cell r="G63">
            <v>0</v>
          </cell>
          <cell r="H63">
            <v>0</v>
          </cell>
          <cell r="I63">
            <v>1</v>
          </cell>
        </row>
        <row r="70">
          <cell r="E70">
            <v>234</v>
          </cell>
          <cell r="H70">
            <v>303</v>
          </cell>
        </row>
        <row r="71">
          <cell r="E71">
            <v>0</v>
          </cell>
        </row>
        <row r="72">
          <cell r="E72">
            <v>0</v>
          </cell>
          <cell r="H72">
            <v>0</v>
          </cell>
        </row>
        <row r="73">
          <cell r="E73">
            <v>0</v>
          </cell>
        </row>
        <row r="74">
          <cell r="E74">
            <v>0</v>
          </cell>
          <cell r="H74">
            <v>0</v>
          </cell>
        </row>
        <row r="75">
          <cell r="E75">
            <v>0</v>
          </cell>
          <cell r="H75">
            <v>108</v>
          </cell>
        </row>
        <row r="76">
          <cell r="E76">
            <v>171</v>
          </cell>
          <cell r="H76">
            <v>14</v>
          </cell>
        </row>
        <row r="77">
          <cell r="E77">
            <v>0</v>
          </cell>
          <cell r="H77">
            <v>0</v>
          </cell>
        </row>
        <row r="78">
          <cell r="E78">
            <v>219</v>
          </cell>
          <cell r="H78">
            <v>0</v>
          </cell>
        </row>
        <row r="79">
          <cell r="E79">
            <v>75</v>
          </cell>
          <cell r="H79">
            <v>0</v>
          </cell>
        </row>
        <row r="80">
          <cell r="E80">
            <v>0</v>
          </cell>
          <cell r="H80">
            <v>0</v>
          </cell>
        </row>
      </sheetData>
      <sheetData sheetId="14">
        <row r="5">
          <cell r="F5">
            <v>43.646408839779006</v>
          </cell>
        </row>
        <row r="6">
          <cell r="D6">
            <v>162</v>
          </cell>
          <cell r="E6">
            <v>70</v>
          </cell>
          <cell r="F6">
            <v>43.209876543209873</v>
          </cell>
        </row>
        <row r="7">
          <cell r="D7">
            <v>19</v>
          </cell>
          <cell r="E7">
            <v>9</v>
          </cell>
          <cell r="F7">
            <v>47.368421052631582</v>
          </cell>
        </row>
      </sheetData>
      <sheetData sheetId="15"/>
      <sheetData sheetId="16"/>
      <sheetData sheetId="17"/>
      <sheetData sheetId="18"/>
      <sheetData sheetId="19"/>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SKL2014_HB"/>
    </sheetNames>
    <sheetDataSet>
      <sheetData sheetId="0"/>
      <sheetData sheetId="1"/>
      <sheetData sheetId="2"/>
      <sheetData sheetId="3">
        <row r="12">
          <cell r="D12">
            <v>21322</v>
          </cell>
          <cell r="R12">
            <v>1637</v>
          </cell>
        </row>
        <row r="14">
          <cell r="D14">
            <v>0</v>
          </cell>
          <cell r="R14">
            <v>0</v>
          </cell>
        </row>
        <row r="17">
          <cell r="D17">
            <v>2284</v>
          </cell>
          <cell r="R17">
            <v>819</v>
          </cell>
        </row>
        <row r="20">
          <cell r="D20">
            <v>0</v>
          </cell>
          <cell r="R20">
            <v>0</v>
          </cell>
        </row>
        <row r="24">
          <cell r="D24">
            <v>7662</v>
          </cell>
          <cell r="R24">
            <v>1559</v>
          </cell>
        </row>
        <row r="30">
          <cell r="D30">
            <v>20799</v>
          </cell>
          <cell r="R30">
            <v>599</v>
          </cell>
        </row>
        <row r="35">
          <cell r="D35">
            <v>321</v>
          </cell>
          <cell r="R35">
            <v>321</v>
          </cell>
        </row>
        <row r="36">
          <cell r="D36">
            <v>550</v>
          </cell>
          <cell r="R36">
            <v>550</v>
          </cell>
        </row>
        <row r="40">
          <cell r="D40">
            <v>796</v>
          </cell>
          <cell r="R40">
            <v>131</v>
          </cell>
        </row>
      </sheetData>
      <sheetData sheetId="4"/>
      <sheetData sheetId="5"/>
      <sheetData sheetId="6"/>
      <sheetData sheetId="7"/>
      <sheetData sheetId="8"/>
      <sheetData sheetId="9"/>
      <sheetData sheetId="10"/>
      <sheetData sheetId="11"/>
      <sheetData sheetId="12"/>
      <sheetData sheetId="13"/>
      <sheetData sheetId="14">
        <row r="9">
          <cell r="F9">
            <v>25</v>
          </cell>
          <cell r="G9">
            <v>0</v>
          </cell>
          <cell r="H9">
            <v>14</v>
          </cell>
          <cell r="I9">
            <v>90</v>
          </cell>
        </row>
        <row r="12">
          <cell r="F12">
            <v>0</v>
          </cell>
          <cell r="G12">
            <v>1</v>
          </cell>
          <cell r="H12">
            <v>0</v>
          </cell>
          <cell r="I12">
            <v>17</v>
          </cell>
        </row>
        <row r="14">
          <cell r="F14">
            <v>0</v>
          </cell>
          <cell r="G14">
            <v>3</v>
          </cell>
          <cell r="H14">
            <v>0</v>
          </cell>
          <cell r="I14">
            <v>17</v>
          </cell>
        </row>
        <row r="15">
          <cell r="F15">
            <v>5</v>
          </cell>
          <cell r="G15">
            <v>22</v>
          </cell>
          <cell r="H15">
            <v>4</v>
          </cell>
          <cell r="I15">
            <v>55</v>
          </cell>
        </row>
        <row r="19">
          <cell r="I19">
            <v>15</v>
          </cell>
        </row>
        <row r="26">
          <cell r="E26">
            <v>5927</v>
          </cell>
          <cell r="H26">
            <v>1654</v>
          </cell>
        </row>
        <row r="27">
          <cell r="E27">
            <v>0</v>
          </cell>
        </row>
        <row r="28">
          <cell r="E28">
            <v>0</v>
          </cell>
        </row>
        <row r="29">
          <cell r="E29">
            <v>96</v>
          </cell>
          <cell r="H29">
            <v>0</v>
          </cell>
        </row>
        <row r="30">
          <cell r="E30">
            <v>0</v>
          </cell>
        </row>
        <row r="31">
          <cell r="E31">
            <v>1032</v>
          </cell>
          <cell r="H31">
            <v>0</v>
          </cell>
        </row>
        <row r="32">
          <cell r="E32">
            <v>8911</v>
          </cell>
          <cell r="H32">
            <v>424</v>
          </cell>
        </row>
        <row r="33">
          <cell r="E33">
            <v>0</v>
          </cell>
        </row>
        <row r="36">
          <cell r="E36">
            <v>0</v>
          </cell>
        </row>
        <row r="53">
          <cell r="F53">
            <v>2</v>
          </cell>
          <cell r="H53">
            <v>4</v>
          </cell>
          <cell r="I53">
            <v>8</v>
          </cell>
        </row>
        <row r="56">
          <cell r="I56">
            <v>3</v>
          </cell>
        </row>
        <row r="58">
          <cell r="H58">
            <v>1</v>
          </cell>
          <cell r="I58">
            <v>5</v>
          </cell>
        </row>
        <row r="59">
          <cell r="F59">
            <v>1</v>
          </cell>
          <cell r="H59">
            <v>1</v>
          </cell>
          <cell r="I59">
            <v>4</v>
          </cell>
        </row>
        <row r="61">
          <cell r="G61">
            <v>2</v>
          </cell>
          <cell r="I61">
            <v>3</v>
          </cell>
        </row>
        <row r="62">
          <cell r="G62">
            <v>1</v>
          </cell>
          <cell r="I62">
            <v>3</v>
          </cell>
        </row>
        <row r="63">
          <cell r="I63">
            <v>1</v>
          </cell>
        </row>
        <row r="70">
          <cell r="E70">
            <v>224</v>
          </cell>
          <cell r="H70">
            <v>334</v>
          </cell>
        </row>
        <row r="71">
          <cell r="E71">
            <v>0</v>
          </cell>
        </row>
        <row r="72">
          <cell r="E72">
            <v>0</v>
          </cell>
        </row>
        <row r="73">
          <cell r="E73">
            <v>0</v>
          </cell>
        </row>
        <row r="74">
          <cell r="E74">
            <v>0</v>
          </cell>
        </row>
        <row r="75">
          <cell r="E75">
            <v>0</v>
          </cell>
          <cell r="H75">
            <v>98</v>
          </cell>
        </row>
        <row r="76">
          <cell r="E76">
            <v>171</v>
          </cell>
          <cell r="H76">
            <v>11</v>
          </cell>
        </row>
        <row r="77">
          <cell r="E77">
            <v>0</v>
          </cell>
        </row>
        <row r="78">
          <cell r="E78">
            <v>151</v>
          </cell>
        </row>
        <row r="79">
          <cell r="E79">
            <v>52</v>
          </cell>
        </row>
        <row r="80">
          <cell r="E80">
            <v>0</v>
          </cell>
        </row>
      </sheetData>
      <sheetData sheetId="15">
        <row r="5">
          <cell r="F5">
            <v>45.50561797752809</v>
          </cell>
        </row>
        <row r="6">
          <cell r="D6">
            <v>160</v>
          </cell>
          <cell r="E6">
            <v>72</v>
          </cell>
          <cell r="F6">
            <v>45</v>
          </cell>
        </row>
        <row r="7">
          <cell r="D7">
            <v>18</v>
          </cell>
          <cell r="E7">
            <v>9</v>
          </cell>
          <cell r="F7">
            <v>50</v>
          </cell>
        </row>
      </sheetData>
      <sheetData sheetId="16"/>
      <sheetData sheetId="17"/>
      <sheetData sheetId="18"/>
      <sheetData sheetId="19"/>
      <sheetData sheetId="20"/>
      <sheetData sheetId="2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SKL2015_HB"/>
    </sheetNames>
    <sheetDataSet>
      <sheetData sheetId="0"/>
      <sheetData sheetId="1"/>
      <sheetData sheetId="2"/>
      <sheetData sheetId="3">
        <row r="12">
          <cell r="D12">
            <v>21794</v>
          </cell>
          <cell r="R12">
            <v>1572</v>
          </cell>
        </row>
        <row r="14">
          <cell r="D14">
            <v>0</v>
          </cell>
          <cell r="R14">
            <v>0</v>
          </cell>
        </row>
        <row r="17">
          <cell r="D17">
            <v>814</v>
          </cell>
          <cell r="R17">
            <v>274</v>
          </cell>
        </row>
        <row r="20">
          <cell r="D20">
            <v>0</v>
          </cell>
          <cell r="R20">
            <v>0</v>
          </cell>
        </row>
        <row r="24">
          <cell r="D24">
            <v>7374</v>
          </cell>
          <cell r="R24">
            <v>1529</v>
          </cell>
        </row>
        <row r="30">
          <cell r="D30">
            <v>22978</v>
          </cell>
          <cell r="R30">
            <v>1183</v>
          </cell>
        </row>
        <row r="35">
          <cell r="D35">
            <v>319</v>
          </cell>
          <cell r="R35">
            <v>319</v>
          </cell>
        </row>
        <row r="36">
          <cell r="D36">
            <v>551</v>
          </cell>
          <cell r="R36">
            <v>551</v>
          </cell>
        </row>
        <row r="40">
          <cell r="D40">
            <v>611</v>
          </cell>
          <cell r="R40">
            <v>121</v>
          </cell>
        </row>
      </sheetData>
      <sheetData sheetId="4"/>
      <sheetData sheetId="5"/>
      <sheetData sheetId="6"/>
      <sheetData sheetId="7"/>
      <sheetData sheetId="8"/>
      <sheetData sheetId="9"/>
      <sheetData sheetId="10"/>
      <sheetData sheetId="11"/>
      <sheetData sheetId="12"/>
      <sheetData sheetId="13"/>
      <sheetData sheetId="14">
        <row r="9">
          <cell r="F9">
            <v>26</v>
          </cell>
          <cell r="H9">
            <v>18</v>
          </cell>
          <cell r="I9">
            <v>90</v>
          </cell>
        </row>
        <row r="12">
          <cell r="G12">
            <v>4</v>
          </cell>
          <cell r="H12">
            <v>1</v>
          </cell>
          <cell r="I12">
            <v>10</v>
          </cell>
        </row>
        <row r="14">
          <cell r="G14">
            <v>2</v>
          </cell>
          <cell r="I14">
            <v>9</v>
          </cell>
        </row>
        <row r="15">
          <cell r="F15">
            <v>5</v>
          </cell>
          <cell r="G15">
            <v>23</v>
          </cell>
          <cell r="H15">
            <v>4</v>
          </cell>
          <cell r="I15">
            <v>57</v>
          </cell>
        </row>
        <row r="19">
          <cell r="I19">
            <v>11</v>
          </cell>
        </row>
        <row r="26">
          <cell r="E26">
            <v>6208</v>
          </cell>
          <cell r="H26">
            <v>2231</v>
          </cell>
        </row>
        <row r="29">
          <cell r="E29">
            <v>85</v>
          </cell>
        </row>
        <row r="31">
          <cell r="E31">
            <v>977</v>
          </cell>
        </row>
        <row r="32">
          <cell r="E32">
            <v>9454</v>
          </cell>
          <cell r="H32">
            <v>465</v>
          </cell>
        </row>
        <row r="53">
          <cell r="F53">
            <v>1</v>
          </cell>
          <cell r="H53">
            <v>4</v>
          </cell>
          <cell r="I53">
            <v>8</v>
          </cell>
        </row>
        <row r="56">
          <cell r="I56">
            <v>2</v>
          </cell>
        </row>
        <row r="58">
          <cell r="H58">
            <v>2</v>
          </cell>
          <cell r="I58">
            <v>5</v>
          </cell>
        </row>
        <row r="59">
          <cell r="F59">
            <v>1</v>
          </cell>
          <cell r="H59">
            <v>1</v>
          </cell>
          <cell r="I59">
            <v>6</v>
          </cell>
        </row>
        <row r="61">
          <cell r="G61">
            <v>1</v>
          </cell>
          <cell r="I61">
            <v>3</v>
          </cell>
        </row>
        <row r="62">
          <cell r="G62">
            <v>1</v>
          </cell>
          <cell r="I62">
            <v>3</v>
          </cell>
        </row>
        <row r="63">
          <cell r="I63">
            <v>1</v>
          </cell>
        </row>
        <row r="70">
          <cell r="E70">
            <v>201</v>
          </cell>
          <cell r="H70">
            <v>376</v>
          </cell>
        </row>
        <row r="75">
          <cell r="H75">
            <v>107</v>
          </cell>
        </row>
        <row r="76">
          <cell r="E76">
            <v>165</v>
          </cell>
          <cell r="H76">
            <v>11</v>
          </cell>
        </row>
        <row r="78">
          <cell r="E78">
            <v>203</v>
          </cell>
        </row>
      </sheetData>
      <sheetData sheetId="15">
        <row r="5">
          <cell r="F5">
            <v>48.876404494382022</v>
          </cell>
        </row>
        <row r="6">
          <cell r="D6">
            <v>159</v>
          </cell>
          <cell r="E6">
            <v>77</v>
          </cell>
          <cell r="F6">
            <v>48.427672955974842</v>
          </cell>
        </row>
        <row r="7">
          <cell r="D7">
            <v>19</v>
          </cell>
          <cell r="E7">
            <v>10</v>
          </cell>
          <cell r="F7">
            <v>52.631578947368418</v>
          </cell>
        </row>
      </sheetData>
      <sheetData sheetId="16"/>
      <sheetData sheetId="17"/>
      <sheetData sheetId="18"/>
      <sheetData sheetId="19"/>
      <sheetData sheetId="20"/>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22505</v>
          </cell>
          <cell r="R12">
            <v>1512</v>
          </cell>
        </row>
        <row r="13">
          <cell r="D13"/>
          <cell r="R13"/>
        </row>
        <row r="14">
          <cell r="D14">
            <v>0</v>
          </cell>
          <cell r="R14">
            <v>0</v>
          </cell>
        </row>
        <row r="17">
          <cell r="D17">
            <v>187</v>
          </cell>
          <cell r="R17">
            <v>187</v>
          </cell>
        </row>
        <row r="20">
          <cell r="D20">
            <v>0</v>
          </cell>
          <cell r="R20">
            <v>0</v>
          </cell>
        </row>
        <row r="24">
          <cell r="D24">
            <v>7467</v>
          </cell>
          <cell r="R24">
            <v>1415</v>
          </cell>
        </row>
        <row r="29">
          <cell r="D29"/>
          <cell r="R29"/>
        </row>
        <row r="30">
          <cell r="D30">
            <v>24431</v>
          </cell>
          <cell r="R30">
            <v>1363</v>
          </cell>
        </row>
        <row r="35">
          <cell r="D35">
            <v>328</v>
          </cell>
          <cell r="R35">
            <v>328</v>
          </cell>
        </row>
        <row r="36">
          <cell r="D36">
            <v>542</v>
          </cell>
          <cell r="R36">
            <v>542</v>
          </cell>
        </row>
        <row r="40">
          <cell r="D40">
            <v>685</v>
          </cell>
          <cell r="R40">
            <v>128</v>
          </cell>
        </row>
      </sheetData>
      <sheetData sheetId="4"/>
      <sheetData sheetId="5"/>
      <sheetData sheetId="6"/>
      <sheetData sheetId="7"/>
      <sheetData sheetId="8"/>
      <sheetData sheetId="9"/>
      <sheetData sheetId="10"/>
      <sheetData sheetId="11"/>
      <sheetData sheetId="12"/>
      <sheetData sheetId="13"/>
      <sheetData sheetId="14">
        <row r="9">
          <cell r="D9">
            <v>46</v>
          </cell>
          <cell r="F9">
            <v>27</v>
          </cell>
          <cell r="G9">
            <v>0</v>
          </cell>
          <cell r="H9">
            <v>19</v>
          </cell>
          <cell r="I9">
            <v>91</v>
          </cell>
        </row>
        <row r="10">
          <cell r="D10">
            <v>0</v>
          </cell>
          <cell r="F10">
            <v>0</v>
          </cell>
          <cell r="G10">
            <v>0</v>
          </cell>
          <cell r="H10">
            <v>0</v>
          </cell>
          <cell r="I10">
            <v>0</v>
          </cell>
        </row>
        <row r="11">
          <cell r="D11">
            <v>0</v>
          </cell>
          <cell r="F11">
            <v>0</v>
          </cell>
          <cell r="G11">
            <v>0</v>
          </cell>
          <cell r="H11">
            <v>0</v>
          </cell>
          <cell r="I11">
            <v>0</v>
          </cell>
        </row>
        <row r="12">
          <cell r="D12">
            <v>0</v>
          </cell>
          <cell r="F12">
            <v>0</v>
          </cell>
          <cell r="G12">
            <v>0</v>
          </cell>
          <cell r="H12">
            <v>0</v>
          </cell>
          <cell r="I12">
            <v>0</v>
          </cell>
        </row>
        <row r="13">
          <cell r="D13">
            <v>0</v>
          </cell>
          <cell r="F13">
            <v>0</v>
          </cell>
          <cell r="G13">
            <v>0</v>
          </cell>
          <cell r="H13">
            <v>0</v>
          </cell>
          <cell r="I13">
            <v>0</v>
          </cell>
        </row>
        <row r="14">
          <cell r="D14">
            <v>2</v>
          </cell>
          <cell r="F14">
            <v>0</v>
          </cell>
          <cell r="G14">
            <v>2</v>
          </cell>
          <cell r="H14">
            <v>0</v>
          </cell>
          <cell r="I14">
            <v>9</v>
          </cell>
        </row>
        <row r="15">
          <cell r="D15">
            <v>31</v>
          </cell>
          <cell r="F15">
            <v>5</v>
          </cell>
          <cell r="G15">
            <v>22</v>
          </cell>
          <cell r="H15">
            <v>4</v>
          </cell>
          <cell r="I15">
            <v>53</v>
          </cell>
        </row>
        <row r="16">
          <cell r="F16">
            <v>0</v>
          </cell>
          <cell r="G16">
            <v>0</v>
          </cell>
          <cell r="H16">
            <v>0</v>
          </cell>
          <cell r="I16">
            <v>0</v>
          </cell>
        </row>
        <row r="17">
          <cell r="D17">
            <v>0</v>
          </cell>
          <cell r="I17">
            <v>0</v>
          </cell>
        </row>
        <row r="18">
          <cell r="I18">
            <v>0</v>
          </cell>
        </row>
        <row r="19">
          <cell r="D19">
            <v>0</v>
          </cell>
          <cell r="F19">
            <v>0</v>
          </cell>
          <cell r="G19">
            <v>0</v>
          </cell>
          <cell r="H19">
            <v>0</v>
          </cell>
          <cell r="I19">
            <v>9</v>
          </cell>
        </row>
        <row r="26">
          <cell r="D26">
            <v>9001</v>
          </cell>
          <cell r="E26">
            <v>6808</v>
          </cell>
          <cell r="H26">
            <v>2193</v>
          </cell>
        </row>
        <row r="27">
          <cell r="D27">
            <v>0</v>
          </cell>
          <cell r="E27">
            <v>0</v>
          </cell>
          <cell r="H27">
            <v>0</v>
          </cell>
        </row>
        <row r="28">
          <cell r="D28">
            <v>0</v>
          </cell>
          <cell r="E28">
            <v>0</v>
          </cell>
          <cell r="H28">
            <v>0</v>
          </cell>
        </row>
        <row r="29">
          <cell r="D29">
            <v>0</v>
          </cell>
          <cell r="E29">
            <v>0</v>
          </cell>
          <cell r="H29">
            <v>0</v>
          </cell>
        </row>
        <row r="30">
          <cell r="D30">
            <v>0</v>
          </cell>
          <cell r="E30">
            <v>0</v>
          </cell>
          <cell r="H30">
            <v>0</v>
          </cell>
        </row>
        <row r="31">
          <cell r="D31">
            <v>758</v>
          </cell>
          <cell r="E31">
            <v>758</v>
          </cell>
          <cell r="H31">
            <v>0</v>
          </cell>
        </row>
        <row r="32">
          <cell r="D32">
            <v>10432</v>
          </cell>
          <cell r="E32">
            <v>9934</v>
          </cell>
          <cell r="H32">
            <v>498</v>
          </cell>
        </row>
        <row r="33">
          <cell r="E33">
            <v>0</v>
          </cell>
          <cell r="H33">
            <v>0</v>
          </cell>
        </row>
        <row r="34">
          <cell r="D34">
            <v>0</v>
          </cell>
        </row>
        <row r="36">
          <cell r="D36">
            <v>0</v>
          </cell>
          <cell r="E36">
            <v>0</v>
          </cell>
          <cell r="H36">
            <v>0</v>
          </cell>
        </row>
        <row r="53">
          <cell r="D53">
            <v>6</v>
          </cell>
          <cell r="F53">
            <v>2</v>
          </cell>
          <cell r="G53">
            <v>0</v>
          </cell>
          <cell r="H53">
            <v>4</v>
          </cell>
          <cell r="I53">
            <v>7</v>
          </cell>
        </row>
        <row r="54">
          <cell r="D54">
            <v>0</v>
          </cell>
          <cell r="F54">
            <v>0</v>
          </cell>
          <cell r="G54">
            <v>0</v>
          </cell>
          <cell r="H54">
            <v>0</v>
          </cell>
          <cell r="I54">
            <v>0</v>
          </cell>
        </row>
        <row r="55">
          <cell r="D55">
            <v>0</v>
          </cell>
          <cell r="F55">
            <v>0</v>
          </cell>
          <cell r="G55">
            <v>0</v>
          </cell>
          <cell r="H55">
            <v>0</v>
          </cell>
          <cell r="I55">
            <v>0</v>
          </cell>
        </row>
        <row r="56">
          <cell r="D56">
            <v>0</v>
          </cell>
          <cell r="F56">
            <v>0</v>
          </cell>
          <cell r="G56">
            <v>0</v>
          </cell>
          <cell r="H56">
            <v>0</v>
          </cell>
          <cell r="I56">
            <v>2</v>
          </cell>
        </row>
        <row r="57">
          <cell r="D57">
            <v>0</v>
          </cell>
          <cell r="F57">
            <v>0</v>
          </cell>
          <cell r="G57">
            <v>0</v>
          </cell>
          <cell r="H57">
            <v>0</v>
          </cell>
          <cell r="I57">
            <v>0</v>
          </cell>
        </row>
        <row r="58">
          <cell r="D58">
            <v>0</v>
          </cell>
          <cell r="F58">
            <v>0</v>
          </cell>
          <cell r="G58">
            <v>0</v>
          </cell>
          <cell r="H58">
            <v>0</v>
          </cell>
          <cell r="I58">
            <v>4</v>
          </cell>
        </row>
        <row r="59">
          <cell r="D59">
            <v>1</v>
          </cell>
          <cell r="F59">
            <v>1</v>
          </cell>
          <cell r="G59">
            <v>0</v>
          </cell>
          <cell r="H59">
            <v>0</v>
          </cell>
          <cell r="I59">
            <v>6</v>
          </cell>
        </row>
        <row r="60">
          <cell r="F60">
            <v>0</v>
          </cell>
          <cell r="G60">
            <v>0</v>
          </cell>
          <cell r="H60">
            <v>0</v>
          </cell>
          <cell r="I60">
            <v>0</v>
          </cell>
        </row>
        <row r="61">
          <cell r="D61">
            <v>1</v>
          </cell>
          <cell r="F61">
            <v>0</v>
          </cell>
          <cell r="G61">
            <v>1</v>
          </cell>
          <cell r="H61">
            <v>0</v>
          </cell>
          <cell r="I61">
            <v>3</v>
          </cell>
        </row>
        <row r="62">
          <cell r="F62">
            <v>0</v>
          </cell>
          <cell r="G62">
            <v>1</v>
          </cell>
          <cell r="H62">
            <v>0</v>
          </cell>
          <cell r="I62">
            <v>3</v>
          </cell>
        </row>
        <row r="63">
          <cell r="D63">
            <v>0</v>
          </cell>
          <cell r="F63">
            <v>0</v>
          </cell>
          <cell r="G63">
            <v>0</v>
          </cell>
          <cell r="H63">
            <v>0</v>
          </cell>
          <cell r="I63">
            <v>1</v>
          </cell>
        </row>
        <row r="68">
          <cell r="H68"/>
        </row>
        <row r="70">
          <cell r="D70">
            <v>581</v>
          </cell>
          <cell r="E70">
            <v>200</v>
          </cell>
          <cell r="H70">
            <v>381</v>
          </cell>
        </row>
        <row r="71">
          <cell r="D71">
            <v>0</v>
          </cell>
          <cell r="E71">
            <v>0</v>
          </cell>
        </row>
        <row r="72">
          <cell r="D72">
            <v>0</v>
          </cell>
          <cell r="E72">
            <v>0</v>
          </cell>
          <cell r="H72">
            <v>0</v>
          </cell>
        </row>
        <row r="73">
          <cell r="D73">
            <v>0</v>
          </cell>
          <cell r="E73">
            <v>0</v>
          </cell>
        </row>
        <row r="74">
          <cell r="D74">
            <v>0</v>
          </cell>
          <cell r="E74">
            <v>0</v>
          </cell>
          <cell r="H74">
            <v>0</v>
          </cell>
        </row>
        <row r="75">
          <cell r="D75">
            <v>0</v>
          </cell>
          <cell r="E75">
            <v>0</v>
          </cell>
          <cell r="H75">
            <v>0</v>
          </cell>
        </row>
        <row r="76">
          <cell r="D76">
            <v>160</v>
          </cell>
          <cell r="E76">
            <v>160</v>
          </cell>
          <cell r="H76">
            <v>0</v>
          </cell>
        </row>
        <row r="77">
          <cell r="E77">
            <v>0</v>
          </cell>
          <cell r="H77">
            <v>0</v>
          </cell>
        </row>
        <row r="78">
          <cell r="D78">
            <v>234</v>
          </cell>
          <cell r="E78">
            <v>234</v>
          </cell>
          <cell r="H78">
            <v>0</v>
          </cell>
        </row>
        <row r="79">
          <cell r="E79">
            <v>86</v>
          </cell>
          <cell r="H79">
            <v>0</v>
          </cell>
        </row>
        <row r="80">
          <cell r="D80">
            <v>0</v>
          </cell>
          <cell r="E80">
            <v>0</v>
          </cell>
          <cell r="H80">
            <v>0</v>
          </cell>
        </row>
        <row r="97">
          <cell r="D97">
            <v>52</v>
          </cell>
        </row>
        <row r="98">
          <cell r="D98">
            <v>0</v>
          </cell>
        </row>
        <row r="99">
          <cell r="D99">
            <v>0</v>
          </cell>
        </row>
        <row r="100">
          <cell r="D100">
            <v>0</v>
          </cell>
        </row>
        <row r="101">
          <cell r="D101">
            <v>0</v>
          </cell>
        </row>
        <row r="102">
          <cell r="D102">
            <v>2</v>
          </cell>
        </row>
        <row r="103">
          <cell r="D103">
            <v>32</v>
          </cell>
        </row>
        <row r="105">
          <cell r="D105">
            <v>1</v>
          </cell>
        </row>
        <row r="107">
          <cell r="D107">
            <v>0</v>
          </cell>
        </row>
        <row r="114">
          <cell r="D114">
            <v>9582</v>
          </cell>
        </row>
        <row r="115">
          <cell r="D115">
            <v>0</v>
          </cell>
        </row>
        <row r="116">
          <cell r="D116">
            <v>0</v>
          </cell>
        </row>
        <row r="117">
          <cell r="D117">
            <v>0</v>
          </cell>
        </row>
        <row r="118">
          <cell r="D118">
            <v>0</v>
          </cell>
        </row>
        <row r="119">
          <cell r="D119">
            <v>758</v>
          </cell>
        </row>
        <row r="120">
          <cell r="D120">
            <v>10592</v>
          </cell>
        </row>
        <row r="122">
          <cell r="D122">
            <v>234</v>
          </cell>
        </row>
        <row r="124">
          <cell r="D124">
            <v>0</v>
          </cell>
        </row>
      </sheetData>
      <sheetData sheetId="15">
        <row r="5">
          <cell r="F5">
            <v>50</v>
          </cell>
        </row>
        <row r="6">
          <cell r="D6">
            <v>154</v>
          </cell>
          <cell r="E6">
            <v>79</v>
          </cell>
          <cell r="F6">
            <v>51.298701298701296</v>
          </cell>
        </row>
        <row r="7">
          <cell r="D7">
            <v>18</v>
          </cell>
          <cell r="E7">
            <v>7</v>
          </cell>
          <cell r="F7">
            <v>38.888888888888886</v>
          </cell>
        </row>
      </sheetData>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52664</v>
          </cell>
          <cell r="R12">
            <v>5033</v>
          </cell>
        </row>
        <row r="13">
          <cell r="D13">
            <v>282</v>
          </cell>
        </row>
        <row r="14">
          <cell r="D14">
            <v>0</v>
          </cell>
          <cell r="R14">
            <v>0</v>
          </cell>
        </row>
        <row r="17">
          <cell r="D17">
            <v>2369</v>
          </cell>
          <cell r="R17">
            <v>427</v>
          </cell>
        </row>
        <row r="20">
          <cell r="D20">
            <v>0</v>
          </cell>
          <cell r="R20">
            <v>0</v>
          </cell>
        </row>
        <row r="24">
          <cell r="D24">
            <v>35013</v>
          </cell>
          <cell r="R24">
            <v>2775</v>
          </cell>
        </row>
        <row r="29">
          <cell r="D29">
            <v>4187</v>
          </cell>
          <cell r="R29">
            <v>1454</v>
          </cell>
        </row>
        <row r="30">
          <cell r="D30">
            <v>42443</v>
          </cell>
          <cell r="R30">
            <v>3303</v>
          </cell>
        </row>
        <row r="35">
          <cell r="D35">
            <v>952</v>
          </cell>
          <cell r="R35">
            <v>952</v>
          </cell>
        </row>
        <row r="36">
          <cell r="D36">
            <v>1493</v>
          </cell>
          <cell r="R36">
            <v>1493</v>
          </cell>
        </row>
        <row r="40">
          <cell r="D40">
            <v>5533</v>
          </cell>
          <cell r="R40">
            <v>604</v>
          </cell>
        </row>
      </sheetData>
      <sheetData sheetId="4"/>
      <sheetData sheetId="5"/>
      <sheetData sheetId="6"/>
      <sheetData sheetId="7"/>
      <sheetData sheetId="8"/>
      <sheetData sheetId="9"/>
      <sheetData sheetId="10"/>
      <sheetData sheetId="11"/>
      <sheetData sheetId="12"/>
      <sheetData sheetId="13">
        <row r="9">
          <cell r="F9">
            <v>28</v>
          </cell>
          <cell r="G9">
            <v>13</v>
          </cell>
          <cell r="H9">
            <v>83</v>
          </cell>
          <cell r="I9">
            <v>192</v>
          </cell>
        </row>
        <row r="10">
          <cell r="F10">
            <v>1</v>
          </cell>
          <cell r="G10">
            <v>0</v>
          </cell>
          <cell r="H10">
            <v>0</v>
          </cell>
          <cell r="I10">
            <v>5</v>
          </cell>
        </row>
        <row r="12">
          <cell r="F12">
            <v>3</v>
          </cell>
          <cell r="G12">
            <v>4</v>
          </cell>
          <cell r="H12">
            <v>8</v>
          </cell>
          <cell r="I12">
            <v>33</v>
          </cell>
        </row>
        <row r="14">
          <cell r="F14">
            <v>2</v>
          </cell>
          <cell r="G14">
            <v>2</v>
          </cell>
          <cell r="H14">
            <v>58</v>
          </cell>
          <cell r="I14">
            <v>67</v>
          </cell>
        </row>
        <row r="15">
          <cell r="F15">
            <v>24</v>
          </cell>
          <cell r="G15">
            <v>13</v>
          </cell>
          <cell r="H15">
            <v>11</v>
          </cell>
          <cell r="I15">
            <v>60</v>
          </cell>
        </row>
        <row r="17">
          <cell r="F17">
            <v>23</v>
          </cell>
          <cell r="H17">
            <v>5</v>
          </cell>
          <cell r="I17">
            <v>37</v>
          </cell>
        </row>
        <row r="24">
          <cell r="E24">
            <v>8315</v>
          </cell>
          <cell r="H24">
            <v>12465</v>
          </cell>
        </row>
        <row r="25">
          <cell r="E25">
            <v>68</v>
          </cell>
        </row>
        <row r="26">
          <cell r="E26">
            <v>0</v>
          </cell>
        </row>
        <row r="27">
          <cell r="E27">
            <v>593</v>
          </cell>
          <cell r="H27">
            <v>600</v>
          </cell>
        </row>
        <row r="28">
          <cell r="E28">
            <v>0</v>
          </cell>
        </row>
        <row r="29">
          <cell r="E29">
            <v>2031</v>
          </cell>
          <cell r="H29">
            <v>30207</v>
          </cell>
        </row>
        <row r="30">
          <cell r="E30">
            <v>20482</v>
          </cell>
          <cell r="H30">
            <v>4218</v>
          </cell>
        </row>
        <row r="31">
          <cell r="E31">
            <v>1228</v>
          </cell>
          <cell r="H31">
            <v>725</v>
          </cell>
        </row>
        <row r="34">
          <cell r="E34">
            <v>2885</v>
          </cell>
          <cell r="H34">
            <v>245</v>
          </cell>
        </row>
        <row r="51">
          <cell r="F51">
            <v>5</v>
          </cell>
          <cell r="H51">
            <v>8</v>
          </cell>
          <cell r="I51">
            <v>29</v>
          </cell>
        </row>
        <row r="54">
          <cell r="F54">
            <v>1</v>
          </cell>
          <cell r="G54">
            <v>1</v>
          </cell>
          <cell r="H54">
            <v>5</v>
          </cell>
          <cell r="I54">
            <v>10</v>
          </cell>
        </row>
        <row r="56">
          <cell r="F56">
            <v>2</v>
          </cell>
          <cell r="H56">
            <v>5</v>
          </cell>
          <cell r="I56">
            <v>11</v>
          </cell>
        </row>
        <row r="57">
          <cell r="F57">
            <v>4</v>
          </cell>
          <cell r="G57">
            <v>1</v>
          </cell>
          <cell r="H57">
            <v>9</v>
          </cell>
          <cell r="I57">
            <v>29</v>
          </cell>
        </row>
        <row r="58">
          <cell r="I58">
            <v>6</v>
          </cell>
        </row>
        <row r="59">
          <cell r="F59">
            <v>5</v>
          </cell>
          <cell r="I59">
            <v>5</v>
          </cell>
        </row>
        <row r="66">
          <cell r="E66">
            <v>796</v>
          </cell>
          <cell r="H66">
            <v>311</v>
          </cell>
        </row>
        <row r="67">
          <cell r="E67">
            <v>0</v>
          </cell>
        </row>
        <row r="68">
          <cell r="E68">
            <v>0</v>
          </cell>
        </row>
        <row r="69">
          <cell r="E69">
            <v>105</v>
          </cell>
          <cell r="H69">
            <v>165</v>
          </cell>
        </row>
        <row r="70">
          <cell r="E70">
            <v>0</v>
          </cell>
        </row>
        <row r="71">
          <cell r="E71">
            <v>278</v>
          </cell>
          <cell r="H71">
            <v>2155</v>
          </cell>
        </row>
        <row r="72">
          <cell r="E72">
            <v>1580</v>
          </cell>
          <cell r="H72">
            <v>1353</v>
          </cell>
        </row>
        <row r="73">
          <cell r="E73">
            <v>0</v>
          </cell>
          <cell r="H73">
            <v>86</v>
          </cell>
        </row>
        <row r="74">
          <cell r="E74">
            <v>0</v>
          </cell>
        </row>
        <row r="75">
          <cell r="E75">
            <v>0</v>
          </cell>
        </row>
        <row r="76">
          <cell r="E76">
            <v>533</v>
          </cell>
        </row>
      </sheetData>
      <sheetData sheetId="14">
        <row r="5">
          <cell r="F5">
            <v>67.307692307692307</v>
          </cell>
        </row>
        <row r="6">
          <cell r="D6">
            <v>346</v>
          </cell>
          <cell r="E6">
            <v>245</v>
          </cell>
          <cell r="F6">
            <v>70.809248554913296</v>
          </cell>
        </row>
        <row r="7">
          <cell r="D7">
            <v>70</v>
          </cell>
          <cell r="E7">
            <v>35</v>
          </cell>
          <cell r="F7">
            <v>50</v>
          </cell>
        </row>
      </sheetData>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HH-Stala"/>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53341</v>
          </cell>
          <cell r="R12">
            <v>5203</v>
          </cell>
        </row>
        <row r="13">
          <cell r="D13">
            <v>308</v>
          </cell>
          <cell r="R13">
            <v>36</v>
          </cell>
        </row>
        <row r="14">
          <cell r="D14">
            <v>0</v>
          </cell>
          <cell r="R14">
            <v>0</v>
          </cell>
        </row>
        <row r="17">
          <cell r="D17">
            <v>0</v>
          </cell>
          <cell r="R17">
            <v>0</v>
          </cell>
        </row>
        <row r="20">
          <cell r="D20">
            <v>0</v>
          </cell>
          <cell r="R20">
            <v>0</v>
          </cell>
        </row>
        <row r="24">
          <cell r="D24">
            <v>34156</v>
          </cell>
          <cell r="R24">
            <v>2757</v>
          </cell>
        </row>
        <row r="29">
          <cell r="D29">
            <v>4456</v>
          </cell>
          <cell r="R29">
            <v>1341</v>
          </cell>
        </row>
        <row r="30">
          <cell r="D30">
            <v>45903</v>
          </cell>
          <cell r="R30">
            <v>3842</v>
          </cell>
        </row>
        <row r="35">
          <cell r="D35">
            <v>958</v>
          </cell>
          <cell r="R35">
            <v>958</v>
          </cell>
        </row>
        <row r="36">
          <cell r="D36">
            <v>1477</v>
          </cell>
          <cell r="R36">
            <v>1477</v>
          </cell>
        </row>
        <row r="40">
          <cell r="D40">
            <v>5230</v>
          </cell>
          <cell r="R40">
            <v>584</v>
          </cell>
        </row>
      </sheetData>
      <sheetData sheetId="4"/>
      <sheetData sheetId="5"/>
      <sheetData sheetId="6"/>
      <sheetData sheetId="7"/>
      <sheetData sheetId="8"/>
      <sheetData sheetId="9"/>
      <sheetData sheetId="10"/>
      <sheetData sheetId="11"/>
      <sheetData sheetId="12"/>
      <sheetData sheetId="13"/>
      <sheetData sheetId="14">
        <row r="9">
          <cell r="F9">
            <v>26</v>
          </cell>
          <cell r="G9">
            <v>21</v>
          </cell>
          <cell r="H9">
            <v>141</v>
          </cell>
          <cell r="I9">
            <v>190</v>
          </cell>
        </row>
        <row r="10">
          <cell r="F10">
            <v>3</v>
          </cell>
          <cell r="H10">
            <v>1</v>
          </cell>
          <cell r="I10">
            <v>4</v>
          </cell>
        </row>
        <row r="14">
          <cell r="F14">
            <v>3</v>
          </cell>
          <cell r="G14">
            <v>2</v>
          </cell>
          <cell r="H14">
            <v>57</v>
          </cell>
          <cell r="I14">
            <v>67</v>
          </cell>
        </row>
        <row r="15">
          <cell r="F15">
            <v>28</v>
          </cell>
          <cell r="G15">
            <v>16</v>
          </cell>
          <cell r="H15">
            <v>9</v>
          </cell>
          <cell r="I15">
            <v>61</v>
          </cell>
        </row>
        <row r="16">
          <cell r="F16">
            <v>5</v>
          </cell>
          <cell r="G16">
            <v>4</v>
          </cell>
          <cell r="H16">
            <v>1</v>
          </cell>
          <cell r="I16">
            <v>13</v>
          </cell>
        </row>
        <row r="19">
          <cell r="F19">
            <v>18</v>
          </cell>
          <cell r="G19">
            <v>2</v>
          </cell>
          <cell r="H19">
            <v>5</v>
          </cell>
          <cell r="I19">
            <v>26</v>
          </cell>
        </row>
        <row r="26">
          <cell r="E26">
            <v>11897</v>
          </cell>
          <cell r="H26">
            <v>35659</v>
          </cell>
        </row>
        <row r="27">
          <cell r="E27">
            <v>209</v>
          </cell>
          <cell r="H27">
            <v>63</v>
          </cell>
        </row>
        <row r="28">
          <cell r="E28">
            <v>0</v>
          </cell>
        </row>
        <row r="29">
          <cell r="E29">
            <v>0</v>
          </cell>
        </row>
        <row r="30">
          <cell r="E30">
            <v>0</v>
          </cell>
        </row>
        <row r="31">
          <cell r="E31">
            <v>2547</v>
          </cell>
          <cell r="H31">
            <v>28507</v>
          </cell>
        </row>
        <row r="32">
          <cell r="E32">
            <v>27896</v>
          </cell>
          <cell r="H32">
            <v>5024</v>
          </cell>
        </row>
        <row r="33">
          <cell r="E33">
            <v>2182</v>
          </cell>
          <cell r="H33">
            <v>582</v>
          </cell>
        </row>
        <row r="36">
          <cell r="E36">
            <v>2924</v>
          </cell>
          <cell r="H36">
            <v>1199</v>
          </cell>
        </row>
        <row r="53">
          <cell r="F53">
            <v>5</v>
          </cell>
          <cell r="H53">
            <v>15</v>
          </cell>
          <cell r="I53">
            <v>30</v>
          </cell>
        </row>
        <row r="54">
          <cell r="I54">
            <v>1</v>
          </cell>
        </row>
        <row r="58">
          <cell r="F58">
            <v>2</v>
          </cell>
          <cell r="H58">
            <v>5</v>
          </cell>
          <cell r="I58">
            <v>11</v>
          </cell>
        </row>
        <row r="59">
          <cell r="F59">
            <v>5</v>
          </cell>
          <cell r="G59">
            <v>2</v>
          </cell>
          <cell r="H59">
            <v>7</v>
          </cell>
          <cell r="I59">
            <v>21</v>
          </cell>
        </row>
        <row r="60">
          <cell r="F60">
            <v>1</v>
          </cell>
          <cell r="H60">
            <v>5</v>
          </cell>
          <cell r="I60">
            <v>6</v>
          </cell>
        </row>
        <row r="61">
          <cell r="G61">
            <v>1</v>
          </cell>
          <cell r="I61">
            <v>6</v>
          </cell>
        </row>
        <row r="62">
          <cell r="I62">
            <v>6</v>
          </cell>
        </row>
        <row r="63">
          <cell r="F63">
            <v>5</v>
          </cell>
          <cell r="I63">
            <v>5</v>
          </cell>
        </row>
        <row r="70">
          <cell r="E70">
            <v>787</v>
          </cell>
          <cell r="H70">
            <v>2633</v>
          </cell>
        </row>
        <row r="71">
          <cell r="E71">
            <v>0</v>
          </cell>
        </row>
        <row r="72">
          <cell r="E72">
            <v>0</v>
          </cell>
        </row>
        <row r="73">
          <cell r="E73">
            <v>0</v>
          </cell>
        </row>
        <row r="74">
          <cell r="E74">
            <v>0</v>
          </cell>
        </row>
        <row r="75">
          <cell r="E75">
            <v>294</v>
          </cell>
          <cell r="H75">
            <v>2118</v>
          </cell>
        </row>
        <row r="76">
          <cell r="E76">
            <v>1460</v>
          </cell>
          <cell r="H76">
            <v>2787</v>
          </cell>
        </row>
        <row r="77">
          <cell r="E77">
            <v>19</v>
          </cell>
          <cell r="H77">
            <v>1322</v>
          </cell>
        </row>
        <row r="78">
          <cell r="E78">
            <v>210</v>
          </cell>
        </row>
        <row r="79">
          <cell r="E79">
            <v>0</v>
          </cell>
        </row>
        <row r="80">
          <cell r="E80">
            <v>508</v>
          </cell>
        </row>
      </sheetData>
      <sheetData sheetId="15">
        <row r="5">
          <cell r="F5">
            <v>94.320987654320987</v>
          </cell>
        </row>
        <row r="6">
          <cell r="D6">
            <v>335</v>
          </cell>
          <cell r="E6">
            <v>335</v>
          </cell>
          <cell r="F6">
            <v>100</v>
          </cell>
        </row>
        <row r="7">
          <cell r="D7">
            <v>70</v>
          </cell>
          <cell r="E7">
            <v>47</v>
          </cell>
          <cell r="F7">
            <v>67.142857142857139</v>
          </cell>
        </row>
      </sheetData>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SKL2014_HH"/>
    </sheetNames>
    <sheetDataSet>
      <sheetData sheetId="0"/>
      <sheetData sheetId="1"/>
      <sheetData sheetId="2"/>
      <sheetData sheetId="3">
        <row r="12">
          <cell r="D12">
            <v>54469</v>
          </cell>
          <cell r="R12">
            <v>5381</v>
          </cell>
        </row>
        <row r="13">
          <cell r="D13">
            <v>362</v>
          </cell>
          <cell r="R13">
            <v>69</v>
          </cell>
        </row>
        <row r="14">
          <cell r="D14">
            <v>0</v>
          </cell>
          <cell r="R14">
            <v>0</v>
          </cell>
        </row>
        <row r="17">
          <cell r="D17">
            <v>0</v>
          </cell>
          <cell r="R17">
            <v>0</v>
          </cell>
        </row>
        <row r="20">
          <cell r="D20">
            <v>0</v>
          </cell>
          <cell r="R20">
            <v>0</v>
          </cell>
        </row>
        <row r="24">
          <cell r="D24">
            <v>34314</v>
          </cell>
          <cell r="R24">
            <v>2697</v>
          </cell>
        </row>
        <row r="29">
          <cell r="D29">
            <v>4390</v>
          </cell>
          <cell r="R29">
            <v>1287</v>
          </cell>
        </row>
        <row r="30">
          <cell r="D30">
            <v>45946</v>
          </cell>
          <cell r="R30">
            <v>3839</v>
          </cell>
        </row>
        <row r="35">
          <cell r="D35">
            <v>965</v>
          </cell>
          <cell r="R35">
            <v>965</v>
          </cell>
        </row>
        <row r="36">
          <cell r="D36">
            <v>1469</v>
          </cell>
          <cell r="R36">
            <v>1469</v>
          </cell>
        </row>
        <row r="40">
          <cell r="D40">
            <v>4957</v>
          </cell>
          <cell r="R40">
            <v>604</v>
          </cell>
        </row>
      </sheetData>
      <sheetData sheetId="4"/>
      <sheetData sheetId="5"/>
      <sheetData sheetId="6"/>
      <sheetData sheetId="7"/>
      <sheetData sheetId="8"/>
      <sheetData sheetId="9"/>
      <sheetData sheetId="10"/>
      <sheetData sheetId="11"/>
      <sheetData sheetId="12"/>
      <sheetData sheetId="13"/>
      <sheetData sheetId="14">
        <row r="9">
          <cell r="F9">
            <v>27</v>
          </cell>
          <cell r="G9">
            <v>21</v>
          </cell>
          <cell r="H9">
            <v>141</v>
          </cell>
          <cell r="I9">
            <v>190</v>
          </cell>
        </row>
        <row r="10">
          <cell r="F10">
            <v>3</v>
          </cell>
          <cell r="H10">
            <v>1</v>
          </cell>
          <cell r="I10">
            <v>4</v>
          </cell>
        </row>
        <row r="14">
          <cell r="F14">
            <v>3</v>
          </cell>
          <cell r="G14">
            <v>3</v>
          </cell>
          <cell r="H14">
            <v>56</v>
          </cell>
          <cell r="I14">
            <v>62</v>
          </cell>
        </row>
        <row r="15">
          <cell r="F15">
            <v>26</v>
          </cell>
          <cell r="G15">
            <v>19</v>
          </cell>
          <cell r="H15">
            <v>12</v>
          </cell>
          <cell r="I15">
            <v>59</v>
          </cell>
        </row>
        <row r="16">
          <cell r="F16">
            <v>5</v>
          </cell>
          <cell r="G16">
            <v>4</v>
          </cell>
          <cell r="H16">
            <v>3</v>
          </cell>
          <cell r="I16">
            <v>13</v>
          </cell>
        </row>
        <row r="19">
          <cell r="F19">
            <v>18</v>
          </cell>
          <cell r="G19">
            <v>2</v>
          </cell>
          <cell r="H19">
            <v>5</v>
          </cell>
          <cell r="I19">
            <v>26</v>
          </cell>
        </row>
        <row r="26">
          <cell r="E26">
            <v>11809</v>
          </cell>
          <cell r="H26">
            <v>36954</v>
          </cell>
        </row>
        <row r="27">
          <cell r="E27">
            <v>206</v>
          </cell>
          <cell r="H27">
            <v>87</v>
          </cell>
        </row>
        <row r="28">
          <cell r="E28">
            <v>0</v>
          </cell>
        </row>
        <row r="29">
          <cell r="E29">
            <v>0</v>
          </cell>
        </row>
        <row r="30">
          <cell r="E30">
            <v>0</v>
          </cell>
        </row>
        <row r="31">
          <cell r="E31">
            <v>2482</v>
          </cell>
          <cell r="H31">
            <v>29135</v>
          </cell>
        </row>
        <row r="32">
          <cell r="E32">
            <v>26448</v>
          </cell>
          <cell r="H32">
            <v>7243</v>
          </cell>
        </row>
        <row r="33">
          <cell r="E33">
            <v>1957</v>
          </cell>
          <cell r="H33">
            <v>759</v>
          </cell>
        </row>
        <row r="36">
          <cell r="E36">
            <v>2753</v>
          </cell>
          <cell r="H36">
            <v>1123</v>
          </cell>
        </row>
        <row r="53">
          <cell r="F53">
            <v>6</v>
          </cell>
          <cell r="H53">
            <v>18</v>
          </cell>
          <cell r="I53">
            <v>31</v>
          </cell>
        </row>
        <row r="54">
          <cell r="I54">
            <v>1</v>
          </cell>
        </row>
        <row r="58">
          <cell r="F58">
            <v>2</v>
          </cell>
          <cell r="H58">
            <v>5</v>
          </cell>
          <cell r="I58">
            <v>11</v>
          </cell>
        </row>
        <row r="59">
          <cell r="F59">
            <v>5</v>
          </cell>
          <cell r="G59">
            <v>2</v>
          </cell>
          <cell r="H59">
            <v>8</v>
          </cell>
          <cell r="I59">
            <v>21</v>
          </cell>
        </row>
        <row r="60">
          <cell r="F60">
            <v>1</v>
          </cell>
          <cell r="H60">
            <v>5</v>
          </cell>
          <cell r="I60">
            <v>12</v>
          </cell>
        </row>
        <row r="61">
          <cell r="G61">
            <v>1</v>
          </cell>
          <cell r="I61">
            <v>6</v>
          </cell>
        </row>
        <row r="63">
          <cell r="F63">
            <v>5</v>
          </cell>
          <cell r="I63">
            <v>5</v>
          </cell>
        </row>
        <row r="70">
          <cell r="E70">
            <v>901</v>
          </cell>
          <cell r="H70">
            <v>3034</v>
          </cell>
        </row>
        <row r="71">
          <cell r="E71">
            <v>0</v>
          </cell>
        </row>
        <row r="72">
          <cell r="E72">
            <v>0</v>
          </cell>
        </row>
        <row r="73">
          <cell r="E73">
            <v>0</v>
          </cell>
        </row>
        <row r="74">
          <cell r="E74">
            <v>0</v>
          </cell>
        </row>
        <row r="75">
          <cell r="E75">
            <v>275</v>
          </cell>
          <cell r="H75">
            <v>2046</v>
          </cell>
        </row>
        <row r="76">
          <cell r="E76">
            <v>1492</v>
          </cell>
          <cell r="H76">
            <v>2991</v>
          </cell>
        </row>
        <row r="77">
          <cell r="E77">
            <v>27</v>
          </cell>
          <cell r="H77">
            <v>1260</v>
          </cell>
        </row>
        <row r="78">
          <cell r="E78">
            <v>208</v>
          </cell>
        </row>
        <row r="79">
          <cell r="E79">
            <v>0</v>
          </cell>
        </row>
        <row r="80">
          <cell r="E80">
            <v>513</v>
          </cell>
        </row>
      </sheetData>
      <sheetData sheetId="15">
        <row r="5">
          <cell r="F5">
            <v>93.349753694581281</v>
          </cell>
        </row>
        <row r="6">
          <cell r="D6">
            <v>335</v>
          </cell>
          <cell r="E6">
            <v>328</v>
          </cell>
          <cell r="F6">
            <v>97.910447761194035</v>
          </cell>
        </row>
        <row r="7">
          <cell r="D7">
            <v>71</v>
          </cell>
          <cell r="E7">
            <v>51</v>
          </cell>
          <cell r="F7">
            <v>71.83098591549296</v>
          </cell>
        </row>
      </sheetData>
      <sheetData sheetId="16"/>
      <sheetData sheetId="17"/>
      <sheetData sheetId="18"/>
      <sheetData sheetId="19"/>
      <sheetData sheetId="20"/>
      <sheetData sheetId="2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55312</v>
          </cell>
          <cell r="R12">
            <v>5359</v>
          </cell>
        </row>
        <row r="13">
          <cell r="D13">
            <v>401</v>
          </cell>
          <cell r="R13">
            <v>64</v>
          </cell>
        </row>
        <row r="14">
          <cell r="D14">
            <v>0</v>
          </cell>
          <cell r="R14">
            <v>0</v>
          </cell>
        </row>
        <row r="17">
          <cell r="D17">
            <v>0</v>
          </cell>
          <cell r="R17">
            <v>0</v>
          </cell>
        </row>
        <row r="20">
          <cell r="D20">
            <v>0</v>
          </cell>
          <cell r="R20">
            <v>0</v>
          </cell>
        </row>
        <row r="24">
          <cell r="D24">
            <v>34984</v>
          </cell>
          <cell r="R24">
            <v>2703</v>
          </cell>
        </row>
        <row r="29">
          <cell r="D29">
            <v>4387</v>
          </cell>
          <cell r="R29">
            <v>1276</v>
          </cell>
        </row>
        <row r="30">
          <cell r="D30">
            <v>46000</v>
          </cell>
          <cell r="R30">
            <v>3685</v>
          </cell>
        </row>
        <row r="35">
          <cell r="D35">
            <v>1088</v>
          </cell>
          <cell r="R35">
            <v>1088</v>
          </cell>
        </row>
        <row r="36">
          <cell r="D36">
            <v>1564</v>
          </cell>
          <cell r="R36">
            <v>1564</v>
          </cell>
        </row>
        <row r="40">
          <cell r="D40">
            <v>4755</v>
          </cell>
          <cell r="R40">
            <v>591</v>
          </cell>
        </row>
      </sheetData>
      <sheetData sheetId="4"/>
      <sheetData sheetId="5"/>
      <sheetData sheetId="6"/>
      <sheetData sheetId="7"/>
      <sheetData sheetId="8"/>
      <sheetData sheetId="9"/>
      <sheetData sheetId="10"/>
      <sheetData sheetId="11"/>
      <sheetData sheetId="12"/>
      <sheetData sheetId="13"/>
      <sheetData sheetId="14">
        <row r="9">
          <cell r="F9">
            <v>25</v>
          </cell>
          <cell r="G9">
            <v>20</v>
          </cell>
          <cell r="H9">
            <v>145</v>
          </cell>
          <cell r="I9">
            <v>190</v>
          </cell>
        </row>
        <row r="10">
          <cell r="F10">
            <v>3</v>
          </cell>
          <cell r="H10">
            <v>1</v>
          </cell>
          <cell r="I10">
            <v>4</v>
          </cell>
        </row>
        <row r="14">
          <cell r="F14">
            <v>3</v>
          </cell>
          <cell r="G14">
            <v>3</v>
          </cell>
          <cell r="H14">
            <v>56</v>
          </cell>
          <cell r="I14">
            <v>62</v>
          </cell>
        </row>
        <row r="15">
          <cell r="F15">
            <v>25</v>
          </cell>
          <cell r="G15">
            <v>19</v>
          </cell>
          <cell r="H15">
            <v>14</v>
          </cell>
          <cell r="I15">
            <v>60</v>
          </cell>
        </row>
        <row r="16">
          <cell r="F16">
            <v>5</v>
          </cell>
          <cell r="G16">
            <v>4</v>
          </cell>
          <cell r="H16">
            <v>4</v>
          </cell>
          <cell r="I16">
            <v>13</v>
          </cell>
        </row>
        <row r="19">
          <cell r="F19">
            <v>18</v>
          </cell>
          <cell r="G19">
            <v>2</v>
          </cell>
          <cell r="H19">
            <v>6</v>
          </cell>
          <cell r="I19">
            <v>26</v>
          </cell>
        </row>
        <row r="26">
          <cell r="E26">
            <v>11605</v>
          </cell>
          <cell r="H26">
            <v>38348</v>
          </cell>
        </row>
        <row r="27">
          <cell r="E27">
            <v>231</v>
          </cell>
          <cell r="H27">
            <v>106</v>
          </cell>
        </row>
        <row r="31">
          <cell r="E31">
            <v>2705</v>
          </cell>
          <cell r="H31">
            <v>29576</v>
          </cell>
        </row>
        <row r="32">
          <cell r="E32">
            <v>26484</v>
          </cell>
          <cell r="H32">
            <v>11267</v>
          </cell>
        </row>
        <row r="33">
          <cell r="E33">
            <v>1932</v>
          </cell>
          <cell r="H33">
            <v>1179</v>
          </cell>
        </row>
        <row r="36">
          <cell r="E36">
            <v>2629</v>
          </cell>
          <cell r="H36">
            <v>1139</v>
          </cell>
        </row>
        <row r="53">
          <cell r="F53">
            <v>6</v>
          </cell>
          <cell r="H53">
            <v>19</v>
          </cell>
          <cell r="I53">
            <v>30</v>
          </cell>
        </row>
        <row r="54">
          <cell r="H54">
            <v>1</v>
          </cell>
          <cell r="I54">
            <v>1</v>
          </cell>
        </row>
        <row r="58">
          <cell r="F58">
            <v>2</v>
          </cell>
          <cell r="H58">
            <v>5</v>
          </cell>
          <cell r="I58">
            <v>11</v>
          </cell>
        </row>
        <row r="59">
          <cell r="F59">
            <v>5</v>
          </cell>
          <cell r="G59">
            <v>2</v>
          </cell>
          <cell r="H59">
            <v>7</v>
          </cell>
          <cell r="I59">
            <v>21</v>
          </cell>
        </row>
        <row r="60">
          <cell r="F60">
            <v>1</v>
          </cell>
          <cell r="H60">
            <v>5</v>
          </cell>
          <cell r="I60">
            <v>12</v>
          </cell>
        </row>
        <row r="61">
          <cell r="G61">
            <v>1</v>
          </cell>
          <cell r="I61">
            <v>8</v>
          </cell>
        </row>
        <row r="62">
          <cell r="I62">
            <v>7</v>
          </cell>
        </row>
        <row r="63">
          <cell r="F63">
            <v>5</v>
          </cell>
          <cell r="I63">
            <v>5</v>
          </cell>
        </row>
        <row r="70">
          <cell r="E70">
            <v>905</v>
          </cell>
          <cell r="H70">
            <v>3416</v>
          </cell>
        </row>
        <row r="71">
          <cell r="H71">
            <v>64</v>
          </cell>
        </row>
        <row r="75">
          <cell r="E75">
            <v>261</v>
          </cell>
          <cell r="H75">
            <v>2025</v>
          </cell>
        </row>
        <row r="76">
          <cell r="E76">
            <v>1492</v>
          </cell>
          <cell r="H76">
            <v>2954</v>
          </cell>
        </row>
        <row r="77">
          <cell r="E77">
            <v>25</v>
          </cell>
          <cell r="H77">
            <v>1251</v>
          </cell>
        </row>
        <row r="78">
          <cell r="E78">
            <v>208</v>
          </cell>
        </row>
        <row r="80">
          <cell r="E80">
            <v>485</v>
          </cell>
        </row>
      </sheetData>
      <sheetData sheetId="15">
        <row r="5">
          <cell r="F5">
            <v>95.308641975308646</v>
          </cell>
        </row>
        <row r="6">
          <cell r="D6">
            <v>334</v>
          </cell>
          <cell r="E6">
            <v>333</v>
          </cell>
          <cell r="F6">
            <v>99.700598802395206</v>
          </cell>
        </row>
        <row r="7">
          <cell r="D7">
            <v>71</v>
          </cell>
          <cell r="E7">
            <v>53</v>
          </cell>
          <cell r="F7">
            <v>74.647887323943664</v>
          </cell>
        </row>
      </sheetData>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333668</v>
          </cell>
          <cell r="R12">
            <v>9475</v>
          </cell>
        </row>
        <row r="13">
          <cell r="D13">
            <v>329</v>
          </cell>
          <cell r="R13">
            <v>0</v>
          </cell>
        </row>
        <row r="14">
          <cell r="D14">
            <v>114048</v>
          </cell>
          <cell r="R14">
            <v>4424</v>
          </cell>
        </row>
        <row r="17">
          <cell r="D17">
            <v>0</v>
          </cell>
          <cell r="R17">
            <v>0</v>
          </cell>
        </row>
        <row r="20">
          <cell r="D20">
            <v>231631</v>
          </cell>
          <cell r="R20">
            <v>14918</v>
          </cell>
        </row>
        <row r="24">
          <cell r="D24">
            <v>202576</v>
          </cell>
          <cell r="R24">
            <v>21575</v>
          </cell>
        </row>
        <row r="29">
          <cell r="D29">
            <v>35771</v>
          </cell>
          <cell r="R29">
            <v>459</v>
          </cell>
        </row>
        <row r="30">
          <cell r="D30">
            <v>23849</v>
          </cell>
          <cell r="R30">
            <v>259</v>
          </cell>
        </row>
        <row r="35">
          <cell r="D35">
            <v>6966</v>
          </cell>
          <cell r="R35">
            <v>6966</v>
          </cell>
        </row>
        <row r="36">
          <cell r="D36">
            <v>11737</v>
          </cell>
          <cell r="R36">
            <v>11737</v>
          </cell>
        </row>
        <row r="40">
          <cell r="D40">
            <v>52492</v>
          </cell>
          <cell r="R40">
            <v>15748</v>
          </cell>
        </row>
      </sheetData>
      <sheetData sheetId="4"/>
      <sheetData sheetId="5"/>
      <sheetData sheetId="6"/>
      <sheetData sheetId="7"/>
      <sheetData sheetId="8"/>
      <sheetData sheetId="9"/>
      <sheetData sheetId="10"/>
      <sheetData sheetId="11"/>
      <sheetData sheetId="12"/>
      <sheetData sheetId="13"/>
      <sheetData sheetId="14">
        <row r="9">
          <cell r="F9">
            <v>41</v>
          </cell>
          <cell r="G9">
            <v>68</v>
          </cell>
          <cell r="H9">
            <v>305</v>
          </cell>
          <cell r="I9">
            <v>2228</v>
          </cell>
        </row>
        <row r="10">
          <cell r="F10">
            <v>0</v>
          </cell>
          <cell r="G10">
            <v>0</v>
          </cell>
          <cell r="H10">
            <v>1</v>
          </cell>
          <cell r="I10">
            <v>1</v>
          </cell>
        </row>
        <row r="11">
          <cell r="F11">
            <v>135</v>
          </cell>
          <cell r="G11">
            <v>115</v>
          </cell>
          <cell r="H11">
            <v>177</v>
          </cell>
          <cell r="I11">
            <v>782</v>
          </cell>
        </row>
        <row r="12">
          <cell r="F12">
            <v>0</v>
          </cell>
          <cell r="G12">
            <v>0</v>
          </cell>
          <cell r="H12">
            <v>0</v>
          </cell>
          <cell r="I12">
            <v>0</v>
          </cell>
        </row>
        <row r="13">
          <cell r="F13">
            <v>6</v>
          </cell>
          <cell r="G13">
            <v>9</v>
          </cell>
          <cell r="H13">
            <v>125</v>
          </cell>
          <cell r="I13">
            <v>429</v>
          </cell>
        </row>
        <row r="14">
          <cell r="F14">
            <v>6</v>
          </cell>
          <cell r="G14">
            <v>13</v>
          </cell>
          <cell r="H14">
            <v>184</v>
          </cell>
          <cell r="I14">
            <v>378</v>
          </cell>
        </row>
        <row r="15">
          <cell r="F15">
            <v>221</v>
          </cell>
          <cell r="G15">
            <v>18</v>
          </cell>
          <cell r="H15">
            <v>68</v>
          </cell>
          <cell r="I15">
            <v>381</v>
          </cell>
        </row>
        <row r="16">
          <cell r="F16">
            <v>9</v>
          </cell>
          <cell r="G16">
            <v>18</v>
          </cell>
          <cell r="H16">
            <v>68</v>
          </cell>
          <cell r="I16">
            <v>169</v>
          </cell>
        </row>
        <row r="17">
          <cell r="I17">
            <v>0</v>
          </cell>
        </row>
        <row r="18">
          <cell r="I18">
            <v>0</v>
          </cell>
        </row>
        <row r="19">
          <cell r="F19">
            <v>134</v>
          </cell>
          <cell r="G19">
            <v>20</v>
          </cell>
          <cell r="H19">
            <v>22</v>
          </cell>
          <cell r="I19">
            <v>422</v>
          </cell>
        </row>
        <row r="26">
          <cell r="E26">
            <v>14364</v>
          </cell>
          <cell r="H26">
            <v>24702</v>
          </cell>
        </row>
        <row r="27">
          <cell r="E27">
            <v>0</v>
          </cell>
          <cell r="H27">
            <v>209</v>
          </cell>
        </row>
        <row r="28">
          <cell r="E28">
            <v>34663</v>
          </cell>
          <cell r="H28">
            <v>11055</v>
          </cell>
        </row>
        <row r="29">
          <cell r="E29">
            <v>0</v>
          </cell>
          <cell r="H29">
            <v>0</v>
          </cell>
        </row>
        <row r="30">
          <cell r="E30">
            <v>4279</v>
          </cell>
          <cell r="H30">
            <v>13607</v>
          </cell>
        </row>
        <row r="31">
          <cell r="E31">
            <v>3477</v>
          </cell>
          <cell r="H31">
            <v>32990</v>
          </cell>
        </row>
        <row r="32">
          <cell r="E32">
            <v>27163</v>
          </cell>
          <cell r="H32">
            <v>5680</v>
          </cell>
        </row>
        <row r="33">
          <cell r="E33">
            <v>3573</v>
          </cell>
          <cell r="H33">
            <v>5680</v>
          </cell>
        </row>
        <row r="36">
          <cell r="E36">
            <v>15466</v>
          </cell>
          <cell r="H36">
            <v>719</v>
          </cell>
        </row>
        <row r="53">
          <cell r="F53">
            <v>18</v>
          </cell>
          <cell r="G53">
            <v>2</v>
          </cell>
          <cell r="H53">
            <v>5</v>
          </cell>
          <cell r="I53">
            <v>103</v>
          </cell>
        </row>
        <row r="54">
          <cell r="F54">
            <v>0</v>
          </cell>
          <cell r="G54">
            <v>0</v>
          </cell>
          <cell r="H54">
            <v>0</v>
          </cell>
          <cell r="I54">
            <v>0</v>
          </cell>
        </row>
        <row r="55">
          <cell r="F55">
            <v>8</v>
          </cell>
          <cell r="G55">
            <v>2</v>
          </cell>
          <cell r="H55">
            <v>1</v>
          </cell>
          <cell r="I55">
            <v>45</v>
          </cell>
        </row>
        <row r="56">
          <cell r="F56">
            <v>0</v>
          </cell>
          <cell r="G56">
            <v>0</v>
          </cell>
          <cell r="H56">
            <v>0</v>
          </cell>
          <cell r="I56">
            <v>0</v>
          </cell>
        </row>
        <row r="57">
          <cell r="F57">
            <v>19</v>
          </cell>
          <cell r="G57">
            <v>2</v>
          </cell>
          <cell r="H57">
            <v>7</v>
          </cell>
          <cell r="I57">
            <v>74</v>
          </cell>
        </row>
        <row r="58">
          <cell r="F58">
            <v>27</v>
          </cell>
          <cell r="G58">
            <v>0</v>
          </cell>
          <cell r="H58">
            <v>17</v>
          </cell>
          <cell r="I58">
            <v>81</v>
          </cell>
        </row>
        <row r="59">
          <cell r="F59">
            <v>8</v>
          </cell>
          <cell r="G59">
            <v>1</v>
          </cell>
          <cell r="H59">
            <v>1</v>
          </cell>
          <cell r="I59">
            <v>10</v>
          </cell>
        </row>
        <row r="60">
          <cell r="F60">
            <v>2</v>
          </cell>
          <cell r="G60">
            <v>1</v>
          </cell>
          <cell r="H60">
            <v>1</v>
          </cell>
          <cell r="I60">
            <v>4</v>
          </cell>
        </row>
        <row r="61">
          <cell r="F61">
            <v>5</v>
          </cell>
          <cell r="G61">
            <v>4</v>
          </cell>
          <cell r="H61">
            <v>7</v>
          </cell>
          <cell r="I61">
            <v>58</v>
          </cell>
        </row>
        <row r="62">
          <cell r="F62">
            <v>5</v>
          </cell>
          <cell r="G62">
            <v>4</v>
          </cell>
          <cell r="H62">
            <v>7</v>
          </cell>
          <cell r="I62">
            <v>58</v>
          </cell>
        </row>
        <row r="63">
          <cell r="F63">
            <v>102</v>
          </cell>
          <cell r="G63">
            <v>0</v>
          </cell>
          <cell r="H63">
            <v>1</v>
          </cell>
          <cell r="I63">
            <v>155</v>
          </cell>
        </row>
        <row r="70">
          <cell r="E70">
            <v>1494</v>
          </cell>
          <cell r="H70">
            <v>394</v>
          </cell>
        </row>
        <row r="71">
          <cell r="E71">
            <v>0</v>
          </cell>
          <cell r="H71">
            <v>0</v>
          </cell>
        </row>
        <row r="72">
          <cell r="E72">
            <v>1155</v>
          </cell>
          <cell r="H72">
            <v>72</v>
          </cell>
        </row>
        <row r="73">
          <cell r="E73">
            <v>0</v>
          </cell>
          <cell r="H73">
            <v>0</v>
          </cell>
        </row>
        <row r="74">
          <cell r="E74">
            <v>2344</v>
          </cell>
          <cell r="H74">
            <v>524</v>
          </cell>
        </row>
        <row r="75">
          <cell r="E75">
            <v>5066</v>
          </cell>
          <cell r="H75">
            <v>1708</v>
          </cell>
        </row>
        <row r="76">
          <cell r="E76">
            <v>417</v>
          </cell>
          <cell r="H76">
            <v>96</v>
          </cell>
        </row>
        <row r="77">
          <cell r="E77">
            <v>158</v>
          </cell>
          <cell r="H77">
            <v>96</v>
          </cell>
        </row>
        <row r="78">
          <cell r="E78">
            <v>2409</v>
          </cell>
          <cell r="H78">
            <v>830</v>
          </cell>
        </row>
        <row r="79">
          <cell r="E79">
            <v>893</v>
          </cell>
          <cell r="H79">
            <v>305</v>
          </cell>
        </row>
        <row r="80">
          <cell r="E80">
            <v>11532</v>
          </cell>
          <cell r="H80">
            <v>9</v>
          </cell>
        </row>
      </sheetData>
      <sheetData sheetId="15">
        <row r="5">
          <cell r="F5">
            <v>35.793357933579337</v>
          </cell>
        </row>
        <row r="6">
          <cell r="D6">
            <v>3664</v>
          </cell>
          <cell r="E6">
            <v>1258</v>
          </cell>
          <cell r="F6">
            <v>34.334061135371179</v>
          </cell>
        </row>
        <row r="7">
          <cell r="D7">
            <v>401</v>
          </cell>
          <cell r="E7">
            <v>197</v>
          </cell>
          <cell r="F7">
            <v>49.127182044887782</v>
          </cell>
        </row>
      </sheetData>
      <sheetData sheetId="16"/>
      <sheetData sheetId="17"/>
      <sheetData sheetId="18"/>
      <sheetData sheetId="19"/>
      <sheetData sheetId="20"/>
      <sheetData sheetId="2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57143</v>
          </cell>
          <cell r="R12">
            <v>5487</v>
          </cell>
        </row>
        <row r="13">
          <cell r="D13">
            <v>406</v>
          </cell>
          <cell r="R13">
            <v>68</v>
          </cell>
        </row>
        <row r="14">
          <cell r="D14">
            <v>0</v>
          </cell>
          <cell r="R14">
            <v>0</v>
          </cell>
        </row>
        <row r="17">
          <cell r="D17">
            <v>0</v>
          </cell>
          <cell r="R17">
            <v>0</v>
          </cell>
        </row>
        <row r="20">
          <cell r="D20">
            <v>0</v>
          </cell>
          <cell r="R20">
            <v>0</v>
          </cell>
        </row>
        <row r="24">
          <cell r="D24">
            <v>35614</v>
          </cell>
          <cell r="R24">
            <v>2740</v>
          </cell>
        </row>
        <row r="29">
          <cell r="D29">
            <v>4417</v>
          </cell>
          <cell r="R29">
            <v>1283</v>
          </cell>
        </row>
        <row r="30">
          <cell r="D30">
            <v>46343</v>
          </cell>
          <cell r="R30">
            <v>3654</v>
          </cell>
        </row>
        <row r="35">
          <cell r="D35">
            <v>1087</v>
          </cell>
          <cell r="R35">
            <v>1087</v>
          </cell>
        </row>
        <row r="36">
          <cell r="D36">
            <v>1605</v>
          </cell>
          <cell r="R36">
            <v>1605</v>
          </cell>
        </row>
        <row r="40">
          <cell r="D40">
            <v>4649</v>
          </cell>
          <cell r="R40">
            <v>591</v>
          </cell>
        </row>
      </sheetData>
      <sheetData sheetId="4"/>
      <sheetData sheetId="5"/>
      <sheetData sheetId="6"/>
      <sheetData sheetId="7"/>
      <sheetData sheetId="8"/>
      <sheetData sheetId="9"/>
      <sheetData sheetId="10"/>
      <sheetData sheetId="11"/>
      <sheetData sheetId="12"/>
      <sheetData sheetId="13"/>
      <sheetData sheetId="14">
        <row r="9">
          <cell r="D9">
            <v>190</v>
          </cell>
          <cell r="F9">
            <v>30</v>
          </cell>
          <cell r="G9">
            <v>20</v>
          </cell>
          <cell r="H9">
            <v>140</v>
          </cell>
          <cell r="I9">
            <v>191</v>
          </cell>
        </row>
        <row r="10">
          <cell r="D10">
            <v>4</v>
          </cell>
          <cell r="F10">
            <v>4</v>
          </cell>
          <cell r="G10"/>
          <cell r="H10"/>
          <cell r="I10">
            <v>4</v>
          </cell>
        </row>
        <row r="11">
          <cell r="D11">
            <v>0</v>
          </cell>
          <cell r="F11"/>
          <cell r="G11"/>
          <cell r="H11"/>
          <cell r="I11"/>
        </row>
        <row r="12">
          <cell r="D12">
            <v>0</v>
          </cell>
          <cell r="F12"/>
          <cell r="G12"/>
          <cell r="H12"/>
          <cell r="I12"/>
        </row>
        <row r="13">
          <cell r="D13">
            <v>0</v>
          </cell>
          <cell r="F13"/>
          <cell r="G13"/>
          <cell r="H13"/>
          <cell r="I13"/>
        </row>
        <row r="14">
          <cell r="D14">
            <v>63</v>
          </cell>
          <cell r="F14">
            <v>4</v>
          </cell>
          <cell r="G14">
            <v>6</v>
          </cell>
          <cell r="H14">
            <v>53</v>
          </cell>
          <cell r="I14">
            <v>63</v>
          </cell>
        </row>
        <row r="15">
          <cell r="D15">
            <v>59</v>
          </cell>
          <cell r="F15">
            <v>26</v>
          </cell>
          <cell r="G15">
            <v>21</v>
          </cell>
          <cell r="H15">
            <v>12</v>
          </cell>
          <cell r="I15">
            <v>61</v>
          </cell>
        </row>
        <row r="16">
          <cell r="F16">
            <v>5</v>
          </cell>
          <cell r="G16">
            <v>4</v>
          </cell>
          <cell r="H16">
            <v>4</v>
          </cell>
          <cell r="I16">
            <v>13</v>
          </cell>
        </row>
        <row r="17">
          <cell r="D17">
            <v>0</v>
          </cell>
          <cell r="I17"/>
        </row>
        <row r="18">
          <cell r="I18"/>
        </row>
        <row r="19">
          <cell r="D19">
            <v>26</v>
          </cell>
          <cell r="F19">
            <v>20</v>
          </cell>
          <cell r="G19">
            <v>2</v>
          </cell>
          <cell r="H19">
            <v>4</v>
          </cell>
          <cell r="I19">
            <v>26</v>
          </cell>
        </row>
        <row r="26">
          <cell r="D26">
            <v>51655</v>
          </cell>
          <cell r="E26">
            <v>12982</v>
          </cell>
          <cell r="H26">
            <v>38673</v>
          </cell>
        </row>
        <row r="27">
          <cell r="D27">
            <v>338</v>
          </cell>
          <cell r="E27">
            <v>338</v>
          </cell>
          <cell r="H27"/>
        </row>
        <row r="28">
          <cell r="D28">
            <v>0</v>
          </cell>
          <cell r="E28"/>
          <cell r="H28"/>
        </row>
        <row r="29">
          <cell r="D29">
            <v>0</v>
          </cell>
          <cell r="E29"/>
          <cell r="H29"/>
        </row>
        <row r="30">
          <cell r="D30">
            <v>0</v>
          </cell>
          <cell r="E30"/>
          <cell r="H30"/>
        </row>
        <row r="31">
          <cell r="D31">
            <v>32874</v>
          </cell>
          <cell r="E31">
            <v>3961</v>
          </cell>
          <cell r="H31">
            <v>28913</v>
          </cell>
        </row>
        <row r="32">
          <cell r="D32">
            <v>39682</v>
          </cell>
          <cell r="E32">
            <v>30413</v>
          </cell>
          <cell r="H32">
            <v>9269</v>
          </cell>
        </row>
        <row r="33">
          <cell r="E33">
            <v>1981</v>
          </cell>
          <cell r="H33">
            <v>1153</v>
          </cell>
        </row>
        <row r="34">
          <cell r="D34">
            <v>0</v>
          </cell>
        </row>
        <row r="36">
          <cell r="D36">
            <v>3574</v>
          </cell>
          <cell r="E36">
            <v>2914</v>
          </cell>
          <cell r="H36">
            <v>660</v>
          </cell>
        </row>
        <row r="53">
          <cell r="D53">
            <v>25</v>
          </cell>
          <cell r="F53">
            <v>6</v>
          </cell>
          <cell r="G53"/>
          <cell r="H53">
            <v>19</v>
          </cell>
          <cell r="I53">
            <v>30</v>
          </cell>
        </row>
        <row r="54">
          <cell r="D54">
            <v>1</v>
          </cell>
          <cell r="F54"/>
          <cell r="G54"/>
          <cell r="H54">
            <v>1</v>
          </cell>
          <cell r="I54">
            <v>1</v>
          </cell>
        </row>
        <row r="55">
          <cell r="D55">
            <v>0</v>
          </cell>
          <cell r="F55"/>
          <cell r="G55"/>
          <cell r="H55"/>
          <cell r="I55"/>
        </row>
        <row r="56">
          <cell r="D56">
            <v>0</v>
          </cell>
          <cell r="F56"/>
          <cell r="G56"/>
          <cell r="H56"/>
          <cell r="I56"/>
        </row>
        <row r="57">
          <cell r="D57">
            <v>0</v>
          </cell>
          <cell r="F57"/>
          <cell r="G57"/>
          <cell r="H57"/>
          <cell r="I57"/>
        </row>
        <row r="58">
          <cell r="D58">
            <v>7</v>
          </cell>
          <cell r="F58">
            <v>2</v>
          </cell>
          <cell r="G58"/>
          <cell r="H58">
            <v>5</v>
          </cell>
          <cell r="I58">
            <v>11</v>
          </cell>
        </row>
        <row r="59">
          <cell r="D59">
            <v>15</v>
          </cell>
          <cell r="F59">
            <v>5</v>
          </cell>
          <cell r="G59">
            <v>1</v>
          </cell>
          <cell r="H59">
            <v>9</v>
          </cell>
          <cell r="I59">
            <v>17</v>
          </cell>
        </row>
        <row r="60">
          <cell r="F60">
            <v>1</v>
          </cell>
          <cell r="G60"/>
          <cell r="H60">
            <v>5</v>
          </cell>
          <cell r="I60">
            <v>6</v>
          </cell>
        </row>
        <row r="61">
          <cell r="D61">
            <v>1</v>
          </cell>
          <cell r="F61"/>
          <cell r="G61">
            <v>1</v>
          </cell>
          <cell r="H61"/>
          <cell r="I61">
            <v>7</v>
          </cell>
        </row>
        <row r="62">
          <cell r="F62"/>
          <cell r="G62"/>
          <cell r="H62"/>
          <cell r="I62">
            <v>7</v>
          </cell>
        </row>
        <row r="63">
          <cell r="D63">
            <v>5</v>
          </cell>
          <cell r="F63">
            <v>5</v>
          </cell>
          <cell r="G63"/>
          <cell r="H63"/>
          <cell r="I63">
            <v>5</v>
          </cell>
        </row>
        <row r="70">
          <cell r="D70">
            <v>4443</v>
          </cell>
          <cell r="E70">
            <v>877</v>
          </cell>
          <cell r="H70">
            <v>3566</v>
          </cell>
        </row>
        <row r="71">
          <cell r="D71">
            <v>68</v>
          </cell>
          <cell r="E71"/>
          <cell r="H71">
            <v>68</v>
          </cell>
        </row>
        <row r="72">
          <cell r="D72">
            <v>0</v>
          </cell>
          <cell r="E72"/>
          <cell r="H72"/>
        </row>
        <row r="73">
          <cell r="D73">
            <v>0</v>
          </cell>
          <cell r="E73"/>
          <cell r="H73"/>
        </row>
        <row r="74">
          <cell r="D74">
            <v>0</v>
          </cell>
          <cell r="E74"/>
          <cell r="H74"/>
        </row>
        <row r="75">
          <cell r="D75">
            <v>2305</v>
          </cell>
          <cell r="E75">
            <v>261</v>
          </cell>
          <cell r="H75">
            <v>2044</v>
          </cell>
        </row>
        <row r="76">
          <cell r="D76">
            <v>4468</v>
          </cell>
          <cell r="E76">
            <v>1234</v>
          </cell>
          <cell r="H76">
            <v>3234</v>
          </cell>
        </row>
        <row r="77">
          <cell r="E77">
            <v>25</v>
          </cell>
          <cell r="H77">
            <v>1258</v>
          </cell>
        </row>
        <row r="78">
          <cell r="D78">
            <v>213</v>
          </cell>
          <cell r="E78">
            <v>213</v>
          </cell>
          <cell r="H78"/>
        </row>
        <row r="79">
          <cell r="E79"/>
          <cell r="H79"/>
        </row>
        <row r="80">
          <cell r="D80">
            <v>484</v>
          </cell>
          <cell r="E80">
            <v>484</v>
          </cell>
          <cell r="H80"/>
        </row>
        <row r="97">
          <cell r="D97">
            <v>215</v>
          </cell>
        </row>
        <row r="98">
          <cell r="D98">
            <v>5</v>
          </cell>
        </row>
        <row r="99">
          <cell r="D99">
            <v>0</v>
          </cell>
        </row>
        <row r="100">
          <cell r="D100">
            <v>0</v>
          </cell>
        </row>
        <row r="101">
          <cell r="D101">
            <v>0</v>
          </cell>
        </row>
        <row r="102">
          <cell r="D102">
            <v>70</v>
          </cell>
        </row>
        <row r="103">
          <cell r="D103">
            <v>74</v>
          </cell>
        </row>
        <row r="105">
          <cell r="D105">
            <v>1</v>
          </cell>
        </row>
        <row r="107">
          <cell r="D107">
            <v>31</v>
          </cell>
        </row>
        <row r="114">
          <cell r="D114">
            <v>56098</v>
          </cell>
        </row>
        <row r="115">
          <cell r="D115">
            <v>406</v>
          </cell>
        </row>
        <row r="116">
          <cell r="D116">
            <v>0</v>
          </cell>
        </row>
        <row r="117">
          <cell r="D117">
            <v>0</v>
          </cell>
        </row>
        <row r="118">
          <cell r="D118">
            <v>0</v>
          </cell>
        </row>
        <row r="119">
          <cell r="D119">
            <v>35179</v>
          </cell>
        </row>
        <row r="120">
          <cell r="D120">
            <v>44150</v>
          </cell>
        </row>
        <row r="122">
          <cell r="D122">
            <v>213</v>
          </cell>
        </row>
        <row r="124">
          <cell r="D124">
            <v>4058</v>
          </cell>
        </row>
      </sheetData>
      <sheetData sheetId="15">
        <row r="5">
          <cell r="F5">
            <v>95.566502463054192</v>
          </cell>
        </row>
        <row r="6">
          <cell r="D6">
            <v>336</v>
          </cell>
          <cell r="E6">
            <v>335</v>
          </cell>
          <cell r="F6">
            <v>99.702380952380949</v>
          </cell>
        </row>
        <row r="7">
          <cell r="D7">
            <v>70</v>
          </cell>
          <cell r="E7">
            <v>53</v>
          </cell>
          <cell r="F7">
            <v>75.714285714285708</v>
          </cell>
        </row>
      </sheetData>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49088</v>
          </cell>
          <cell r="R12">
            <v>4790</v>
          </cell>
        </row>
        <row r="14">
          <cell r="D14">
            <v>0</v>
          </cell>
          <cell r="R14">
            <v>0</v>
          </cell>
        </row>
        <row r="17">
          <cell r="D17">
            <v>39642</v>
          </cell>
          <cell r="R17">
            <v>2201</v>
          </cell>
        </row>
        <row r="20">
          <cell r="D20">
            <v>0</v>
          </cell>
          <cell r="R20">
            <v>0</v>
          </cell>
        </row>
        <row r="24">
          <cell r="D24">
            <v>17352</v>
          </cell>
          <cell r="R24">
            <v>1899</v>
          </cell>
        </row>
        <row r="30">
          <cell r="D30">
            <v>5458</v>
          </cell>
          <cell r="R30">
            <v>1564</v>
          </cell>
        </row>
        <row r="35">
          <cell r="D35">
            <v>280</v>
          </cell>
          <cell r="R35">
            <v>280</v>
          </cell>
        </row>
        <row r="36">
          <cell r="D36">
            <v>460</v>
          </cell>
          <cell r="R36">
            <v>460</v>
          </cell>
        </row>
        <row r="40">
          <cell r="D40">
            <v>8655</v>
          </cell>
          <cell r="R40">
            <v>662</v>
          </cell>
        </row>
      </sheetData>
      <sheetData sheetId="4"/>
      <sheetData sheetId="5"/>
      <sheetData sheetId="6"/>
      <sheetData sheetId="7"/>
      <sheetData sheetId="8"/>
      <sheetData sheetId="9"/>
      <sheetData sheetId="10"/>
      <sheetData sheetId="11"/>
      <sheetData sheetId="12"/>
      <sheetData sheetId="13">
        <row r="9">
          <cell r="G9">
            <v>1</v>
          </cell>
          <cell r="I9">
            <v>272</v>
          </cell>
        </row>
        <row r="12">
          <cell r="F12">
            <v>46</v>
          </cell>
          <cell r="G12">
            <v>27</v>
          </cell>
          <cell r="H12">
            <v>60</v>
          </cell>
          <cell r="I12">
            <v>154</v>
          </cell>
        </row>
        <row r="14">
          <cell r="F14">
            <v>17</v>
          </cell>
          <cell r="G14">
            <v>14</v>
          </cell>
          <cell r="H14">
            <v>21</v>
          </cell>
          <cell r="I14">
            <v>61</v>
          </cell>
        </row>
        <row r="15">
          <cell r="F15">
            <v>5</v>
          </cell>
          <cell r="G15">
            <v>4</v>
          </cell>
          <cell r="H15">
            <v>1</v>
          </cell>
          <cell r="I15">
            <v>11</v>
          </cell>
        </row>
        <row r="17">
          <cell r="F17">
            <v>11</v>
          </cell>
          <cell r="G17">
            <v>4</v>
          </cell>
          <cell r="H17">
            <v>5</v>
          </cell>
          <cell r="I17">
            <v>85</v>
          </cell>
        </row>
        <row r="24">
          <cell r="E24">
            <v>191</v>
          </cell>
        </row>
        <row r="25">
          <cell r="E25">
            <v>0</v>
          </cell>
        </row>
        <row r="26">
          <cell r="E26">
            <v>0</v>
          </cell>
        </row>
        <row r="27">
          <cell r="E27">
            <v>14880</v>
          </cell>
          <cell r="H27">
            <v>9005</v>
          </cell>
        </row>
        <row r="28">
          <cell r="E28">
            <v>0</v>
          </cell>
        </row>
        <row r="29">
          <cell r="E29">
            <v>9055</v>
          </cell>
          <cell r="H29">
            <v>4526</v>
          </cell>
        </row>
        <row r="30">
          <cell r="E30">
            <v>3537</v>
          </cell>
          <cell r="H30">
            <v>270</v>
          </cell>
        </row>
        <row r="31">
          <cell r="E31">
            <v>0</v>
          </cell>
        </row>
        <row r="34">
          <cell r="E34">
            <v>1432</v>
          </cell>
          <cell r="H34">
            <v>461</v>
          </cell>
        </row>
        <row r="51">
          <cell r="F51">
            <v>4</v>
          </cell>
          <cell r="G51">
            <v>1</v>
          </cell>
          <cell r="H51">
            <v>5</v>
          </cell>
          <cell r="I51">
            <v>50</v>
          </cell>
        </row>
        <row r="54">
          <cell r="F54">
            <v>11</v>
          </cell>
          <cell r="G54">
            <v>1</v>
          </cell>
          <cell r="H54">
            <v>10</v>
          </cell>
          <cell r="I54">
            <v>35</v>
          </cell>
        </row>
        <row r="56">
          <cell r="F56">
            <v>8</v>
          </cell>
          <cell r="G56">
            <v>1</v>
          </cell>
          <cell r="H56">
            <v>1</v>
          </cell>
          <cell r="I56">
            <v>12</v>
          </cell>
        </row>
        <row r="57">
          <cell r="F57">
            <v>7</v>
          </cell>
          <cell r="G57">
            <v>1</v>
          </cell>
          <cell r="H57">
            <v>1</v>
          </cell>
          <cell r="I57">
            <v>10</v>
          </cell>
        </row>
        <row r="58">
          <cell r="G58">
            <v>2</v>
          </cell>
          <cell r="H58">
            <v>1</v>
          </cell>
          <cell r="I58">
            <v>3</v>
          </cell>
        </row>
        <row r="59">
          <cell r="F59">
            <v>5</v>
          </cell>
          <cell r="G59">
            <v>1</v>
          </cell>
          <cell r="H59">
            <v>1</v>
          </cell>
          <cell r="I59">
            <v>11</v>
          </cell>
        </row>
        <row r="66">
          <cell r="E66">
            <v>313</v>
          </cell>
          <cell r="H66">
            <v>505</v>
          </cell>
        </row>
        <row r="67">
          <cell r="E67">
            <v>0</v>
          </cell>
        </row>
        <row r="68">
          <cell r="E68">
            <v>0</v>
          </cell>
        </row>
        <row r="69">
          <cell r="E69">
            <v>914</v>
          </cell>
          <cell r="H69">
            <v>230</v>
          </cell>
        </row>
        <row r="70">
          <cell r="E70">
            <v>0</v>
          </cell>
        </row>
        <row r="71">
          <cell r="E71">
            <v>1087</v>
          </cell>
          <cell r="H71">
            <v>712</v>
          </cell>
        </row>
        <row r="72">
          <cell r="E72">
            <v>1176</v>
          </cell>
          <cell r="H72">
            <v>270</v>
          </cell>
        </row>
        <row r="73">
          <cell r="E73">
            <v>0</v>
          </cell>
        </row>
        <row r="74">
          <cell r="E74">
            <v>477</v>
          </cell>
          <cell r="H74">
            <v>53</v>
          </cell>
        </row>
        <row r="75">
          <cell r="E75">
            <v>0</v>
          </cell>
        </row>
        <row r="76">
          <cell r="E76">
            <v>346</v>
          </cell>
          <cell r="H76">
            <v>36</v>
          </cell>
        </row>
      </sheetData>
      <sheetData sheetId="14">
        <row r="5">
          <cell r="F5">
            <v>41.946902654867259</v>
          </cell>
        </row>
        <row r="6">
          <cell r="D6">
            <v>491</v>
          </cell>
          <cell r="E6">
            <v>193</v>
          </cell>
          <cell r="F6">
            <v>39.307535641547858</v>
          </cell>
        </row>
        <row r="7">
          <cell r="D7">
            <v>74</v>
          </cell>
          <cell r="E7">
            <v>44</v>
          </cell>
          <cell r="F7">
            <v>59.45945945945946</v>
          </cell>
        </row>
      </sheetData>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49358</v>
          </cell>
          <cell r="R12">
            <v>5044</v>
          </cell>
        </row>
        <row r="14">
          <cell r="D14">
            <v>0</v>
          </cell>
          <cell r="R14">
            <v>0</v>
          </cell>
        </row>
        <row r="17">
          <cell r="D17">
            <v>40002</v>
          </cell>
          <cell r="R17">
            <v>2314</v>
          </cell>
        </row>
        <row r="20">
          <cell r="D20">
            <v>0</v>
          </cell>
          <cell r="R20">
            <v>0</v>
          </cell>
        </row>
        <row r="24">
          <cell r="D24">
            <v>17884</v>
          </cell>
          <cell r="R24">
            <v>1915</v>
          </cell>
        </row>
        <row r="30">
          <cell r="D30">
            <v>5538</v>
          </cell>
          <cell r="R30">
            <v>1719</v>
          </cell>
        </row>
        <row r="35">
          <cell r="D35">
            <v>285</v>
          </cell>
          <cell r="R35">
            <v>285</v>
          </cell>
        </row>
        <row r="36">
          <cell r="D36">
            <v>470</v>
          </cell>
          <cell r="R36">
            <v>470</v>
          </cell>
        </row>
        <row r="40">
          <cell r="D40">
            <v>8247</v>
          </cell>
          <cell r="R40">
            <v>693</v>
          </cell>
        </row>
      </sheetData>
      <sheetData sheetId="4"/>
      <sheetData sheetId="5"/>
      <sheetData sheetId="6"/>
      <sheetData sheetId="7"/>
      <sheetData sheetId="8"/>
      <sheetData sheetId="9"/>
      <sheetData sheetId="10"/>
      <sheetData sheetId="11"/>
      <sheetData sheetId="12"/>
      <sheetData sheetId="13">
        <row r="9">
          <cell r="H9">
            <v>2</v>
          </cell>
          <cell r="I9">
            <v>271</v>
          </cell>
        </row>
        <row r="12">
          <cell r="F12">
            <v>49</v>
          </cell>
          <cell r="G12">
            <v>24</v>
          </cell>
          <cell r="H12">
            <v>57</v>
          </cell>
          <cell r="I12">
            <v>154</v>
          </cell>
        </row>
        <row r="14">
          <cell r="F14">
            <v>18</v>
          </cell>
          <cell r="G14">
            <v>12</v>
          </cell>
          <cell r="H14">
            <v>22</v>
          </cell>
          <cell r="I14">
            <v>60</v>
          </cell>
        </row>
        <row r="15">
          <cell r="F15">
            <v>5</v>
          </cell>
          <cell r="G15">
            <v>4</v>
          </cell>
          <cell r="H15">
            <v>1</v>
          </cell>
          <cell r="I15">
            <v>11</v>
          </cell>
        </row>
        <row r="19">
          <cell r="F19">
            <v>15</v>
          </cell>
          <cell r="G19">
            <v>3</v>
          </cell>
          <cell r="H19">
            <v>8</v>
          </cell>
          <cell r="I19">
            <v>84</v>
          </cell>
        </row>
        <row r="26">
          <cell r="E26">
            <v>20</v>
          </cell>
          <cell r="H26">
            <v>282</v>
          </cell>
        </row>
        <row r="27">
          <cell r="E27">
            <v>0</v>
          </cell>
        </row>
        <row r="28">
          <cell r="E28">
            <v>0</v>
          </cell>
        </row>
        <row r="29">
          <cell r="E29">
            <v>15044</v>
          </cell>
          <cell r="H29">
            <v>8988</v>
          </cell>
        </row>
        <row r="30">
          <cell r="E30">
            <v>0</v>
          </cell>
        </row>
        <row r="31">
          <cell r="E31">
            <v>8669</v>
          </cell>
          <cell r="H31">
            <v>3369</v>
          </cell>
        </row>
        <row r="32">
          <cell r="E32">
            <v>3302</v>
          </cell>
          <cell r="H32">
            <v>279</v>
          </cell>
        </row>
        <row r="33">
          <cell r="E33">
            <v>0</v>
          </cell>
        </row>
        <row r="36">
          <cell r="E36">
            <v>1477</v>
          </cell>
          <cell r="H36">
            <v>571</v>
          </cell>
        </row>
        <row r="53">
          <cell r="F53">
            <v>4</v>
          </cell>
          <cell r="H53">
            <v>5</v>
          </cell>
          <cell r="I53">
            <v>52</v>
          </cell>
        </row>
        <row r="56">
          <cell r="F56">
            <v>13</v>
          </cell>
          <cell r="G56">
            <v>2</v>
          </cell>
          <cell r="H56">
            <v>10</v>
          </cell>
          <cell r="I56">
            <v>35</v>
          </cell>
        </row>
        <row r="58">
          <cell r="F58">
            <v>10</v>
          </cell>
          <cell r="H58">
            <v>2</v>
          </cell>
          <cell r="I58">
            <v>12</v>
          </cell>
        </row>
        <row r="59">
          <cell r="F59">
            <v>8</v>
          </cell>
          <cell r="H59">
            <v>2</v>
          </cell>
          <cell r="I59">
            <v>11</v>
          </cell>
        </row>
        <row r="61">
          <cell r="F61">
            <v>1</v>
          </cell>
          <cell r="G61">
            <v>2</v>
          </cell>
          <cell r="I61">
            <v>3</v>
          </cell>
        </row>
        <row r="63">
          <cell r="F63">
            <v>5</v>
          </cell>
          <cell r="G63">
            <v>1</v>
          </cell>
          <cell r="H63">
            <v>1</v>
          </cell>
          <cell r="I63">
            <v>11</v>
          </cell>
        </row>
        <row r="70">
          <cell r="E70">
            <v>300</v>
          </cell>
          <cell r="H70">
            <v>417</v>
          </cell>
        </row>
        <row r="71">
          <cell r="E71">
            <v>0</v>
          </cell>
        </row>
        <row r="72">
          <cell r="E72">
            <v>0</v>
          </cell>
        </row>
        <row r="73">
          <cell r="E73">
            <v>924</v>
          </cell>
          <cell r="H73">
            <v>474</v>
          </cell>
        </row>
        <row r="74">
          <cell r="E74">
            <v>0</v>
          </cell>
        </row>
        <row r="75">
          <cell r="E75">
            <v>1176</v>
          </cell>
          <cell r="H75">
            <v>708</v>
          </cell>
        </row>
        <row r="76">
          <cell r="E76">
            <v>1357</v>
          </cell>
          <cell r="H76">
            <v>315</v>
          </cell>
        </row>
        <row r="77">
          <cell r="E77">
            <v>0</v>
          </cell>
        </row>
        <row r="78">
          <cell r="E78">
            <v>658</v>
          </cell>
        </row>
        <row r="79">
          <cell r="E79">
            <v>0</v>
          </cell>
        </row>
        <row r="80">
          <cell r="E80">
            <v>374</v>
          </cell>
          <cell r="H80">
            <v>47</v>
          </cell>
        </row>
      </sheetData>
      <sheetData sheetId="14">
        <row r="5">
          <cell r="F5">
            <v>43.033509700176367</v>
          </cell>
        </row>
        <row r="6">
          <cell r="D6">
            <v>492</v>
          </cell>
          <cell r="E6">
            <v>195</v>
          </cell>
          <cell r="F6">
            <v>39.634146341463413</v>
          </cell>
        </row>
        <row r="7">
          <cell r="D7">
            <v>75</v>
          </cell>
          <cell r="E7">
            <v>49</v>
          </cell>
          <cell r="F7">
            <v>65.333333333333329</v>
          </cell>
        </row>
      </sheetData>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50147</v>
          </cell>
          <cell r="R12">
            <v>5170</v>
          </cell>
        </row>
        <row r="14">
          <cell r="D14">
            <v>0</v>
          </cell>
          <cell r="R14">
            <v>0</v>
          </cell>
        </row>
        <row r="17">
          <cell r="D17">
            <v>41103</v>
          </cell>
          <cell r="R17">
            <v>2452</v>
          </cell>
        </row>
        <row r="20">
          <cell r="D20">
            <v>0</v>
          </cell>
          <cell r="R20">
            <v>0</v>
          </cell>
        </row>
        <row r="24">
          <cell r="D24">
            <v>17870</v>
          </cell>
          <cell r="R24">
            <v>1993</v>
          </cell>
        </row>
        <row r="30">
          <cell r="D30">
            <v>5769</v>
          </cell>
          <cell r="R30">
            <v>1867</v>
          </cell>
        </row>
        <row r="35">
          <cell r="D35">
            <v>273</v>
          </cell>
          <cell r="R35">
            <v>273</v>
          </cell>
        </row>
        <row r="36">
          <cell r="D36">
            <v>463</v>
          </cell>
          <cell r="R36">
            <v>463</v>
          </cell>
        </row>
        <row r="40">
          <cell r="D40">
            <v>8503</v>
          </cell>
          <cell r="R40">
            <v>736</v>
          </cell>
        </row>
      </sheetData>
      <sheetData sheetId="4"/>
      <sheetData sheetId="5"/>
      <sheetData sheetId="6"/>
      <sheetData sheetId="7"/>
      <sheetData sheetId="8"/>
      <sheetData sheetId="9"/>
      <sheetData sheetId="10"/>
      <sheetData sheetId="11"/>
      <sheetData sheetId="12"/>
      <sheetData sheetId="13"/>
      <sheetData sheetId="14">
        <row r="9">
          <cell r="I9">
            <v>271</v>
          </cell>
        </row>
        <row r="12">
          <cell r="F12">
            <v>50</v>
          </cell>
          <cell r="G12">
            <v>21</v>
          </cell>
          <cell r="H12">
            <v>56</v>
          </cell>
          <cell r="I12">
            <v>155</v>
          </cell>
        </row>
        <row r="14">
          <cell r="F14">
            <v>17</v>
          </cell>
          <cell r="G14">
            <v>13</v>
          </cell>
          <cell r="H14">
            <v>22</v>
          </cell>
          <cell r="I14">
            <v>60</v>
          </cell>
        </row>
        <row r="15">
          <cell r="F15">
            <v>4</v>
          </cell>
          <cell r="G15">
            <v>4</v>
          </cell>
          <cell r="H15">
            <v>1</v>
          </cell>
          <cell r="I15">
            <v>10</v>
          </cell>
        </row>
        <row r="19">
          <cell r="F19">
            <v>12</v>
          </cell>
          <cell r="G19">
            <v>2</v>
          </cell>
          <cell r="H19">
            <v>5</v>
          </cell>
          <cell r="I19">
            <v>83</v>
          </cell>
        </row>
        <row r="26">
          <cell r="E26">
            <v>0</v>
          </cell>
        </row>
        <row r="27">
          <cell r="E27">
            <v>0</v>
          </cell>
        </row>
        <row r="28">
          <cell r="E28">
            <v>0</v>
          </cell>
        </row>
        <row r="29">
          <cell r="E29">
            <v>16278</v>
          </cell>
          <cell r="H29">
            <v>9836</v>
          </cell>
        </row>
        <row r="30">
          <cell r="E30">
            <v>0</v>
          </cell>
        </row>
        <row r="31">
          <cell r="E31">
            <v>9592</v>
          </cell>
          <cell r="H31">
            <v>4454</v>
          </cell>
        </row>
        <row r="32">
          <cell r="E32">
            <v>3590</v>
          </cell>
          <cell r="H32">
            <v>270</v>
          </cell>
        </row>
        <row r="33">
          <cell r="E33">
            <v>0</v>
          </cell>
        </row>
        <row r="36">
          <cell r="E36">
            <v>1304</v>
          </cell>
          <cell r="H36">
            <v>558</v>
          </cell>
        </row>
        <row r="53">
          <cell r="F53">
            <v>4</v>
          </cell>
          <cell r="H53">
            <v>5</v>
          </cell>
          <cell r="I53">
            <v>53</v>
          </cell>
        </row>
        <row r="56">
          <cell r="F56">
            <v>13</v>
          </cell>
          <cell r="G56">
            <v>2</v>
          </cell>
          <cell r="H56">
            <v>10</v>
          </cell>
          <cell r="I56">
            <v>37</v>
          </cell>
        </row>
        <row r="58">
          <cell r="F58">
            <v>10</v>
          </cell>
          <cell r="H58">
            <v>2</v>
          </cell>
          <cell r="I58">
            <v>13</v>
          </cell>
        </row>
        <row r="59">
          <cell r="F59">
            <v>8</v>
          </cell>
          <cell r="H59">
            <v>2</v>
          </cell>
          <cell r="I59">
            <v>11</v>
          </cell>
        </row>
        <row r="61">
          <cell r="F61">
            <v>1</v>
          </cell>
          <cell r="G61">
            <v>2</v>
          </cell>
          <cell r="I61">
            <v>3</v>
          </cell>
        </row>
        <row r="63">
          <cell r="F63">
            <v>5</v>
          </cell>
          <cell r="G63">
            <v>1</v>
          </cell>
          <cell r="H63">
            <v>1</v>
          </cell>
          <cell r="I63">
            <v>11</v>
          </cell>
        </row>
        <row r="70">
          <cell r="E70">
            <v>300</v>
          </cell>
          <cell r="H70">
            <v>417</v>
          </cell>
        </row>
        <row r="71">
          <cell r="E71">
            <v>0</v>
          </cell>
        </row>
        <row r="72">
          <cell r="E72">
            <v>0</v>
          </cell>
        </row>
        <row r="73">
          <cell r="E73">
            <v>924</v>
          </cell>
          <cell r="H73">
            <v>474</v>
          </cell>
        </row>
        <row r="74">
          <cell r="E74">
            <v>0</v>
          </cell>
        </row>
        <row r="75">
          <cell r="E75">
            <v>1176</v>
          </cell>
          <cell r="H75">
            <v>708</v>
          </cell>
        </row>
        <row r="76">
          <cell r="E76">
            <v>1357</v>
          </cell>
          <cell r="H76">
            <v>315</v>
          </cell>
        </row>
        <row r="77">
          <cell r="E77">
            <v>0</v>
          </cell>
        </row>
        <row r="78">
          <cell r="E78">
            <v>658</v>
          </cell>
        </row>
        <row r="79">
          <cell r="E79">
            <v>0</v>
          </cell>
        </row>
        <row r="80">
          <cell r="E80">
            <v>374</v>
          </cell>
          <cell r="H80">
            <v>47</v>
          </cell>
        </row>
      </sheetData>
      <sheetData sheetId="15">
        <row r="5">
          <cell r="F5">
            <v>42.25352112676056</v>
          </cell>
        </row>
        <row r="6">
          <cell r="D6">
            <v>492</v>
          </cell>
          <cell r="E6">
            <v>191</v>
          </cell>
          <cell r="F6">
            <v>38.821138211382113</v>
          </cell>
        </row>
        <row r="7">
          <cell r="D7">
            <v>76</v>
          </cell>
          <cell r="E7">
            <v>49</v>
          </cell>
          <cell r="F7">
            <v>64.473684210526315</v>
          </cell>
        </row>
      </sheetData>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51781</v>
          </cell>
          <cell r="R12">
            <v>5409</v>
          </cell>
        </row>
        <row r="13">
          <cell r="D13">
            <v>0</v>
          </cell>
          <cell r="R13">
            <v>0</v>
          </cell>
        </row>
        <row r="14">
          <cell r="D14">
            <v>0</v>
          </cell>
          <cell r="R14">
            <v>0</v>
          </cell>
        </row>
        <row r="17">
          <cell r="D17">
            <v>42139</v>
          </cell>
          <cell r="R17">
            <v>2553</v>
          </cell>
        </row>
        <row r="20">
          <cell r="D20">
            <v>0</v>
          </cell>
          <cell r="R20">
            <v>0</v>
          </cell>
        </row>
        <row r="24">
          <cell r="D24">
            <v>17814</v>
          </cell>
          <cell r="R24">
            <v>2113</v>
          </cell>
        </row>
        <row r="29">
          <cell r="D29">
            <v>0</v>
          </cell>
          <cell r="R29">
            <v>0</v>
          </cell>
        </row>
        <row r="30">
          <cell r="D30">
            <v>5843</v>
          </cell>
          <cell r="R30">
            <v>1910</v>
          </cell>
        </row>
        <row r="35">
          <cell r="D35">
            <v>305</v>
          </cell>
          <cell r="R35">
            <v>305</v>
          </cell>
        </row>
        <row r="36">
          <cell r="D36">
            <v>484</v>
          </cell>
          <cell r="R36">
            <v>484</v>
          </cell>
        </row>
        <row r="40">
          <cell r="D40">
            <v>8232</v>
          </cell>
          <cell r="R40">
            <v>765</v>
          </cell>
        </row>
      </sheetData>
      <sheetData sheetId="4"/>
      <sheetData sheetId="5"/>
      <sheetData sheetId="6"/>
      <sheetData sheetId="7"/>
      <sheetData sheetId="8"/>
      <sheetData sheetId="9"/>
      <sheetData sheetId="10"/>
      <sheetData sheetId="11"/>
      <sheetData sheetId="12"/>
      <sheetData sheetId="13"/>
      <sheetData sheetId="14">
        <row r="9">
          <cell r="F9">
            <v>0</v>
          </cell>
          <cell r="G9">
            <v>0</v>
          </cell>
          <cell r="H9">
            <v>0</v>
          </cell>
          <cell r="I9">
            <v>270</v>
          </cell>
        </row>
        <row r="10">
          <cell r="F10">
            <v>0</v>
          </cell>
          <cell r="G10">
            <v>0</v>
          </cell>
          <cell r="H10">
            <v>0</v>
          </cell>
          <cell r="I10">
            <v>0</v>
          </cell>
        </row>
        <row r="11">
          <cell r="F11">
            <v>0</v>
          </cell>
          <cell r="G11">
            <v>0</v>
          </cell>
          <cell r="H11">
            <v>0</v>
          </cell>
          <cell r="I11">
            <v>0</v>
          </cell>
        </row>
        <row r="12">
          <cell r="F12">
            <v>55</v>
          </cell>
          <cell r="G12">
            <v>22</v>
          </cell>
          <cell r="H12">
            <v>55</v>
          </cell>
          <cell r="I12">
            <v>154</v>
          </cell>
        </row>
        <row r="13">
          <cell r="F13">
            <v>0</v>
          </cell>
          <cell r="G13">
            <v>0</v>
          </cell>
          <cell r="H13">
            <v>0</v>
          </cell>
          <cell r="I13">
            <v>0</v>
          </cell>
        </row>
        <row r="14">
          <cell r="F14">
            <v>21</v>
          </cell>
          <cell r="G14">
            <v>11</v>
          </cell>
          <cell r="H14">
            <v>20</v>
          </cell>
          <cell r="I14">
            <v>60</v>
          </cell>
        </row>
        <row r="15">
          <cell r="F15">
            <v>5</v>
          </cell>
          <cell r="G15">
            <v>3</v>
          </cell>
          <cell r="H15">
            <v>1</v>
          </cell>
          <cell r="I15">
            <v>10</v>
          </cell>
        </row>
        <row r="16">
          <cell r="F16">
            <v>0</v>
          </cell>
          <cell r="G16">
            <v>0</v>
          </cell>
          <cell r="H16">
            <v>0</v>
          </cell>
          <cell r="I16">
            <v>0</v>
          </cell>
        </row>
        <row r="17">
          <cell r="I17">
            <v>0</v>
          </cell>
        </row>
        <row r="18">
          <cell r="I18">
            <v>0</v>
          </cell>
        </row>
        <row r="19">
          <cell r="F19">
            <v>16</v>
          </cell>
          <cell r="G19">
            <v>2</v>
          </cell>
          <cell r="H19">
            <v>6</v>
          </cell>
          <cell r="I19">
            <v>82</v>
          </cell>
        </row>
        <row r="26">
          <cell r="E26">
            <v>0</v>
          </cell>
          <cell r="H26">
            <v>0</v>
          </cell>
        </row>
        <row r="27">
          <cell r="E27">
            <v>0</v>
          </cell>
          <cell r="H27">
            <v>0</v>
          </cell>
        </row>
        <row r="28">
          <cell r="E28">
            <v>0</v>
          </cell>
          <cell r="H28">
            <v>0</v>
          </cell>
        </row>
        <row r="29">
          <cell r="E29">
            <v>17335</v>
          </cell>
          <cell r="H29">
            <v>10352</v>
          </cell>
        </row>
        <row r="30">
          <cell r="E30">
            <v>0</v>
          </cell>
          <cell r="H30">
            <v>0</v>
          </cell>
        </row>
        <row r="31">
          <cell r="E31">
            <v>7103</v>
          </cell>
          <cell r="H31">
            <v>4209</v>
          </cell>
        </row>
        <row r="32">
          <cell r="E32">
            <v>3294</v>
          </cell>
          <cell r="H32">
            <v>312</v>
          </cell>
        </row>
        <row r="33">
          <cell r="E33">
            <v>0</v>
          </cell>
          <cell r="H33">
            <v>0</v>
          </cell>
        </row>
        <row r="36">
          <cell r="E36">
            <v>1343</v>
          </cell>
          <cell r="H36">
            <v>556</v>
          </cell>
        </row>
        <row r="53">
          <cell r="F53">
            <v>7</v>
          </cell>
          <cell r="G53">
            <v>1</v>
          </cell>
          <cell r="H53">
            <v>8</v>
          </cell>
          <cell r="I53">
            <v>52</v>
          </cell>
        </row>
        <row r="54">
          <cell r="F54">
            <v>0</v>
          </cell>
          <cell r="G54">
            <v>0</v>
          </cell>
          <cell r="H54">
            <v>0</v>
          </cell>
          <cell r="I54">
            <v>0</v>
          </cell>
        </row>
        <row r="55">
          <cell r="F55">
            <v>0</v>
          </cell>
          <cell r="G55">
            <v>0</v>
          </cell>
          <cell r="H55">
            <v>0</v>
          </cell>
          <cell r="I55">
            <v>0</v>
          </cell>
        </row>
        <row r="56">
          <cell r="F56">
            <v>15</v>
          </cell>
          <cell r="G56">
            <v>2</v>
          </cell>
          <cell r="H56">
            <v>11</v>
          </cell>
          <cell r="I56">
            <v>38</v>
          </cell>
        </row>
        <row r="57">
          <cell r="F57">
            <v>0</v>
          </cell>
          <cell r="G57">
            <v>0</v>
          </cell>
          <cell r="H57">
            <v>0</v>
          </cell>
          <cell r="I57">
            <v>0</v>
          </cell>
        </row>
        <row r="58">
          <cell r="F58">
            <v>11</v>
          </cell>
          <cell r="G58">
            <v>1</v>
          </cell>
          <cell r="H58">
            <v>2</v>
          </cell>
          <cell r="I58">
            <v>14</v>
          </cell>
        </row>
        <row r="59">
          <cell r="F59">
            <v>8</v>
          </cell>
          <cell r="G59">
            <v>2</v>
          </cell>
          <cell r="H59">
            <v>1</v>
          </cell>
          <cell r="I59">
            <v>11</v>
          </cell>
        </row>
        <row r="60">
          <cell r="F60">
            <v>0</v>
          </cell>
          <cell r="G60">
            <v>0</v>
          </cell>
          <cell r="H60">
            <v>0</v>
          </cell>
          <cell r="I60">
            <v>0</v>
          </cell>
        </row>
        <row r="61">
          <cell r="F61">
            <v>1</v>
          </cell>
          <cell r="G61">
            <v>1</v>
          </cell>
          <cell r="H61">
            <v>0</v>
          </cell>
          <cell r="I61">
            <v>4</v>
          </cell>
        </row>
        <row r="62">
          <cell r="I62">
            <v>4</v>
          </cell>
        </row>
        <row r="63">
          <cell r="F63">
            <v>3</v>
          </cell>
          <cell r="G63">
            <v>1</v>
          </cell>
          <cell r="H63">
            <v>1</v>
          </cell>
          <cell r="I63">
            <v>11</v>
          </cell>
        </row>
        <row r="70">
          <cell r="E70">
            <v>843</v>
          </cell>
          <cell r="H70">
            <v>326</v>
          </cell>
        </row>
        <row r="71">
          <cell r="E71">
            <v>0</v>
          </cell>
          <cell r="H71">
            <v>0</v>
          </cell>
        </row>
        <row r="72">
          <cell r="E72">
            <v>0</v>
          </cell>
          <cell r="H72">
            <v>0</v>
          </cell>
        </row>
        <row r="73">
          <cell r="E73">
            <v>1537</v>
          </cell>
          <cell r="H73">
            <v>454</v>
          </cell>
        </row>
        <row r="74">
          <cell r="E74">
            <v>0</v>
          </cell>
          <cell r="H74">
            <v>0</v>
          </cell>
        </row>
        <row r="75">
          <cell r="E75">
            <v>913</v>
          </cell>
          <cell r="H75">
            <v>806</v>
          </cell>
        </row>
        <row r="76">
          <cell r="E76">
            <v>1496</v>
          </cell>
          <cell r="H76">
            <v>276</v>
          </cell>
        </row>
        <row r="77">
          <cell r="E77">
            <v>0</v>
          </cell>
          <cell r="H77">
            <v>0</v>
          </cell>
        </row>
        <row r="78">
          <cell r="E78">
            <v>409</v>
          </cell>
          <cell r="H78">
            <v>0</v>
          </cell>
        </row>
        <row r="79">
          <cell r="E79">
            <v>0</v>
          </cell>
          <cell r="H79">
            <v>0</v>
          </cell>
        </row>
        <row r="80">
          <cell r="E80">
            <v>245</v>
          </cell>
          <cell r="H80">
            <v>49</v>
          </cell>
        </row>
      </sheetData>
      <sheetData sheetId="15">
        <row r="5">
          <cell r="F5">
            <v>42.959001782531196</v>
          </cell>
        </row>
        <row r="6">
          <cell r="D6">
            <v>486</v>
          </cell>
          <cell r="E6">
            <v>194</v>
          </cell>
          <cell r="F6">
            <v>39.91769547325103</v>
          </cell>
        </row>
        <row r="7">
          <cell r="D7">
            <v>75</v>
          </cell>
          <cell r="E7">
            <v>47</v>
          </cell>
          <cell r="F7">
            <v>62.666666666666664</v>
          </cell>
        </row>
      </sheetData>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53556</v>
          </cell>
          <cell r="R12">
            <v>5608</v>
          </cell>
        </row>
        <row r="13">
          <cell r="D13"/>
          <cell r="R13"/>
        </row>
        <row r="14">
          <cell r="D14">
            <v>0</v>
          </cell>
          <cell r="R14">
            <v>0</v>
          </cell>
        </row>
        <row r="17">
          <cell r="D17">
            <v>42682</v>
          </cell>
          <cell r="R17">
            <v>2458</v>
          </cell>
        </row>
        <row r="20">
          <cell r="D20">
            <v>0</v>
          </cell>
          <cell r="R20">
            <v>0</v>
          </cell>
        </row>
        <row r="24">
          <cell r="D24">
            <v>17988</v>
          </cell>
          <cell r="R24">
            <v>2250</v>
          </cell>
        </row>
        <row r="29">
          <cell r="D29"/>
          <cell r="R29"/>
        </row>
        <row r="30">
          <cell r="D30">
            <v>6241</v>
          </cell>
          <cell r="R30">
            <v>2137</v>
          </cell>
        </row>
        <row r="35">
          <cell r="D35">
            <v>325</v>
          </cell>
          <cell r="R35">
            <v>325</v>
          </cell>
        </row>
        <row r="36">
          <cell r="D36">
            <v>493</v>
          </cell>
          <cell r="R36">
            <v>493</v>
          </cell>
        </row>
        <row r="40">
          <cell r="D40">
            <v>8171</v>
          </cell>
          <cell r="R40">
            <v>789</v>
          </cell>
        </row>
      </sheetData>
      <sheetData sheetId="4"/>
      <sheetData sheetId="5"/>
      <sheetData sheetId="6"/>
      <sheetData sheetId="7"/>
      <sheetData sheetId="8"/>
      <sheetData sheetId="9"/>
      <sheetData sheetId="10"/>
      <sheetData sheetId="11"/>
      <sheetData sheetId="12"/>
      <sheetData sheetId="13"/>
      <sheetData sheetId="14">
        <row r="9">
          <cell r="D9">
            <v>0</v>
          </cell>
          <cell r="F9">
            <v>0</v>
          </cell>
          <cell r="G9">
            <v>0</v>
          </cell>
          <cell r="H9">
            <v>0</v>
          </cell>
          <cell r="I9">
            <v>269</v>
          </cell>
        </row>
        <row r="10">
          <cell r="D10">
            <v>0</v>
          </cell>
          <cell r="F10"/>
          <cell r="G10"/>
          <cell r="H10"/>
          <cell r="I10"/>
        </row>
        <row r="11">
          <cell r="D11">
            <v>0</v>
          </cell>
          <cell r="F11"/>
          <cell r="G11"/>
          <cell r="H11"/>
          <cell r="I11"/>
        </row>
        <row r="12">
          <cell r="D12">
            <v>132</v>
          </cell>
          <cell r="F12">
            <v>60</v>
          </cell>
          <cell r="G12">
            <v>33</v>
          </cell>
          <cell r="H12">
            <v>39</v>
          </cell>
          <cell r="I12">
            <v>155</v>
          </cell>
        </row>
        <row r="13">
          <cell r="D13">
            <v>0</v>
          </cell>
          <cell r="F13"/>
          <cell r="G13"/>
          <cell r="H13"/>
          <cell r="I13"/>
        </row>
        <row r="14">
          <cell r="D14">
            <v>52</v>
          </cell>
          <cell r="F14">
            <v>23</v>
          </cell>
          <cell r="G14">
            <v>14</v>
          </cell>
          <cell r="H14">
            <v>15</v>
          </cell>
          <cell r="I14">
            <v>61</v>
          </cell>
        </row>
        <row r="15">
          <cell r="D15">
            <v>8</v>
          </cell>
          <cell r="F15">
            <v>4</v>
          </cell>
          <cell r="G15">
            <v>4</v>
          </cell>
          <cell r="H15">
            <v>0</v>
          </cell>
          <cell r="I15">
            <v>9</v>
          </cell>
        </row>
        <row r="16">
          <cell r="F16">
            <v>0</v>
          </cell>
          <cell r="G16">
            <v>0</v>
          </cell>
          <cell r="H16">
            <v>0</v>
          </cell>
          <cell r="I16">
            <v>0</v>
          </cell>
        </row>
        <row r="17">
          <cell r="D17">
            <v>0</v>
          </cell>
          <cell r="I17">
            <v>0</v>
          </cell>
        </row>
        <row r="18">
          <cell r="I18">
            <v>0</v>
          </cell>
        </row>
        <row r="19">
          <cell r="D19">
            <v>22</v>
          </cell>
          <cell r="F19">
            <v>15</v>
          </cell>
          <cell r="G19">
            <v>3</v>
          </cell>
          <cell r="H19">
            <v>4</v>
          </cell>
          <cell r="I19">
            <v>79</v>
          </cell>
        </row>
        <row r="26">
          <cell r="D26">
            <v>0</v>
          </cell>
          <cell r="E26">
            <v>0</v>
          </cell>
          <cell r="H26">
            <v>0</v>
          </cell>
        </row>
        <row r="27">
          <cell r="D27">
            <v>0</v>
          </cell>
          <cell r="E27"/>
          <cell r="H27"/>
        </row>
        <row r="28">
          <cell r="D28">
            <v>0</v>
          </cell>
          <cell r="E28"/>
          <cell r="H28"/>
        </row>
        <row r="29">
          <cell r="D29">
            <v>28082</v>
          </cell>
          <cell r="E29">
            <v>21465</v>
          </cell>
          <cell r="H29">
            <v>6617</v>
          </cell>
        </row>
        <row r="30">
          <cell r="D30">
            <v>0</v>
          </cell>
          <cell r="E30"/>
          <cell r="H30"/>
        </row>
        <row r="31">
          <cell r="D31">
            <v>11090</v>
          </cell>
          <cell r="E31">
            <v>8668</v>
          </cell>
          <cell r="H31">
            <v>2422</v>
          </cell>
        </row>
        <row r="32">
          <cell r="D32">
            <v>3764</v>
          </cell>
          <cell r="E32">
            <v>3764</v>
          </cell>
          <cell r="H32">
            <v>0</v>
          </cell>
        </row>
        <row r="33">
          <cell r="E33">
            <v>0</v>
          </cell>
          <cell r="H33">
            <v>0</v>
          </cell>
        </row>
        <row r="34">
          <cell r="D34">
            <v>0</v>
          </cell>
        </row>
        <row r="36">
          <cell r="D36">
            <v>1866</v>
          </cell>
          <cell r="E36">
            <v>1665</v>
          </cell>
          <cell r="H36">
            <v>201</v>
          </cell>
        </row>
        <row r="53">
          <cell r="D53">
            <v>0</v>
          </cell>
          <cell r="F53">
            <v>0</v>
          </cell>
          <cell r="G53">
            <v>0</v>
          </cell>
          <cell r="H53">
            <v>0</v>
          </cell>
          <cell r="I53">
            <v>52</v>
          </cell>
        </row>
        <row r="54">
          <cell r="D54">
            <v>0</v>
          </cell>
          <cell r="F54"/>
          <cell r="G54"/>
          <cell r="H54"/>
          <cell r="I54"/>
        </row>
        <row r="55">
          <cell r="D55">
            <v>0</v>
          </cell>
          <cell r="F55"/>
          <cell r="G55"/>
          <cell r="H55"/>
          <cell r="I55"/>
        </row>
        <row r="56">
          <cell r="D56">
            <v>26</v>
          </cell>
          <cell r="F56">
            <v>14</v>
          </cell>
          <cell r="G56">
            <v>2</v>
          </cell>
          <cell r="H56">
            <v>10</v>
          </cell>
          <cell r="I56">
            <v>36</v>
          </cell>
        </row>
        <row r="57">
          <cell r="D57">
            <v>0</v>
          </cell>
          <cell r="F57"/>
          <cell r="G57"/>
          <cell r="H57"/>
          <cell r="I57"/>
        </row>
        <row r="58">
          <cell r="D58">
            <v>14</v>
          </cell>
          <cell r="F58">
            <v>11</v>
          </cell>
          <cell r="G58">
            <v>1</v>
          </cell>
          <cell r="H58">
            <v>2</v>
          </cell>
          <cell r="I58">
            <v>14</v>
          </cell>
        </row>
        <row r="59">
          <cell r="D59">
            <v>12</v>
          </cell>
          <cell r="F59">
            <v>9</v>
          </cell>
          <cell r="G59">
            <v>2</v>
          </cell>
          <cell r="H59">
            <v>1</v>
          </cell>
          <cell r="I59">
            <v>12</v>
          </cell>
        </row>
        <row r="60">
          <cell r="F60">
            <v>0</v>
          </cell>
          <cell r="G60">
            <v>0</v>
          </cell>
          <cell r="H60">
            <v>0</v>
          </cell>
          <cell r="I60">
            <v>0</v>
          </cell>
        </row>
        <row r="61">
          <cell r="D61">
            <v>1</v>
          </cell>
          <cell r="F61">
            <v>1</v>
          </cell>
          <cell r="G61">
            <v>0</v>
          </cell>
          <cell r="H61">
            <v>0</v>
          </cell>
          <cell r="I61">
            <v>5</v>
          </cell>
        </row>
        <row r="62">
          <cell r="I62">
            <v>5</v>
          </cell>
        </row>
        <row r="63">
          <cell r="D63">
            <v>4</v>
          </cell>
          <cell r="F63">
            <v>3</v>
          </cell>
          <cell r="G63">
            <v>1</v>
          </cell>
          <cell r="H63">
            <v>0</v>
          </cell>
          <cell r="I63">
            <v>11</v>
          </cell>
        </row>
        <row r="70">
          <cell r="D70">
            <v>0</v>
          </cell>
          <cell r="E70">
            <v>0</v>
          </cell>
          <cell r="H70">
            <v>0</v>
          </cell>
        </row>
        <row r="71">
          <cell r="D71">
            <v>0</v>
          </cell>
          <cell r="E71"/>
          <cell r="H71"/>
        </row>
        <row r="72">
          <cell r="D72">
            <v>0</v>
          </cell>
          <cell r="E72"/>
          <cell r="H72"/>
        </row>
        <row r="73">
          <cell r="D73">
            <v>1796</v>
          </cell>
          <cell r="E73">
            <v>1367</v>
          </cell>
          <cell r="H73">
            <v>429</v>
          </cell>
        </row>
        <row r="74">
          <cell r="D74">
            <v>0</v>
          </cell>
          <cell r="E74"/>
          <cell r="H74"/>
        </row>
        <row r="75">
          <cell r="D75">
            <v>1750</v>
          </cell>
          <cell r="E75">
            <v>1028</v>
          </cell>
          <cell r="H75">
            <v>722</v>
          </cell>
        </row>
        <row r="76">
          <cell r="D76">
            <v>2130</v>
          </cell>
          <cell r="E76">
            <v>1871</v>
          </cell>
          <cell r="H76">
            <v>259</v>
          </cell>
        </row>
        <row r="77">
          <cell r="E77">
            <v>0</v>
          </cell>
          <cell r="H77">
            <v>0</v>
          </cell>
        </row>
        <row r="78">
          <cell r="D78">
            <v>160</v>
          </cell>
          <cell r="E78">
            <v>160</v>
          </cell>
          <cell r="H78">
            <v>0</v>
          </cell>
        </row>
        <row r="79">
          <cell r="E79">
            <v>0</v>
          </cell>
          <cell r="H79">
            <v>0</v>
          </cell>
        </row>
        <row r="80">
          <cell r="D80">
            <v>258</v>
          </cell>
          <cell r="E80">
            <v>258</v>
          </cell>
          <cell r="H80">
            <v>0</v>
          </cell>
        </row>
        <row r="97">
          <cell r="D97">
            <v>0</v>
          </cell>
        </row>
        <row r="98">
          <cell r="D98">
            <v>0</v>
          </cell>
        </row>
        <row r="99">
          <cell r="D99">
            <v>0</v>
          </cell>
        </row>
        <row r="100">
          <cell r="D100">
            <v>158</v>
          </cell>
        </row>
        <row r="101">
          <cell r="D101">
            <v>0</v>
          </cell>
        </row>
        <row r="102">
          <cell r="D102">
            <v>66</v>
          </cell>
        </row>
        <row r="103">
          <cell r="D103">
            <v>20</v>
          </cell>
        </row>
        <row r="105">
          <cell r="D105">
            <v>1</v>
          </cell>
        </row>
        <row r="107">
          <cell r="D107">
            <v>26</v>
          </cell>
        </row>
        <row r="114">
          <cell r="D114">
            <v>0</v>
          </cell>
        </row>
        <row r="115">
          <cell r="D115">
            <v>0</v>
          </cell>
        </row>
        <row r="116">
          <cell r="D116">
            <v>0</v>
          </cell>
        </row>
        <row r="117">
          <cell r="D117">
            <v>29878</v>
          </cell>
        </row>
        <row r="118">
          <cell r="D118">
            <v>0</v>
          </cell>
        </row>
        <row r="119">
          <cell r="D119">
            <v>12840</v>
          </cell>
        </row>
        <row r="120">
          <cell r="D120">
            <v>5894</v>
          </cell>
        </row>
        <row r="122">
          <cell r="D122">
            <v>160</v>
          </cell>
        </row>
        <row r="124">
          <cell r="D124">
            <v>2124</v>
          </cell>
        </row>
      </sheetData>
      <sheetData sheetId="15">
        <row r="5">
          <cell r="F5">
            <v>42.652329749103941</v>
          </cell>
        </row>
        <row r="6">
          <cell r="D6">
            <v>483</v>
          </cell>
          <cell r="E6">
            <v>192</v>
          </cell>
          <cell r="F6">
            <v>39.751552795031053</v>
          </cell>
        </row>
        <row r="7">
          <cell r="D7">
            <v>75</v>
          </cell>
          <cell r="E7">
            <v>46</v>
          </cell>
          <cell r="F7">
            <v>61.333333333333336</v>
          </cell>
        </row>
      </sheetData>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639789</v>
          </cell>
          <cell r="R12">
            <v>7244</v>
          </cell>
        </row>
        <row r="13">
          <cell r="D13">
            <v>0</v>
          </cell>
          <cell r="R13">
            <v>0</v>
          </cell>
        </row>
        <row r="14">
          <cell r="D14">
            <v>159118</v>
          </cell>
          <cell r="R14">
            <v>1784</v>
          </cell>
        </row>
        <row r="17">
          <cell r="D17">
            <v>7605</v>
          </cell>
          <cell r="R17">
            <v>363</v>
          </cell>
        </row>
        <row r="20">
          <cell r="D20">
            <v>298907</v>
          </cell>
          <cell r="R20">
            <v>23224</v>
          </cell>
        </row>
        <row r="24">
          <cell r="D24">
            <v>334404</v>
          </cell>
          <cell r="R24">
            <v>53866</v>
          </cell>
        </row>
        <row r="29">
          <cell r="D29">
            <v>0</v>
          </cell>
          <cell r="R29">
            <v>0</v>
          </cell>
        </row>
        <row r="30">
          <cell r="D30">
            <v>196654</v>
          </cell>
          <cell r="R30">
            <v>8574</v>
          </cell>
        </row>
        <row r="35">
          <cell r="D35">
            <v>4872</v>
          </cell>
          <cell r="R35">
            <v>4872</v>
          </cell>
        </row>
        <row r="36">
          <cell r="D36">
            <v>8133</v>
          </cell>
          <cell r="R36">
            <v>8133</v>
          </cell>
        </row>
        <row r="40">
          <cell r="D40">
            <v>90211</v>
          </cell>
          <cell r="R40">
            <v>10018</v>
          </cell>
        </row>
      </sheetData>
      <sheetData sheetId="4"/>
      <sheetData sheetId="5"/>
      <sheetData sheetId="6"/>
      <sheetData sheetId="7"/>
      <sheetData sheetId="8"/>
      <sheetData sheetId="9"/>
      <sheetData sheetId="10"/>
      <sheetData sheetId="11"/>
      <sheetData sheetId="12"/>
      <sheetData sheetId="13">
        <row r="9">
          <cell r="F9">
            <v>9</v>
          </cell>
          <cell r="H9">
            <v>2655</v>
          </cell>
          <cell r="I9">
            <v>2978</v>
          </cell>
        </row>
        <row r="10">
          <cell r="F10">
            <v>0</v>
          </cell>
          <cell r="I10">
            <v>0</v>
          </cell>
        </row>
        <row r="11">
          <cell r="F11">
            <v>308</v>
          </cell>
          <cell r="I11">
            <v>568</v>
          </cell>
        </row>
        <row r="12">
          <cell r="F12">
            <v>51</v>
          </cell>
          <cell r="I12">
            <v>51</v>
          </cell>
        </row>
        <row r="13">
          <cell r="F13">
            <v>108</v>
          </cell>
          <cell r="I13">
            <v>508</v>
          </cell>
        </row>
        <row r="14">
          <cell r="F14">
            <v>134</v>
          </cell>
          <cell r="I14">
            <v>513</v>
          </cell>
        </row>
        <row r="15">
          <cell r="F15">
            <v>232</v>
          </cell>
          <cell r="I15">
            <v>232</v>
          </cell>
        </row>
        <row r="16">
          <cell r="I16">
            <v>0</v>
          </cell>
        </row>
        <row r="17">
          <cell r="F17">
            <v>188</v>
          </cell>
          <cell r="H17">
            <v>260</v>
          </cell>
          <cell r="I17">
            <v>631</v>
          </cell>
        </row>
        <row r="24">
          <cell r="E24">
            <v>2494</v>
          </cell>
          <cell r="H24">
            <v>230556</v>
          </cell>
        </row>
        <row r="25">
          <cell r="E25">
            <v>0</v>
          </cell>
        </row>
        <row r="26">
          <cell r="E26">
            <v>82740</v>
          </cell>
        </row>
        <row r="27">
          <cell r="E27">
            <v>6308</v>
          </cell>
        </row>
        <row r="28">
          <cell r="E28">
            <v>36031</v>
          </cell>
        </row>
        <row r="29">
          <cell r="E29">
            <v>51072</v>
          </cell>
        </row>
        <row r="30">
          <cell r="E30">
            <v>187670</v>
          </cell>
        </row>
        <row r="31">
          <cell r="E31">
            <v>0</v>
          </cell>
        </row>
        <row r="34">
          <cell r="E34">
            <v>26086</v>
          </cell>
          <cell r="H34">
            <v>7886</v>
          </cell>
        </row>
        <row r="51">
          <cell r="F51">
            <v>6</v>
          </cell>
          <cell r="H51">
            <v>24</v>
          </cell>
          <cell r="I51">
            <v>51</v>
          </cell>
        </row>
        <row r="52">
          <cell r="F52">
            <v>0</v>
          </cell>
          <cell r="I52">
            <v>0</v>
          </cell>
        </row>
        <row r="53">
          <cell r="F53">
            <v>2</v>
          </cell>
          <cell r="I53">
            <v>8</v>
          </cell>
        </row>
        <row r="54">
          <cell r="F54">
            <v>2</v>
          </cell>
          <cell r="I54">
            <v>3</v>
          </cell>
        </row>
        <row r="55">
          <cell r="F55">
            <v>14</v>
          </cell>
          <cell r="I55">
            <v>56</v>
          </cell>
        </row>
        <row r="56">
          <cell r="F56">
            <v>16</v>
          </cell>
          <cell r="I56">
            <v>114</v>
          </cell>
        </row>
        <row r="57">
          <cell r="F57">
            <v>14</v>
          </cell>
          <cell r="I57">
            <v>20</v>
          </cell>
        </row>
        <row r="58">
          <cell r="F58">
            <v>2</v>
          </cell>
          <cell r="H58">
            <v>36</v>
          </cell>
          <cell r="I58">
            <v>40</v>
          </cell>
        </row>
        <row r="59">
          <cell r="F59">
            <v>54</v>
          </cell>
          <cell r="H59">
            <v>2</v>
          </cell>
          <cell r="I59">
            <v>85</v>
          </cell>
        </row>
        <row r="66">
          <cell r="E66">
            <v>842</v>
          </cell>
          <cell r="H66">
            <v>1728</v>
          </cell>
        </row>
        <row r="67">
          <cell r="E67">
            <v>0</v>
          </cell>
        </row>
        <row r="68">
          <cell r="E68">
            <v>601</v>
          </cell>
        </row>
        <row r="69">
          <cell r="E69">
            <v>270</v>
          </cell>
        </row>
        <row r="70">
          <cell r="E70">
            <v>1975</v>
          </cell>
        </row>
        <row r="71">
          <cell r="E71">
            <v>5257</v>
          </cell>
        </row>
        <row r="72">
          <cell r="E72">
            <v>5548</v>
          </cell>
        </row>
        <row r="73">
          <cell r="E73">
            <v>0</v>
          </cell>
        </row>
        <row r="74">
          <cell r="E74">
            <v>1215</v>
          </cell>
          <cell r="H74">
            <v>3218</v>
          </cell>
        </row>
        <row r="75">
          <cell r="E75">
            <v>495</v>
          </cell>
          <cell r="H75">
            <v>3074</v>
          </cell>
        </row>
        <row r="76">
          <cell r="E76">
            <v>6696</v>
          </cell>
          <cell r="H76">
            <v>58</v>
          </cell>
        </row>
      </sheetData>
      <sheetData sheetId="14">
        <row r="5">
          <cell r="F5">
            <v>70.424221690044476</v>
          </cell>
        </row>
        <row r="6">
          <cell r="D6">
            <v>5480</v>
          </cell>
          <cell r="E6">
            <v>3945</v>
          </cell>
          <cell r="F6">
            <v>71.989051094890513</v>
          </cell>
        </row>
        <row r="7">
          <cell r="D7">
            <v>366</v>
          </cell>
          <cell r="E7">
            <v>172</v>
          </cell>
          <cell r="F7">
            <v>46.994535519125684</v>
          </cell>
        </row>
      </sheetData>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625460</v>
          </cell>
          <cell r="R12">
            <v>7600</v>
          </cell>
        </row>
        <row r="13">
          <cell r="R13">
            <v>0</v>
          </cell>
        </row>
        <row r="14">
          <cell r="D14">
            <v>139597</v>
          </cell>
          <cell r="R14">
            <v>1790</v>
          </cell>
        </row>
        <row r="17">
          <cell r="D17">
            <v>19335</v>
          </cell>
          <cell r="R17">
            <v>1222</v>
          </cell>
        </row>
        <row r="20">
          <cell r="D20">
            <v>281947</v>
          </cell>
          <cell r="R20">
            <v>22907</v>
          </cell>
        </row>
        <row r="24">
          <cell r="D24">
            <v>331493</v>
          </cell>
          <cell r="R24">
            <v>53730</v>
          </cell>
        </row>
        <row r="29">
          <cell r="D29">
            <v>68</v>
          </cell>
          <cell r="R29">
            <v>0</v>
          </cell>
        </row>
        <row r="30">
          <cell r="D30">
            <v>204066</v>
          </cell>
          <cell r="R30">
            <v>8775</v>
          </cell>
        </row>
        <row r="35">
          <cell r="D35">
            <v>4813</v>
          </cell>
          <cell r="R35">
            <v>4813</v>
          </cell>
        </row>
        <row r="36">
          <cell r="D36">
            <v>7994</v>
          </cell>
          <cell r="R36">
            <v>7994</v>
          </cell>
        </row>
        <row r="40">
          <cell r="D40">
            <v>86177</v>
          </cell>
          <cell r="R40">
            <v>10104</v>
          </cell>
        </row>
      </sheetData>
      <sheetData sheetId="4"/>
      <sheetData sheetId="5"/>
      <sheetData sheetId="6"/>
      <sheetData sheetId="7"/>
      <sheetData sheetId="8"/>
      <sheetData sheetId="9"/>
      <sheetData sheetId="10"/>
      <sheetData sheetId="11"/>
      <sheetData sheetId="12"/>
      <sheetData sheetId="13">
        <row r="9">
          <cell r="F9">
            <v>9</v>
          </cell>
          <cell r="H9">
            <v>2615</v>
          </cell>
          <cell r="I9">
            <v>2891</v>
          </cell>
        </row>
        <row r="10">
          <cell r="F10">
            <v>0</v>
          </cell>
          <cell r="I10">
            <v>0</v>
          </cell>
        </row>
        <row r="11">
          <cell r="F11">
            <v>296</v>
          </cell>
          <cell r="I11">
            <v>527</v>
          </cell>
        </row>
        <row r="12">
          <cell r="F12">
            <v>88</v>
          </cell>
          <cell r="I12">
            <v>88</v>
          </cell>
        </row>
        <row r="13">
          <cell r="F13">
            <v>112</v>
          </cell>
          <cell r="I13">
            <v>507</v>
          </cell>
        </row>
        <row r="14">
          <cell r="F14">
            <v>138</v>
          </cell>
          <cell r="I14">
            <v>513</v>
          </cell>
        </row>
        <row r="15">
          <cell r="F15">
            <v>260</v>
          </cell>
          <cell r="H15">
            <v>1</v>
          </cell>
          <cell r="I15">
            <v>261</v>
          </cell>
        </row>
        <row r="16">
          <cell r="F16">
            <v>1</v>
          </cell>
          <cell r="H16">
            <v>1</v>
          </cell>
          <cell r="I16">
            <v>2</v>
          </cell>
        </row>
        <row r="17">
          <cell r="I17">
            <v>0</v>
          </cell>
        </row>
        <row r="18">
          <cell r="I18">
            <v>0</v>
          </cell>
        </row>
        <row r="19">
          <cell r="F19">
            <v>191</v>
          </cell>
          <cell r="H19">
            <v>249</v>
          </cell>
          <cell r="I19">
            <v>608</v>
          </cell>
        </row>
        <row r="26">
          <cell r="E26">
            <v>2505</v>
          </cell>
          <cell r="H26">
            <v>235240</v>
          </cell>
        </row>
        <row r="27">
          <cell r="E27">
            <v>0</v>
          </cell>
        </row>
        <row r="28">
          <cell r="E28">
            <v>77692</v>
          </cell>
        </row>
        <row r="29">
          <cell r="E29">
            <v>16079</v>
          </cell>
        </row>
        <row r="30">
          <cell r="E30">
            <v>43151</v>
          </cell>
        </row>
        <row r="31">
          <cell r="E31">
            <v>62822</v>
          </cell>
        </row>
        <row r="32">
          <cell r="E32">
            <v>194970</v>
          </cell>
          <cell r="H32">
            <v>68</v>
          </cell>
        </row>
        <row r="33">
          <cell r="E33">
            <v>0</v>
          </cell>
          <cell r="H33">
            <v>68</v>
          </cell>
        </row>
        <row r="36">
          <cell r="E36">
            <v>26021</v>
          </cell>
          <cell r="H36">
            <v>7456</v>
          </cell>
        </row>
        <row r="53">
          <cell r="F53">
            <v>6</v>
          </cell>
          <cell r="H53">
            <v>25</v>
          </cell>
          <cell r="I53">
            <v>54</v>
          </cell>
        </row>
        <row r="54">
          <cell r="I54">
            <v>0</v>
          </cell>
        </row>
        <row r="55">
          <cell r="F55">
            <v>2</v>
          </cell>
          <cell r="I55">
            <v>9</v>
          </cell>
        </row>
        <row r="56">
          <cell r="F56">
            <v>7</v>
          </cell>
          <cell r="I56">
            <v>8</v>
          </cell>
        </row>
        <row r="57">
          <cell r="F57">
            <v>15</v>
          </cell>
          <cell r="I57">
            <v>59</v>
          </cell>
        </row>
        <row r="58">
          <cell r="F58">
            <v>18</v>
          </cell>
          <cell r="I58">
            <v>114</v>
          </cell>
        </row>
        <row r="59">
          <cell r="F59">
            <v>15</v>
          </cell>
          <cell r="I59">
            <v>22</v>
          </cell>
        </row>
        <row r="60">
          <cell r="F60">
            <v>0</v>
          </cell>
          <cell r="I60">
            <v>1</v>
          </cell>
        </row>
        <row r="61">
          <cell r="F61">
            <v>11</v>
          </cell>
          <cell r="H61">
            <v>35</v>
          </cell>
          <cell r="I61">
            <v>46</v>
          </cell>
        </row>
        <row r="62">
          <cell r="F62">
            <v>1</v>
          </cell>
          <cell r="H62">
            <v>35</v>
          </cell>
          <cell r="I62">
            <v>40</v>
          </cell>
        </row>
        <row r="63">
          <cell r="F63">
            <v>43</v>
          </cell>
          <cell r="H63">
            <v>3</v>
          </cell>
          <cell r="I63">
            <v>75</v>
          </cell>
        </row>
        <row r="70">
          <cell r="E70">
            <v>858</v>
          </cell>
          <cell r="H70">
            <v>1887</v>
          </cell>
        </row>
        <row r="71">
          <cell r="E71">
            <v>0</v>
          </cell>
        </row>
        <row r="72">
          <cell r="E72">
            <v>500</v>
          </cell>
        </row>
        <row r="73">
          <cell r="E73">
            <v>1020</v>
          </cell>
        </row>
        <row r="74">
          <cell r="E74">
            <v>2182</v>
          </cell>
        </row>
        <row r="75">
          <cell r="E75">
            <v>6851</v>
          </cell>
        </row>
        <row r="76">
          <cell r="E76">
            <v>5687</v>
          </cell>
        </row>
        <row r="77">
          <cell r="E77">
            <v>0</v>
          </cell>
        </row>
        <row r="78">
          <cell r="E78">
            <v>3007</v>
          </cell>
          <cell r="H78">
            <v>3329</v>
          </cell>
        </row>
        <row r="79">
          <cell r="E79">
            <v>502</v>
          </cell>
          <cell r="H79">
            <v>3134</v>
          </cell>
        </row>
        <row r="80">
          <cell r="E80">
            <v>5455</v>
          </cell>
          <cell r="H80">
            <v>58</v>
          </cell>
        </row>
      </sheetData>
      <sheetData sheetId="14">
        <row r="5">
          <cell r="F5">
            <v>71.670995670995666</v>
          </cell>
        </row>
        <row r="6">
          <cell r="D6">
            <v>5394</v>
          </cell>
          <cell r="E6">
            <v>3959</v>
          </cell>
          <cell r="F6">
            <v>73.396366332962558</v>
          </cell>
        </row>
        <row r="7">
          <cell r="D7">
            <v>381</v>
          </cell>
          <cell r="E7">
            <v>180</v>
          </cell>
          <cell r="F7">
            <v>47.244094488188978</v>
          </cell>
        </row>
      </sheetData>
      <sheetData sheetId="15"/>
      <sheetData sheetId="16"/>
      <sheetData sheetId="17"/>
      <sheetData sheetId="18"/>
      <sheetData sheetId="1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625223</v>
          </cell>
          <cell r="R12">
            <v>7913</v>
          </cell>
        </row>
        <row r="13">
          <cell r="D13">
            <v>0</v>
          </cell>
          <cell r="R13">
            <v>0</v>
          </cell>
        </row>
        <row r="14">
          <cell r="D14">
            <v>119192</v>
          </cell>
          <cell r="R14">
            <v>1703</v>
          </cell>
        </row>
        <row r="17">
          <cell r="D17">
            <v>33047</v>
          </cell>
          <cell r="R17">
            <v>2005</v>
          </cell>
        </row>
        <row r="20">
          <cell r="D20">
            <v>263140</v>
          </cell>
          <cell r="R20">
            <v>22152</v>
          </cell>
        </row>
        <row r="24">
          <cell r="D24">
            <v>326580</v>
          </cell>
          <cell r="R24">
            <v>53227</v>
          </cell>
        </row>
        <row r="29">
          <cell r="D29">
            <v>364</v>
          </cell>
          <cell r="R29">
            <v>0</v>
          </cell>
        </row>
        <row r="30">
          <cell r="D30">
            <v>214976</v>
          </cell>
          <cell r="R30">
            <v>9564</v>
          </cell>
        </row>
        <row r="35">
          <cell r="D35">
            <v>4844</v>
          </cell>
          <cell r="R35">
            <v>4844</v>
          </cell>
        </row>
        <row r="36">
          <cell r="D36">
            <v>7823</v>
          </cell>
          <cell r="R36">
            <v>7823</v>
          </cell>
        </row>
        <row r="40">
          <cell r="D40">
            <v>82273</v>
          </cell>
          <cell r="R40">
            <v>10208</v>
          </cell>
        </row>
      </sheetData>
      <sheetData sheetId="4"/>
      <sheetData sheetId="5"/>
      <sheetData sheetId="6"/>
      <sheetData sheetId="7"/>
      <sheetData sheetId="8"/>
      <sheetData sheetId="9"/>
      <sheetData sheetId="10"/>
      <sheetData sheetId="11"/>
      <sheetData sheetId="12"/>
      <sheetData sheetId="13"/>
      <sheetData sheetId="14">
        <row r="9">
          <cell r="F9">
            <v>9</v>
          </cell>
          <cell r="H9">
            <v>2587</v>
          </cell>
          <cell r="I9">
            <v>2827</v>
          </cell>
        </row>
        <row r="10">
          <cell r="F10">
            <v>0</v>
          </cell>
          <cell r="I10">
            <v>0</v>
          </cell>
        </row>
        <row r="11">
          <cell r="F11">
            <v>285</v>
          </cell>
          <cell r="I11">
            <v>485</v>
          </cell>
        </row>
        <row r="12">
          <cell r="F12">
            <v>110</v>
          </cell>
          <cell r="I12">
            <v>110</v>
          </cell>
        </row>
        <row r="13">
          <cell r="F13">
            <v>117</v>
          </cell>
          <cell r="I13">
            <v>504</v>
          </cell>
        </row>
        <row r="14">
          <cell r="F14">
            <v>141</v>
          </cell>
          <cell r="I14">
            <v>512</v>
          </cell>
        </row>
        <row r="15">
          <cell r="F15">
            <v>279</v>
          </cell>
          <cell r="G15">
            <v>3</v>
          </cell>
          <cell r="H15">
            <v>2</v>
          </cell>
          <cell r="I15">
            <v>284</v>
          </cell>
        </row>
        <row r="16">
          <cell r="F16">
            <v>0</v>
          </cell>
          <cell r="G16">
            <v>3</v>
          </cell>
          <cell r="H16">
            <v>2</v>
          </cell>
          <cell r="I16">
            <v>5</v>
          </cell>
        </row>
        <row r="17">
          <cell r="I17">
            <v>0</v>
          </cell>
        </row>
        <row r="18">
          <cell r="I18">
            <v>0</v>
          </cell>
        </row>
        <row r="19">
          <cell r="F19">
            <v>188</v>
          </cell>
          <cell r="H19">
            <v>226</v>
          </cell>
          <cell r="I19">
            <v>566</v>
          </cell>
        </row>
        <row r="26">
          <cell r="E26">
            <v>2567</v>
          </cell>
          <cell r="H26">
            <v>248321</v>
          </cell>
        </row>
        <row r="27">
          <cell r="E27">
            <v>0</v>
          </cell>
        </row>
        <row r="28">
          <cell r="E28">
            <v>69313</v>
          </cell>
        </row>
        <row r="29">
          <cell r="E29">
            <v>26457</v>
          </cell>
        </row>
        <row r="30">
          <cell r="E30">
            <v>48873</v>
          </cell>
        </row>
        <row r="31">
          <cell r="E31">
            <v>70198</v>
          </cell>
        </row>
        <row r="32">
          <cell r="E32">
            <v>205329</v>
          </cell>
          <cell r="H32">
            <v>289</v>
          </cell>
        </row>
        <row r="33">
          <cell r="E33">
            <v>1</v>
          </cell>
          <cell r="H33">
            <v>289</v>
          </cell>
        </row>
        <row r="36">
          <cell r="E36">
            <v>26501</v>
          </cell>
          <cell r="H36">
            <v>7151</v>
          </cell>
        </row>
        <row r="53">
          <cell r="F53">
            <v>6</v>
          </cell>
          <cell r="H53">
            <v>27</v>
          </cell>
          <cell r="I53">
            <v>56</v>
          </cell>
        </row>
        <row r="54">
          <cell r="F54">
            <v>0</v>
          </cell>
          <cell r="I54">
            <v>0</v>
          </cell>
        </row>
        <row r="55">
          <cell r="F55">
            <v>3</v>
          </cell>
          <cell r="I55">
            <v>9</v>
          </cell>
        </row>
        <row r="56">
          <cell r="F56">
            <v>8</v>
          </cell>
          <cell r="I56">
            <v>9</v>
          </cell>
        </row>
        <row r="57">
          <cell r="F57">
            <v>14</v>
          </cell>
          <cell r="I57">
            <v>59</v>
          </cell>
        </row>
        <row r="58">
          <cell r="F58">
            <v>20</v>
          </cell>
          <cell r="I58">
            <v>113</v>
          </cell>
        </row>
        <row r="59">
          <cell r="F59">
            <v>20</v>
          </cell>
          <cell r="I59">
            <v>27</v>
          </cell>
        </row>
        <row r="60">
          <cell r="I60">
            <v>0</v>
          </cell>
        </row>
        <row r="61">
          <cell r="F61">
            <v>5</v>
          </cell>
          <cell r="G61">
            <v>7</v>
          </cell>
          <cell r="H61">
            <v>28</v>
          </cell>
          <cell r="I61">
            <v>40</v>
          </cell>
        </row>
        <row r="62">
          <cell r="F62">
            <v>5</v>
          </cell>
          <cell r="G62">
            <v>7</v>
          </cell>
          <cell r="H62">
            <v>28</v>
          </cell>
          <cell r="I62">
            <v>40</v>
          </cell>
        </row>
        <row r="63">
          <cell r="F63">
            <v>54</v>
          </cell>
          <cell r="H63">
            <v>4</v>
          </cell>
          <cell r="I63">
            <v>74</v>
          </cell>
        </row>
        <row r="70">
          <cell r="E70">
            <v>793</v>
          </cell>
          <cell r="H70">
            <v>1968</v>
          </cell>
        </row>
        <row r="71">
          <cell r="E71">
            <v>0</v>
          </cell>
        </row>
        <row r="72">
          <cell r="E72">
            <v>456</v>
          </cell>
        </row>
        <row r="73">
          <cell r="E73">
            <v>1711</v>
          </cell>
        </row>
        <row r="74">
          <cell r="E74">
            <v>2046</v>
          </cell>
        </row>
        <row r="75">
          <cell r="E75">
            <v>7964</v>
          </cell>
        </row>
        <row r="76">
          <cell r="E76">
            <v>6398</v>
          </cell>
        </row>
        <row r="77">
          <cell r="E77">
            <v>0</v>
          </cell>
        </row>
        <row r="78">
          <cell r="E78">
            <v>2111</v>
          </cell>
          <cell r="H78">
            <v>3129</v>
          </cell>
        </row>
        <row r="79">
          <cell r="E79">
            <v>236</v>
          </cell>
          <cell r="H79">
            <v>3039</v>
          </cell>
        </row>
        <row r="80">
          <cell r="E80">
            <v>6686</v>
          </cell>
          <cell r="H80">
            <v>102</v>
          </cell>
        </row>
      </sheetData>
      <sheetData sheetId="15">
        <row r="5">
          <cell r="F5">
            <v>73.030142781597036</v>
          </cell>
        </row>
        <row r="6">
          <cell r="D6">
            <v>5287</v>
          </cell>
          <cell r="E6">
            <v>3947</v>
          </cell>
          <cell r="F6">
            <v>74.654813693966332</v>
          </cell>
        </row>
        <row r="7">
          <cell r="D7">
            <v>386</v>
          </cell>
          <cell r="E7">
            <v>196</v>
          </cell>
          <cell r="F7">
            <v>50.777202072538863</v>
          </cell>
        </row>
      </sheetData>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619761</v>
          </cell>
          <cell r="R12">
            <v>8289</v>
          </cell>
        </row>
        <row r="13">
          <cell r="D13">
            <v>0</v>
          </cell>
        </row>
        <row r="14">
          <cell r="D14">
            <v>103475</v>
          </cell>
          <cell r="R14">
            <v>1620</v>
          </cell>
        </row>
        <row r="17">
          <cell r="D17">
            <v>43610</v>
          </cell>
          <cell r="R17">
            <v>2742</v>
          </cell>
        </row>
        <row r="20">
          <cell r="D20">
            <v>248542</v>
          </cell>
          <cell r="R20">
            <v>21817</v>
          </cell>
        </row>
        <row r="24">
          <cell r="D24">
            <v>324937</v>
          </cell>
          <cell r="R24">
            <v>53160</v>
          </cell>
        </row>
        <row r="29">
          <cell r="D29">
            <v>665</v>
          </cell>
          <cell r="R29">
            <v>0</v>
          </cell>
        </row>
        <row r="30">
          <cell r="D30">
            <v>227689</v>
          </cell>
          <cell r="R30">
            <v>10216</v>
          </cell>
        </row>
        <row r="35">
          <cell r="D35">
            <v>4918</v>
          </cell>
          <cell r="R35">
            <v>4918</v>
          </cell>
        </row>
        <row r="36">
          <cell r="D36">
            <v>8086</v>
          </cell>
          <cell r="R36">
            <v>8086</v>
          </cell>
        </row>
        <row r="40">
          <cell r="D40">
            <v>78419</v>
          </cell>
          <cell r="R40">
            <v>10121</v>
          </cell>
        </row>
      </sheetData>
      <sheetData sheetId="4"/>
      <sheetData sheetId="5"/>
      <sheetData sheetId="6"/>
      <sheetData sheetId="7"/>
      <sheetData sheetId="8"/>
      <sheetData sheetId="9"/>
      <sheetData sheetId="10"/>
      <sheetData sheetId="11"/>
      <sheetData sheetId="12"/>
      <sheetData sheetId="13"/>
      <sheetData sheetId="14">
        <row r="9">
          <cell r="F9">
            <v>9</v>
          </cell>
          <cell r="H9">
            <v>2576</v>
          </cell>
          <cell r="I9">
            <v>2786</v>
          </cell>
        </row>
        <row r="11">
          <cell r="F11">
            <v>264</v>
          </cell>
          <cell r="I11">
            <v>448</v>
          </cell>
        </row>
        <row r="12">
          <cell r="F12">
            <v>115</v>
          </cell>
          <cell r="I12">
            <v>115</v>
          </cell>
        </row>
        <row r="13">
          <cell r="F13">
            <v>117</v>
          </cell>
          <cell r="I13">
            <v>499</v>
          </cell>
        </row>
        <row r="14">
          <cell r="F14">
            <v>146</v>
          </cell>
          <cell r="I14">
            <v>511</v>
          </cell>
        </row>
        <row r="15">
          <cell r="F15">
            <v>288</v>
          </cell>
          <cell r="G15">
            <v>2</v>
          </cell>
          <cell r="H15">
            <v>2</v>
          </cell>
          <cell r="I15">
            <v>292</v>
          </cell>
        </row>
        <row r="16">
          <cell r="F16">
            <v>1</v>
          </cell>
          <cell r="G16">
            <v>2</v>
          </cell>
          <cell r="H16">
            <v>2</v>
          </cell>
          <cell r="I16">
            <v>5</v>
          </cell>
        </row>
        <row r="19">
          <cell r="F19">
            <v>185</v>
          </cell>
          <cell r="H19">
            <v>180</v>
          </cell>
          <cell r="I19">
            <v>491</v>
          </cell>
        </row>
        <row r="26">
          <cell r="E26">
            <v>2492</v>
          </cell>
          <cell r="H26">
            <v>257156</v>
          </cell>
        </row>
        <row r="28">
          <cell r="E28">
            <v>60520</v>
          </cell>
        </row>
        <row r="29">
          <cell r="E29">
            <v>37121</v>
          </cell>
        </row>
        <row r="30">
          <cell r="E30">
            <v>51956</v>
          </cell>
        </row>
        <row r="31">
          <cell r="E31">
            <v>72483</v>
          </cell>
        </row>
        <row r="32">
          <cell r="E32">
            <v>217366</v>
          </cell>
          <cell r="H32">
            <v>413</v>
          </cell>
        </row>
        <row r="33">
          <cell r="E33">
            <v>110</v>
          </cell>
          <cell r="H33">
            <v>413</v>
          </cell>
        </row>
        <row r="36">
          <cell r="E36">
            <v>27048</v>
          </cell>
          <cell r="H36">
            <v>6704</v>
          </cell>
        </row>
        <row r="53">
          <cell r="F53">
            <v>6</v>
          </cell>
          <cell r="H53">
            <v>33</v>
          </cell>
          <cell r="I53">
            <v>60</v>
          </cell>
        </row>
        <row r="55">
          <cell r="F55">
            <v>3</v>
          </cell>
          <cell r="I55">
            <v>9</v>
          </cell>
        </row>
        <row r="56">
          <cell r="F56">
            <v>8</v>
          </cell>
          <cell r="I56">
            <v>9</v>
          </cell>
        </row>
        <row r="57">
          <cell r="F57">
            <v>14</v>
          </cell>
          <cell r="I57">
            <v>60</v>
          </cell>
        </row>
        <row r="58">
          <cell r="F58">
            <v>21</v>
          </cell>
          <cell r="I58">
            <v>114</v>
          </cell>
        </row>
        <row r="59">
          <cell r="F59">
            <v>20</v>
          </cell>
          <cell r="I59">
            <v>27</v>
          </cell>
        </row>
        <row r="61">
          <cell r="F61">
            <v>6</v>
          </cell>
          <cell r="G61">
            <v>2</v>
          </cell>
          <cell r="H61">
            <v>34</v>
          </cell>
          <cell r="I61">
            <v>42</v>
          </cell>
        </row>
        <row r="62">
          <cell r="F62">
            <v>6</v>
          </cell>
          <cell r="G62">
            <v>2</v>
          </cell>
          <cell r="H62">
            <v>34</v>
          </cell>
          <cell r="I62">
            <v>42</v>
          </cell>
        </row>
        <row r="63">
          <cell r="F63">
            <v>60</v>
          </cell>
          <cell r="H63">
            <v>12</v>
          </cell>
          <cell r="I63">
            <v>89</v>
          </cell>
        </row>
        <row r="70">
          <cell r="E70">
            <v>738</v>
          </cell>
          <cell r="H70">
            <v>2341</v>
          </cell>
        </row>
        <row r="72">
          <cell r="E72">
            <v>374</v>
          </cell>
        </row>
        <row r="73">
          <cell r="E73">
            <v>2328</v>
          </cell>
        </row>
        <row r="74">
          <cell r="E74">
            <v>2077</v>
          </cell>
        </row>
        <row r="75">
          <cell r="E75">
            <v>8520</v>
          </cell>
        </row>
        <row r="76">
          <cell r="E76">
            <v>6980</v>
          </cell>
        </row>
        <row r="78">
          <cell r="E78">
            <v>1620</v>
          </cell>
          <cell r="H78">
            <v>3141</v>
          </cell>
        </row>
        <row r="79">
          <cell r="E79">
            <v>236</v>
          </cell>
          <cell r="H79">
            <v>3050</v>
          </cell>
        </row>
        <row r="80">
          <cell r="E80">
            <v>6928</v>
          </cell>
          <cell r="H80">
            <v>189</v>
          </cell>
        </row>
      </sheetData>
      <sheetData sheetId="15">
        <row r="5">
          <cell r="F5">
            <v>74.182475158084912</v>
          </cell>
        </row>
        <row r="6">
          <cell r="D6">
            <v>5141</v>
          </cell>
          <cell r="E6">
            <v>3887</v>
          </cell>
          <cell r="F6">
            <v>75.607858393308689</v>
          </cell>
        </row>
        <row r="7">
          <cell r="D7">
            <v>394</v>
          </cell>
          <cell r="E7">
            <v>219</v>
          </cell>
          <cell r="F7">
            <v>55.583756345177662</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Tabelle1"/>
      <sheetName val="SKL2015_BW"/>
    </sheetNames>
    <sheetDataSet>
      <sheetData sheetId="0"/>
      <sheetData sheetId="1"/>
      <sheetData sheetId="2"/>
      <sheetData sheetId="3">
        <row r="12">
          <cell r="D12">
            <v>327487</v>
          </cell>
          <cell r="R12">
            <v>9711</v>
          </cell>
        </row>
        <row r="13">
          <cell r="D13">
            <v>341</v>
          </cell>
          <cell r="R13">
            <v>0</v>
          </cell>
        </row>
        <row r="14">
          <cell r="D14">
            <v>99771</v>
          </cell>
          <cell r="R14">
            <v>4164</v>
          </cell>
        </row>
        <row r="17">
          <cell r="D17">
            <v>0</v>
          </cell>
          <cell r="R17">
            <v>0</v>
          </cell>
        </row>
        <row r="20">
          <cell r="D20">
            <v>224720</v>
          </cell>
          <cell r="R20">
            <v>15154</v>
          </cell>
        </row>
        <row r="24">
          <cell r="D24">
            <v>198766</v>
          </cell>
          <cell r="R24">
            <v>21688</v>
          </cell>
        </row>
        <row r="29">
          <cell r="D29">
            <v>44822</v>
          </cell>
          <cell r="R29">
            <v>605</v>
          </cell>
        </row>
        <row r="30">
          <cell r="D30">
            <v>39130</v>
          </cell>
          <cell r="R30">
            <v>510</v>
          </cell>
        </row>
        <row r="35">
          <cell r="D35">
            <v>7040</v>
          </cell>
          <cell r="R35">
            <v>7040</v>
          </cell>
        </row>
        <row r="36">
          <cell r="D36">
            <v>11526</v>
          </cell>
          <cell r="R36">
            <v>11526</v>
          </cell>
        </row>
        <row r="40">
          <cell r="D40">
            <v>49175</v>
          </cell>
          <cell r="R40">
            <v>15882</v>
          </cell>
        </row>
      </sheetData>
      <sheetData sheetId="4"/>
      <sheetData sheetId="5"/>
      <sheetData sheetId="6"/>
      <sheetData sheetId="7"/>
      <sheetData sheetId="8"/>
      <sheetData sheetId="9"/>
      <sheetData sheetId="10"/>
      <sheetData sheetId="11"/>
      <sheetData sheetId="12"/>
      <sheetData sheetId="13"/>
      <sheetData sheetId="14">
        <row r="9">
          <cell r="F9">
            <v>44</v>
          </cell>
          <cell r="G9">
            <v>60</v>
          </cell>
          <cell r="H9">
            <v>370</v>
          </cell>
          <cell r="I9">
            <v>2172</v>
          </cell>
        </row>
        <row r="10">
          <cell r="F10">
            <v>0</v>
          </cell>
          <cell r="G10">
            <v>0</v>
          </cell>
          <cell r="H10">
            <v>1</v>
          </cell>
          <cell r="I10">
            <v>1</v>
          </cell>
        </row>
        <row r="11">
          <cell r="F11">
            <v>135</v>
          </cell>
          <cell r="G11">
            <v>110</v>
          </cell>
          <cell r="H11">
            <v>171</v>
          </cell>
          <cell r="I11">
            <v>747</v>
          </cell>
        </row>
        <row r="13">
          <cell r="F13">
            <v>6</v>
          </cell>
          <cell r="G13">
            <v>10</v>
          </cell>
          <cell r="H13">
            <v>135</v>
          </cell>
          <cell r="I13">
            <v>429</v>
          </cell>
        </row>
        <row r="14">
          <cell r="F14">
            <v>6</v>
          </cell>
          <cell r="G14">
            <v>12</v>
          </cell>
          <cell r="H14">
            <v>190</v>
          </cell>
          <cell r="I14">
            <v>378</v>
          </cell>
        </row>
        <row r="15">
          <cell r="F15">
            <v>287</v>
          </cell>
          <cell r="G15">
            <v>20</v>
          </cell>
          <cell r="H15">
            <v>89</v>
          </cell>
          <cell r="I15">
            <v>484</v>
          </cell>
        </row>
        <row r="16">
          <cell r="F16">
            <v>13</v>
          </cell>
          <cell r="G16">
            <v>20</v>
          </cell>
          <cell r="H16">
            <v>89</v>
          </cell>
          <cell r="I16">
            <v>210</v>
          </cell>
        </row>
        <row r="19">
          <cell r="F19">
            <v>137</v>
          </cell>
          <cell r="G19">
            <v>19</v>
          </cell>
          <cell r="H19">
            <v>26</v>
          </cell>
          <cell r="I19">
            <v>414</v>
          </cell>
        </row>
        <row r="26">
          <cell r="E26">
            <v>14487</v>
          </cell>
          <cell r="H26">
            <v>30220</v>
          </cell>
        </row>
        <row r="27">
          <cell r="E27">
            <v>0</v>
          </cell>
          <cell r="H27">
            <v>216</v>
          </cell>
        </row>
        <row r="28">
          <cell r="E28">
            <v>31809</v>
          </cell>
          <cell r="H28">
            <v>9552</v>
          </cell>
        </row>
        <row r="30">
          <cell r="E30">
            <v>4416</v>
          </cell>
          <cell r="H30">
            <v>14249</v>
          </cell>
        </row>
        <row r="31">
          <cell r="E31">
            <v>3655</v>
          </cell>
          <cell r="H31">
            <v>34120</v>
          </cell>
        </row>
        <row r="32">
          <cell r="E32">
            <v>42732</v>
          </cell>
          <cell r="H32">
            <v>8224</v>
          </cell>
        </row>
        <row r="33">
          <cell r="E33">
            <v>4481</v>
          </cell>
          <cell r="H33">
            <v>8224</v>
          </cell>
        </row>
        <row r="36">
          <cell r="E36">
            <v>14379</v>
          </cell>
          <cell r="H36">
            <v>679</v>
          </cell>
        </row>
        <row r="53">
          <cell r="F53">
            <v>17</v>
          </cell>
          <cell r="G53">
            <v>2</v>
          </cell>
          <cell r="H53">
            <v>5</v>
          </cell>
          <cell r="I53">
            <v>102</v>
          </cell>
        </row>
        <row r="55">
          <cell r="F55">
            <v>8</v>
          </cell>
          <cell r="G55">
            <v>2</v>
          </cell>
          <cell r="H55">
            <v>1</v>
          </cell>
          <cell r="I55">
            <v>44</v>
          </cell>
        </row>
        <row r="57">
          <cell r="F57">
            <v>21</v>
          </cell>
          <cell r="G57">
            <v>2</v>
          </cell>
          <cell r="H57">
            <v>6</v>
          </cell>
          <cell r="I57">
            <v>78</v>
          </cell>
        </row>
        <row r="58">
          <cell r="F58">
            <v>29</v>
          </cell>
          <cell r="G58">
            <v>0</v>
          </cell>
          <cell r="H58">
            <v>14</v>
          </cell>
          <cell r="I58">
            <v>81</v>
          </cell>
        </row>
        <row r="59">
          <cell r="F59">
            <v>13</v>
          </cell>
          <cell r="G59">
            <v>1</v>
          </cell>
          <cell r="H59">
            <v>0</v>
          </cell>
          <cell r="I59">
            <v>15</v>
          </cell>
        </row>
        <row r="60">
          <cell r="F60">
            <v>4</v>
          </cell>
          <cell r="G60">
            <v>1</v>
          </cell>
          <cell r="H60">
            <v>0</v>
          </cell>
          <cell r="I60">
            <v>6</v>
          </cell>
        </row>
        <row r="61">
          <cell r="F61">
            <v>5</v>
          </cell>
          <cell r="G61">
            <v>4</v>
          </cell>
          <cell r="H61">
            <v>9</v>
          </cell>
          <cell r="I61">
            <v>59</v>
          </cell>
        </row>
        <row r="62">
          <cell r="F62">
            <v>5</v>
          </cell>
          <cell r="G62">
            <v>4</v>
          </cell>
          <cell r="H62">
            <v>9</v>
          </cell>
          <cell r="I62">
            <v>58</v>
          </cell>
        </row>
        <row r="63">
          <cell r="F63">
            <v>102</v>
          </cell>
          <cell r="G63">
            <v>0</v>
          </cell>
          <cell r="H63">
            <v>1</v>
          </cell>
          <cell r="I63">
            <v>153</v>
          </cell>
        </row>
        <row r="70">
          <cell r="E70">
            <v>1459</v>
          </cell>
          <cell r="H70">
            <v>388</v>
          </cell>
        </row>
        <row r="72">
          <cell r="E72">
            <v>1247</v>
          </cell>
          <cell r="H72">
            <v>60</v>
          </cell>
        </row>
        <row r="74">
          <cell r="E74">
            <v>2143</v>
          </cell>
          <cell r="H74">
            <v>271</v>
          </cell>
        </row>
        <row r="75">
          <cell r="E75">
            <v>6188</v>
          </cell>
          <cell r="H75">
            <v>1465</v>
          </cell>
        </row>
        <row r="76">
          <cell r="E76">
            <v>908</v>
          </cell>
          <cell r="H76">
            <v>0</v>
          </cell>
        </row>
        <row r="77">
          <cell r="E77">
            <v>398</v>
          </cell>
          <cell r="H77">
            <v>0</v>
          </cell>
        </row>
        <row r="78">
          <cell r="E78">
            <v>2140</v>
          </cell>
          <cell r="H78">
            <v>1108</v>
          </cell>
        </row>
        <row r="79">
          <cell r="E79">
            <v>765</v>
          </cell>
          <cell r="H79">
            <v>421</v>
          </cell>
        </row>
        <row r="80">
          <cell r="E80">
            <v>11821</v>
          </cell>
          <cell r="H80">
            <v>9</v>
          </cell>
        </row>
      </sheetData>
      <sheetData sheetId="15">
        <row r="5">
          <cell r="F5">
            <v>38.486352357320101</v>
          </cell>
        </row>
        <row r="6">
          <cell r="D6">
            <v>3626</v>
          </cell>
          <cell r="E6">
            <v>1349</v>
          </cell>
          <cell r="F6">
            <v>37.203530060672918</v>
          </cell>
        </row>
        <row r="7">
          <cell r="D7">
            <v>404</v>
          </cell>
          <cell r="E7">
            <v>202</v>
          </cell>
          <cell r="F7">
            <v>50</v>
          </cell>
        </row>
      </sheetData>
      <sheetData sheetId="16"/>
      <sheetData sheetId="17"/>
      <sheetData sheetId="18"/>
      <sheetData sheetId="19"/>
      <sheetData sheetId="20"/>
      <sheetData sheetId="2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SKL2016_NW"/>
    </sheetNames>
    <sheetDataSet>
      <sheetData sheetId="0"/>
      <sheetData sheetId="1"/>
      <sheetData sheetId="2"/>
      <sheetData sheetId="3">
        <row r="12">
          <cell r="D12">
            <v>632796</v>
          </cell>
          <cell r="R12">
            <v>8654</v>
          </cell>
        </row>
        <row r="13">
          <cell r="D13"/>
          <cell r="R13"/>
        </row>
        <row r="14">
          <cell r="D14">
            <v>87998</v>
          </cell>
          <cell r="R14">
            <v>1517</v>
          </cell>
        </row>
        <row r="17">
          <cell r="D17">
            <v>54664</v>
          </cell>
          <cell r="R17">
            <v>3596</v>
          </cell>
        </row>
        <row r="20">
          <cell r="D20">
            <v>235524</v>
          </cell>
          <cell r="R20">
            <v>21115</v>
          </cell>
        </row>
        <row r="24">
          <cell r="D24">
            <v>324184</v>
          </cell>
          <cell r="R24">
            <v>53337</v>
          </cell>
        </row>
        <row r="29">
          <cell r="D29">
            <v>969</v>
          </cell>
          <cell r="R29">
            <v>0</v>
          </cell>
        </row>
        <row r="30">
          <cell r="D30">
            <v>243542</v>
          </cell>
          <cell r="R30">
            <v>11095</v>
          </cell>
        </row>
        <row r="35">
          <cell r="D35">
            <v>5033</v>
          </cell>
          <cell r="R35">
            <v>5033</v>
          </cell>
        </row>
        <row r="36">
          <cell r="D36">
            <v>7999</v>
          </cell>
          <cell r="R36">
            <v>7999</v>
          </cell>
        </row>
        <row r="40">
          <cell r="D40">
            <v>77238</v>
          </cell>
          <cell r="R40">
            <v>10071</v>
          </cell>
        </row>
      </sheetData>
      <sheetData sheetId="4"/>
      <sheetData sheetId="5"/>
      <sheetData sheetId="6"/>
      <sheetData sheetId="7"/>
      <sheetData sheetId="8"/>
      <sheetData sheetId="9"/>
      <sheetData sheetId="10"/>
      <sheetData sheetId="11"/>
      <sheetData sheetId="12"/>
      <sheetData sheetId="13"/>
      <sheetData sheetId="14">
        <row r="9">
          <cell r="D9">
            <v>2570</v>
          </cell>
          <cell r="F9">
            <v>9</v>
          </cell>
          <cell r="G9"/>
          <cell r="H9">
            <v>2561</v>
          </cell>
          <cell r="I9">
            <v>2750</v>
          </cell>
        </row>
        <row r="10">
          <cell r="D10">
            <v>0</v>
          </cell>
          <cell r="F10"/>
          <cell r="G10"/>
          <cell r="H10"/>
          <cell r="I10"/>
        </row>
        <row r="11">
          <cell r="D11">
            <v>232</v>
          </cell>
          <cell r="F11">
            <v>232</v>
          </cell>
          <cell r="G11"/>
          <cell r="H11"/>
          <cell r="I11">
            <v>395</v>
          </cell>
        </row>
        <row r="12">
          <cell r="D12">
            <v>115</v>
          </cell>
          <cell r="F12">
            <v>115</v>
          </cell>
          <cell r="G12"/>
          <cell r="H12"/>
          <cell r="I12">
            <v>115</v>
          </cell>
        </row>
        <row r="13">
          <cell r="D13">
            <v>115</v>
          </cell>
          <cell r="F13">
            <v>115</v>
          </cell>
          <cell r="G13"/>
          <cell r="H13"/>
          <cell r="I13">
            <v>478</v>
          </cell>
        </row>
        <row r="14">
          <cell r="D14">
            <v>149</v>
          </cell>
          <cell r="F14">
            <v>149</v>
          </cell>
          <cell r="G14"/>
          <cell r="H14"/>
          <cell r="I14">
            <v>511</v>
          </cell>
        </row>
        <row r="15">
          <cell r="D15">
            <v>301</v>
          </cell>
          <cell r="F15">
            <v>297</v>
          </cell>
          <cell r="G15">
            <v>2</v>
          </cell>
          <cell r="H15">
            <v>2</v>
          </cell>
          <cell r="I15">
            <v>301</v>
          </cell>
        </row>
        <row r="16">
          <cell r="F16">
            <v>1</v>
          </cell>
          <cell r="G16">
            <v>2</v>
          </cell>
          <cell r="H16">
            <v>2</v>
          </cell>
          <cell r="I16">
            <v>5</v>
          </cell>
        </row>
        <row r="17">
          <cell r="D17">
            <v>0</v>
          </cell>
          <cell r="I17"/>
        </row>
        <row r="18">
          <cell r="I18"/>
        </row>
        <row r="19">
          <cell r="D19">
            <v>351</v>
          </cell>
          <cell r="F19">
            <v>192</v>
          </cell>
          <cell r="G19"/>
          <cell r="H19">
            <v>159</v>
          </cell>
          <cell r="I19">
            <v>440</v>
          </cell>
        </row>
        <row r="26">
          <cell r="D26">
            <v>275535</v>
          </cell>
          <cell r="E26">
            <v>2581</v>
          </cell>
          <cell r="H26">
            <v>272954</v>
          </cell>
        </row>
        <row r="27">
          <cell r="D27">
            <v>0</v>
          </cell>
          <cell r="E27"/>
          <cell r="H27"/>
        </row>
        <row r="28">
          <cell r="D28">
            <v>51968</v>
          </cell>
          <cell r="E28">
            <v>51968</v>
          </cell>
          <cell r="H28"/>
        </row>
        <row r="29">
          <cell r="D29">
            <v>47049</v>
          </cell>
          <cell r="E29">
            <v>47049</v>
          </cell>
          <cell r="H29"/>
        </row>
        <row r="30">
          <cell r="D30">
            <v>51758</v>
          </cell>
          <cell r="E30">
            <v>51758</v>
          </cell>
          <cell r="H30"/>
        </row>
        <row r="31">
          <cell r="D31">
            <v>74718</v>
          </cell>
          <cell r="E31">
            <v>74718</v>
          </cell>
          <cell r="H31"/>
        </row>
        <row r="32">
          <cell r="D32">
            <v>232598</v>
          </cell>
          <cell r="E32">
            <v>232064</v>
          </cell>
          <cell r="H32">
            <v>534</v>
          </cell>
        </row>
        <row r="33">
          <cell r="E33">
            <v>229</v>
          </cell>
          <cell r="H33">
            <v>534</v>
          </cell>
        </row>
        <row r="34">
          <cell r="D34">
            <v>0</v>
          </cell>
        </row>
        <row r="36">
          <cell r="D36">
            <v>35742</v>
          </cell>
          <cell r="E36">
            <v>28887</v>
          </cell>
          <cell r="H36">
            <v>6855</v>
          </cell>
        </row>
        <row r="53">
          <cell r="D53">
            <v>42</v>
          </cell>
          <cell r="F53">
            <v>8</v>
          </cell>
          <cell r="G53"/>
          <cell r="H53">
            <v>34</v>
          </cell>
          <cell r="I53">
            <v>63</v>
          </cell>
        </row>
        <row r="54">
          <cell r="D54">
            <v>0</v>
          </cell>
          <cell r="F54"/>
          <cell r="G54"/>
          <cell r="H54"/>
          <cell r="I54"/>
        </row>
        <row r="55">
          <cell r="D55">
            <v>3</v>
          </cell>
          <cell r="F55">
            <v>3</v>
          </cell>
          <cell r="G55"/>
          <cell r="H55"/>
          <cell r="I55">
            <v>9</v>
          </cell>
        </row>
        <row r="56">
          <cell r="D56">
            <v>9</v>
          </cell>
          <cell r="F56">
            <v>9</v>
          </cell>
          <cell r="G56"/>
          <cell r="H56"/>
          <cell r="I56">
            <v>10</v>
          </cell>
        </row>
        <row r="57">
          <cell r="D57">
            <v>13</v>
          </cell>
          <cell r="F57">
            <v>13</v>
          </cell>
          <cell r="G57"/>
          <cell r="H57"/>
          <cell r="I57">
            <v>60</v>
          </cell>
        </row>
        <row r="58">
          <cell r="D58">
            <v>22</v>
          </cell>
          <cell r="F58">
            <v>22</v>
          </cell>
          <cell r="G58"/>
          <cell r="H58"/>
          <cell r="I58">
            <v>115</v>
          </cell>
        </row>
        <row r="59">
          <cell r="D59">
            <v>22</v>
          </cell>
          <cell r="F59">
            <v>22</v>
          </cell>
          <cell r="G59"/>
          <cell r="H59"/>
          <cell r="I59">
            <v>31</v>
          </cell>
        </row>
        <row r="60">
          <cell r="F60"/>
          <cell r="G60"/>
          <cell r="H60"/>
          <cell r="I60"/>
        </row>
        <row r="61">
          <cell r="D61">
            <v>43</v>
          </cell>
          <cell r="F61">
            <v>8</v>
          </cell>
          <cell r="G61">
            <v>3</v>
          </cell>
          <cell r="H61">
            <v>32</v>
          </cell>
          <cell r="I61">
            <v>43</v>
          </cell>
        </row>
        <row r="62">
          <cell r="F62">
            <v>2</v>
          </cell>
          <cell r="G62"/>
          <cell r="H62">
            <v>35</v>
          </cell>
          <cell r="I62">
            <v>43</v>
          </cell>
        </row>
        <row r="63">
          <cell r="D63">
            <v>74</v>
          </cell>
          <cell r="F63">
            <v>61</v>
          </cell>
          <cell r="G63"/>
          <cell r="H63">
            <v>13</v>
          </cell>
          <cell r="I63">
            <v>92</v>
          </cell>
        </row>
        <row r="70">
          <cell r="D70">
            <v>3238</v>
          </cell>
          <cell r="E70">
            <v>803</v>
          </cell>
          <cell r="H70">
            <v>2435</v>
          </cell>
        </row>
        <row r="71">
          <cell r="D71">
            <v>0</v>
          </cell>
          <cell r="E71"/>
          <cell r="H71"/>
        </row>
        <row r="72">
          <cell r="D72">
            <v>301</v>
          </cell>
          <cell r="E72">
            <v>301</v>
          </cell>
          <cell r="H72"/>
        </row>
        <row r="73">
          <cell r="D73">
            <v>3060</v>
          </cell>
          <cell r="E73">
            <v>3060</v>
          </cell>
          <cell r="H73"/>
        </row>
        <row r="74">
          <cell r="D74">
            <v>1772</v>
          </cell>
          <cell r="E74">
            <v>1772</v>
          </cell>
          <cell r="H74"/>
        </row>
        <row r="75">
          <cell r="D75">
            <v>8778</v>
          </cell>
          <cell r="E75">
            <v>8778</v>
          </cell>
          <cell r="H75"/>
        </row>
        <row r="76">
          <cell r="D76">
            <v>7709</v>
          </cell>
          <cell r="E76">
            <v>7709</v>
          </cell>
          <cell r="H76"/>
        </row>
        <row r="77">
          <cell r="E77"/>
          <cell r="H77"/>
        </row>
        <row r="78">
          <cell r="D78">
            <v>5075</v>
          </cell>
          <cell r="E78">
            <v>1857</v>
          </cell>
          <cell r="H78">
            <v>3218</v>
          </cell>
        </row>
        <row r="79">
          <cell r="E79">
            <v>256</v>
          </cell>
          <cell r="H79">
            <v>3090</v>
          </cell>
        </row>
        <row r="80">
          <cell r="D80">
            <v>7316</v>
          </cell>
          <cell r="E80">
            <v>7140</v>
          </cell>
          <cell r="H80">
            <v>176</v>
          </cell>
        </row>
        <row r="97">
          <cell r="D97">
            <v>2612</v>
          </cell>
        </row>
        <row r="98">
          <cell r="D98">
            <v>0</v>
          </cell>
        </row>
        <row r="99">
          <cell r="D99">
            <v>235</v>
          </cell>
        </row>
        <row r="100">
          <cell r="D100">
            <v>124</v>
          </cell>
        </row>
        <row r="101">
          <cell r="D101">
            <v>128</v>
          </cell>
        </row>
        <row r="102">
          <cell r="D102">
            <v>171</v>
          </cell>
        </row>
        <row r="103">
          <cell r="D103">
            <v>323</v>
          </cell>
        </row>
        <row r="105">
          <cell r="D105">
            <v>43</v>
          </cell>
        </row>
        <row r="107">
          <cell r="D107">
            <v>425</v>
          </cell>
        </row>
        <row r="114">
          <cell r="D114">
            <v>278773</v>
          </cell>
        </row>
        <row r="115">
          <cell r="D115">
            <v>0</v>
          </cell>
        </row>
        <row r="116">
          <cell r="D116">
            <v>52269</v>
          </cell>
        </row>
        <row r="117">
          <cell r="D117">
            <v>50109</v>
          </cell>
        </row>
        <row r="118">
          <cell r="D118">
            <v>53530</v>
          </cell>
        </row>
        <row r="119">
          <cell r="D119">
            <v>83496</v>
          </cell>
        </row>
        <row r="120">
          <cell r="D120">
            <v>240307</v>
          </cell>
        </row>
        <row r="122">
          <cell r="D122">
            <v>5075</v>
          </cell>
        </row>
        <row r="124">
          <cell r="D124">
            <v>43058</v>
          </cell>
        </row>
      </sheetData>
      <sheetData sheetId="15">
        <row r="5">
          <cell r="F5">
            <v>75.245506763016493</v>
          </cell>
        </row>
        <row r="6">
          <cell r="D6">
            <v>4991</v>
          </cell>
          <cell r="E6">
            <v>3833</v>
          </cell>
          <cell r="F6">
            <v>76.798236826287322</v>
          </cell>
        </row>
        <row r="7">
          <cell r="D7">
            <v>406</v>
          </cell>
          <cell r="E7">
            <v>228</v>
          </cell>
          <cell r="F7">
            <v>56.157635467980299</v>
          </cell>
        </row>
      </sheetData>
      <sheetData sheetId="16"/>
      <sheetData sheetId="17"/>
      <sheetData sheetId="18"/>
      <sheetData sheetId="19"/>
      <sheetData sheetId="20"/>
      <sheetData sheetId="2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135392</v>
          </cell>
          <cell r="R12">
            <v>2624</v>
          </cell>
        </row>
        <row r="14">
          <cell r="D14">
            <v>1725</v>
          </cell>
          <cell r="R14">
            <v>586</v>
          </cell>
        </row>
        <row r="17">
          <cell r="D17">
            <v>95204</v>
          </cell>
          <cell r="R17">
            <v>1812</v>
          </cell>
        </row>
        <row r="20">
          <cell r="D20">
            <v>7330</v>
          </cell>
          <cell r="R20">
            <v>4603</v>
          </cell>
        </row>
        <row r="24">
          <cell r="D24">
            <v>94089</v>
          </cell>
          <cell r="R24">
            <v>13033</v>
          </cell>
        </row>
        <row r="29">
          <cell r="D29">
            <v>0</v>
          </cell>
          <cell r="R29">
            <v>0</v>
          </cell>
        </row>
        <row r="30">
          <cell r="D30">
            <v>32878</v>
          </cell>
          <cell r="R30">
            <v>252</v>
          </cell>
        </row>
        <row r="35">
          <cell r="D35">
            <v>768</v>
          </cell>
          <cell r="R35">
            <v>768</v>
          </cell>
        </row>
        <row r="36">
          <cell r="D36">
            <v>1258</v>
          </cell>
          <cell r="R36">
            <v>1258</v>
          </cell>
        </row>
        <row r="40">
          <cell r="D40">
            <v>14777</v>
          </cell>
          <cell r="R40">
            <v>2635</v>
          </cell>
        </row>
      </sheetData>
      <sheetData sheetId="4"/>
      <sheetData sheetId="5"/>
      <sheetData sheetId="6"/>
      <sheetData sheetId="7"/>
      <sheetData sheetId="8"/>
      <sheetData sheetId="9"/>
      <sheetData sheetId="10"/>
      <sheetData sheetId="11"/>
      <sheetData sheetId="12"/>
      <sheetData sheetId="13">
        <row r="9">
          <cell r="F9">
            <v>2</v>
          </cell>
          <cell r="G9">
            <v>288</v>
          </cell>
          <cell r="H9">
            <v>326</v>
          </cell>
          <cell r="I9">
            <v>948</v>
          </cell>
        </row>
        <row r="11">
          <cell r="F11">
            <v>1</v>
          </cell>
          <cell r="G11">
            <v>11</v>
          </cell>
          <cell r="I11">
            <v>20</v>
          </cell>
        </row>
        <row r="12">
          <cell r="G12">
            <v>151</v>
          </cell>
          <cell r="I12">
            <v>195</v>
          </cell>
        </row>
        <row r="13">
          <cell r="G13">
            <v>3</v>
          </cell>
          <cell r="I13">
            <v>7</v>
          </cell>
        </row>
        <row r="14">
          <cell r="F14">
            <v>11</v>
          </cell>
          <cell r="G14">
            <v>44</v>
          </cell>
          <cell r="H14">
            <v>3</v>
          </cell>
          <cell r="I14">
            <v>123</v>
          </cell>
        </row>
        <row r="15">
          <cell r="F15">
            <v>1</v>
          </cell>
          <cell r="G15">
            <v>46</v>
          </cell>
          <cell r="I15">
            <v>53</v>
          </cell>
        </row>
        <row r="16">
          <cell r="I16">
            <v>0</v>
          </cell>
        </row>
        <row r="17">
          <cell r="F17">
            <v>43</v>
          </cell>
          <cell r="G17">
            <v>62</v>
          </cell>
          <cell r="I17">
            <v>115</v>
          </cell>
        </row>
        <row r="24">
          <cell r="E24">
            <v>24328</v>
          </cell>
          <cell r="H24">
            <v>10343</v>
          </cell>
        </row>
        <row r="25">
          <cell r="E25">
            <v>0</v>
          </cell>
        </row>
        <row r="26">
          <cell r="E26">
            <v>459</v>
          </cell>
        </row>
        <row r="27">
          <cell r="E27">
            <v>18604</v>
          </cell>
        </row>
        <row r="28">
          <cell r="E28">
            <v>181</v>
          </cell>
        </row>
        <row r="29">
          <cell r="E29">
            <v>8634</v>
          </cell>
          <cell r="H29">
            <v>314</v>
          </cell>
        </row>
        <row r="30">
          <cell r="E30">
            <v>9221</v>
          </cell>
        </row>
        <row r="31">
          <cell r="E31">
            <v>0</v>
          </cell>
        </row>
        <row r="34">
          <cell r="E34">
            <v>9753</v>
          </cell>
        </row>
        <row r="51">
          <cell r="F51">
            <v>5</v>
          </cell>
          <cell r="G51">
            <v>4</v>
          </cell>
          <cell r="H51">
            <v>3</v>
          </cell>
          <cell r="I51">
            <v>21</v>
          </cell>
        </row>
        <row r="52">
          <cell r="F52">
            <v>0</v>
          </cell>
        </row>
        <row r="53">
          <cell r="F53">
            <v>3</v>
          </cell>
          <cell r="G53">
            <v>0</v>
          </cell>
          <cell r="I53">
            <v>6</v>
          </cell>
        </row>
        <row r="54">
          <cell r="F54">
            <v>3</v>
          </cell>
          <cell r="G54">
            <v>0</v>
          </cell>
          <cell r="H54">
            <v>1</v>
          </cell>
          <cell r="I54">
            <v>6</v>
          </cell>
        </row>
        <row r="55">
          <cell r="G55">
            <v>1</v>
          </cell>
          <cell r="H55">
            <v>1</v>
          </cell>
          <cell r="I55">
            <v>11</v>
          </cell>
        </row>
        <row r="56">
          <cell r="F56">
            <v>7</v>
          </cell>
          <cell r="G56">
            <v>7</v>
          </cell>
          <cell r="H56">
            <v>1</v>
          </cell>
          <cell r="I56">
            <v>26</v>
          </cell>
        </row>
        <row r="57">
          <cell r="F57">
            <v>1</v>
          </cell>
          <cell r="G57">
            <v>0</v>
          </cell>
          <cell r="I57">
            <v>1</v>
          </cell>
        </row>
        <row r="58">
          <cell r="G58">
            <v>7</v>
          </cell>
          <cell r="I58">
            <v>9</v>
          </cell>
        </row>
        <row r="59">
          <cell r="F59">
            <v>21</v>
          </cell>
          <cell r="G59">
            <v>0</v>
          </cell>
          <cell r="I59">
            <v>23</v>
          </cell>
        </row>
        <row r="66">
          <cell r="E66">
            <v>677</v>
          </cell>
          <cell r="H66">
            <v>221</v>
          </cell>
        </row>
        <row r="67">
          <cell r="E67">
            <v>0</v>
          </cell>
        </row>
        <row r="68">
          <cell r="E68">
            <v>118</v>
          </cell>
        </row>
        <row r="69">
          <cell r="E69">
            <v>337</v>
          </cell>
          <cell r="H69">
            <v>44</v>
          </cell>
        </row>
        <row r="70">
          <cell r="E70">
            <v>65</v>
          </cell>
          <cell r="H70">
            <v>49</v>
          </cell>
        </row>
        <row r="71">
          <cell r="E71">
            <v>3455</v>
          </cell>
          <cell r="H71">
            <v>31</v>
          </cell>
        </row>
        <row r="72">
          <cell r="E72">
            <v>217</v>
          </cell>
        </row>
        <row r="73">
          <cell r="E73">
            <v>0</v>
          </cell>
          <cell r="H73">
            <v>0</v>
          </cell>
        </row>
        <row r="74">
          <cell r="E74">
            <v>779</v>
          </cell>
        </row>
        <row r="75">
          <cell r="E75">
            <v>317</v>
          </cell>
        </row>
        <row r="76">
          <cell r="E76">
            <v>2430</v>
          </cell>
        </row>
      </sheetData>
      <sheetData sheetId="14">
        <row r="5">
          <cell r="F5">
            <v>67.535853976531939</v>
          </cell>
        </row>
        <row r="6">
          <cell r="D6">
            <v>1438</v>
          </cell>
          <cell r="E6">
            <v>975</v>
          </cell>
          <cell r="F6">
            <v>67.802503477051459</v>
          </cell>
        </row>
        <row r="7">
          <cell r="D7">
            <v>96</v>
          </cell>
          <cell r="E7">
            <v>61</v>
          </cell>
          <cell r="F7">
            <v>63.541666666666664</v>
          </cell>
        </row>
      </sheetData>
      <sheetData sheetId="15"/>
      <sheetData sheetId="16"/>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133020</v>
          </cell>
          <cell r="R12">
            <v>2661</v>
          </cell>
        </row>
        <row r="13">
          <cell r="D13">
            <v>0</v>
          </cell>
        </row>
        <row r="14">
          <cell r="D14">
            <v>561</v>
          </cell>
          <cell r="R14">
            <v>561</v>
          </cell>
        </row>
        <row r="17">
          <cell r="D17">
            <v>93583</v>
          </cell>
          <cell r="R17">
            <v>1816</v>
          </cell>
        </row>
        <row r="20">
          <cell r="D20">
            <v>4558</v>
          </cell>
          <cell r="R20">
            <v>4558</v>
          </cell>
        </row>
        <row r="24">
          <cell r="D24">
            <v>90801</v>
          </cell>
          <cell r="R24">
            <v>12884</v>
          </cell>
        </row>
        <row r="29">
          <cell r="R29">
            <v>0</v>
          </cell>
        </row>
        <row r="30">
          <cell r="D30">
            <v>34053</v>
          </cell>
          <cell r="R30">
            <v>308</v>
          </cell>
        </row>
        <row r="35">
          <cell r="D35">
            <v>779</v>
          </cell>
          <cell r="R35">
            <v>779</v>
          </cell>
        </row>
        <row r="36">
          <cell r="D36">
            <v>1260</v>
          </cell>
          <cell r="R36">
            <v>1260</v>
          </cell>
        </row>
        <row r="40">
          <cell r="D40">
            <v>14626</v>
          </cell>
          <cell r="R40">
            <v>2639</v>
          </cell>
        </row>
      </sheetData>
      <sheetData sheetId="4"/>
      <sheetData sheetId="5"/>
      <sheetData sheetId="6"/>
      <sheetData sheetId="7"/>
      <sheetData sheetId="8"/>
      <sheetData sheetId="9"/>
      <sheetData sheetId="10"/>
      <sheetData sheetId="11"/>
      <sheetData sheetId="12"/>
      <sheetData sheetId="13">
        <row r="9">
          <cell r="F9">
            <v>2</v>
          </cell>
          <cell r="G9">
            <v>299</v>
          </cell>
          <cell r="H9">
            <v>315</v>
          </cell>
          <cell r="I9">
            <v>948</v>
          </cell>
        </row>
        <row r="11">
          <cell r="F11">
            <v>0</v>
          </cell>
          <cell r="G11">
            <v>0</v>
          </cell>
          <cell r="H11">
            <v>0</v>
          </cell>
        </row>
        <row r="12">
          <cell r="F12">
            <v>3</v>
          </cell>
          <cell r="G12">
            <v>144</v>
          </cell>
          <cell r="H12">
            <v>3</v>
          </cell>
          <cell r="I12">
            <v>194</v>
          </cell>
        </row>
        <row r="13">
          <cell r="F13">
            <v>0</v>
          </cell>
          <cell r="G13">
            <v>0</v>
          </cell>
          <cell r="H13">
            <v>0</v>
          </cell>
        </row>
        <row r="14">
          <cell r="F14">
            <v>13</v>
          </cell>
          <cell r="G14">
            <v>37</v>
          </cell>
          <cell r="H14">
            <v>3</v>
          </cell>
          <cell r="I14">
            <v>123</v>
          </cell>
        </row>
        <row r="15">
          <cell r="F15">
            <v>1</v>
          </cell>
          <cell r="G15">
            <v>47</v>
          </cell>
          <cell r="I15">
            <v>54</v>
          </cell>
        </row>
        <row r="19">
          <cell r="F19">
            <v>43</v>
          </cell>
          <cell r="G19">
            <v>63</v>
          </cell>
          <cell r="H19">
            <v>0</v>
          </cell>
          <cell r="I19">
            <v>115</v>
          </cell>
        </row>
        <row r="26">
          <cell r="E26">
            <v>25712</v>
          </cell>
          <cell r="H26">
            <v>10668</v>
          </cell>
        </row>
        <row r="27">
          <cell r="E27">
            <v>0</v>
          </cell>
        </row>
        <row r="28">
          <cell r="E28">
            <v>0</v>
          </cell>
          <cell r="H28">
            <v>0</v>
          </cell>
        </row>
        <row r="29">
          <cell r="E29">
            <v>18218</v>
          </cell>
          <cell r="H29">
            <v>183</v>
          </cell>
        </row>
        <row r="30">
          <cell r="E30">
            <v>0</v>
          </cell>
          <cell r="H30">
            <v>0</v>
          </cell>
        </row>
        <row r="31">
          <cell r="E31">
            <v>8156</v>
          </cell>
          <cell r="H31">
            <v>177</v>
          </cell>
        </row>
        <row r="32">
          <cell r="E32">
            <v>9918</v>
          </cell>
          <cell r="H32">
            <v>0</v>
          </cell>
        </row>
        <row r="33">
          <cell r="E33">
            <v>0</v>
          </cell>
          <cell r="H33">
            <v>0</v>
          </cell>
        </row>
        <row r="36">
          <cell r="E36">
            <v>9636</v>
          </cell>
          <cell r="H36">
            <v>0</v>
          </cell>
        </row>
        <row r="53">
          <cell r="F53">
            <v>7</v>
          </cell>
          <cell r="G53">
            <v>3</v>
          </cell>
          <cell r="H53">
            <v>5</v>
          </cell>
          <cell r="I53">
            <v>22</v>
          </cell>
        </row>
        <row r="55">
          <cell r="F55">
            <v>2</v>
          </cell>
          <cell r="I55">
            <v>5</v>
          </cell>
        </row>
        <row r="56">
          <cell r="F56">
            <v>3</v>
          </cell>
          <cell r="H56">
            <v>1</v>
          </cell>
          <cell r="I56">
            <v>7</v>
          </cell>
        </row>
        <row r="57">
          <cell r="G57">
            <v>2</v>
          </cell>
          <cell r="H57">
            <v>1</v>
          </cell>
          <cell r="I57">
            <v>11</v>
          </cell>
        </row>
        <row r="58">
          <cell r="F58">
            <v>8</v>
          </cell>
          <cell r="G58">
            <v>9</v>
          </cell>
          <cell r="H58">
            <v>1</v>
          </cell>
          <cell r="I58">
            <v>26</v>
          </cell>
        </row>
        <row r="59">
          <cell r="F59">
            <v>1</v>
          </cell>
          <cell r="I59">
            <v>1</v>
          </cell>
        </row>
        <row r="61">
          <cell r="G61">
            <v>7</v>
          </cell>
          <cell r="I61">
            <v>9</v>
          </cell>
        </row>
        <row r="62">
          <cell r="G62">
            <v>7</v>
          </cell>
        </row>
        <row r="63">
          <cell r="F63">
            <v>21</v>
          </cell>
          <cell r="I63">
            <v>23</v>
          </cell>
        </row>
        <row r="70">
          <cell r="E70">
            <v>721</v>
          </cell>
          <cell r="H70">
            <v>545</v>
          </cell>
        </row>
        <row r="71">
          <cell r="E71">
            <v>0</v>
          </cell>
        </row>
        <row r="72">
          <cell r="E72">
            <v>101</v>
          </cell>
        </row>
        <row r="73">
          <cell r="E73">
            <v>388</v>
          </cell>
          <cell r="H73">
            <v>46</v>
          </cell>
        </row>
        <row r="74">
          <cell r="E74">
            <v>122</v>
          </cell>
          <cell r="H74">
            <v>48</v>
          </cell>
        </row>
        <row r="75">
          <cell r="E75">
            <v>3734</v>
          </cell>
          <cell r="H75">
            <v>41</v>
          </cell>
        </row>
        <row r="76">
          <cell r="E76">
            <v>308</v>
          </cell>
        </row>
        <row r="77">
          <cell r="E77">
            <v>0</v>
          </cell>
        </row>
        <row r="78">
          <cell r="E78">
            <v>718</v>
          </cell>
        </row>
        <row r="79">
          <cell r="E79">
            <v>299</v>
          </cell>
        </row>
        <row r="80">
          <cell r="E80">
            <v>2438</v>
          </cell>
        </row>
      </sheetData>
      <sheetData sheetId="14">
        <row r="5">
          <cell r="F5">
            <v>68.910891089108915</v>
          </cell>
        </row>
        <row r="6">
          <cell r="D6">
            <v>1417</v>
          </cell>
          <cell r="E6">
            <v>973</v>
          </cell>
          <cell r="F6">
            <v>68.666196189131966</v>
          </cell>
        </row>
        <row r="7">
          <cell r="D7">
            <v>98</v>
          </cell>
          <cell r="E7">
            <v>71</v>
          </cell>
          <cell r="F7">
            <v>72.448979591836732</v>
          </cell>
        </row>
      </sheetData>
      <sheetData sheetId="15"/>
      <sheetData sheetId="16"/>
      <sheetData sheetId="17"/>
      <sheetData sheetId="18"/>
      <sheetData sheetId="1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133707</v>
          </cell>
          <cell r="R12">
            <v>2738</v>
          </cell>
        </row>
        <row r="13">
          <cell r="D13">
            <v>0</v>
          </cell>
        </row>
        <row r="14">
          <cell r="D14">
            <v>476</v>
          </cell>
          <cell r="R14">
            <v>476</v>
          </cell>
        </row>
        <row r="17">
          <cell r="D17">
            <v>88636</v>
          </cell>
          <cell r="R17">
            <v>2290</v>
          </cell>
        </row>
        <row r="20">
          <cell r="D20">
            <v>4187</v>
          </cell>
          <cell r="R20">
            <v>4187</v>
          </cell>
        </row>
        <row r="24">
          <cell r="D24">
            <v>88456</v>
          </cell>
          <cell r="R24">
            <v>12418</v>
          </cell>
        </row>
        <row r="29">
          <cell r="D29">
            <v>0</v>
          </cell>
          <cell r="R29">
            <v>0</v>
          </cell>
        </row>
        <row r="30">
          <cell r="D30">
            <v>34753</v>
          </cell>
          <cell r="R30">
            <v>320</v>
          </cell>
        </row>
        <row r="35">
          <cell r="D35">
            <v>771</v>
          </cell>
          <cell r="R35">
            <v>771</v>
          </cell>
        </row>
        <row r="36">
          <cell r="D36">
            <v>1214</v>
          </cell>
          <cell r="R36">
            <v>1214</v>
          </cell>
        </row>
        <row r="40">
          <cell r="D40">
            <v>14614</v>
          </cell>
          <cell r="R40">
            <v>2695</v>
          </cell>
        </row>
      </sheetData>
      <sheetData sheetId="4"/>
      <sheetData sheetId="5"/>
      <sheetData sheetId="6"/>
      <sheetData sheetId="7"/>
      <sheetData sheetId="8"/>
      <sheetData sheetId="9"/>
      <sheetData sheetId="10"/>
      <sheetData sheetId="11"/>
      <sheetData sheetId="12"/>
      <sheetData sheetId="13"/>
      <sheetData sheetId="14">
        <row r="9">
          <cell r="F9">
            <v>2</v>
          </cell>
          <cell r="G9">
            <v>306</v>
          </cell>
          <cell r="H9">
            <v>322</v>
          </cell>
          <cell r="I9">
            <v>945</v>
          </cell>
        </row>
        <row r="12">
          <cell r="F12">
            <v>1</v>
          </cell>
          <cell r="G12">
            <v>144</v>
          </cell>
          <cell r="H12">
            <v>2</v>
          </cell>
          <cell r="I12">
            <v>189</v>
          </cell>
        </row>
        <row r="14">
          <cell r="F14">
            <v>7</v>
          </cell>
          <cell r="G14">
            <v>48</v>
          </cell>
          <cell r="H14">
            <v>3</v>
          </cell>
          <cell r="I14">
            <v>123</v>
          </cell>
        </row>
        <row r="15">
          <cell r="F15">
            <v>1</v>
          </cell>
          <cell r="G15">
            <v>47</v>
          </cell>
          <cell r="H15">
            <v>0</v>
          </cell>
          <cell r="I15">
            <v>54</v>
          </cell>
        </row>
        <row r="16">
          <cell r="F16">
            <v>0</v>
          </cell>
          <cell r="G16">
            <v>0</v>
          </cell>
          <cell r="H16">
            <v>0</v>
          </cell>
        </row>
        <row r="17">
          <cell r="I17">
            <v>0</v>
          </cell>
        </row>
        <row r="19">
          <cell r="F19">
            <v>43</v>
          </cell>
          <cell r="G19">
            <v>62</v>
          </cell>
          <cell r="I19">
            <v>112</v>
          </cell>
        </row>
        <row r="26">
          <cell r="E26">
            <v>27442</v>
          </cell>
          <cell r="H26">
            <v>13162</v>
          </cell>
        </row>
        <row r="27">
          <cell r="E27">
            <v>0</v>
          </cell>
        </row>
        <row r="28">
          <cell r="E28">
            <v>0</v>
          </cell>
        </row>
        <row r="29">
          <cell r="E29">
            <v>16809</v>
          </cell>
          <cell r="H29">
            <v>78</v>
          </cell>
        </row>
        <row r="30">
          <cell r="E30">
            <v>0</v>
          </cell>
        </row>
        <row r="31">
          <cell r="E31">
            <v>8477</v>
          </cell>
          <cell r="H31">
            <v>53</v>
          </cell>
        </row>
        <row r="32">
          <cell r="E32">
            <v>10036</v>
          </cell>
          <cell r="H32">
            <v>0</v>
          </cell>
        </row>
        <row r="33">
          <cell r="E33">
            <v>0</v>
          </cell>
          <cell r="H33">
            <v>0</v>
          </cell>
        </row>
        <row r="36">
          <cell r="E36">
            <v>9555</v>
          </cell>
        </row>
        <row r="53">
          <cell r="F53">
            <v>8</v>
          </cell>
          <cell r="G53">
            <v>3</v>
          </cell>
          <cell r="H53">
            <v>6</v>
          </cell>
          <cell r="I53">
            <v>24</v>
          </cell>
        </row>
        <row r="55">
          <cell r="F55">
            <v>2</v>
          </cell>
          <cell r="I55">
            <v>4</v>
          </cell>
        </row>
        <row r="56">
          <cell r="F56">
            <v>3</v>
          </cell>
          <cell r="H56">
            <v>1</v>
          </cell>
          <cell r="I56">
            <v>9</v>
          </cell>
        </row>
        <row r="57">
          <cell r="G57">
            <v>2</v>
          </cell>
          <cell r="H57">
            <v>1</v>
          </cell>
          <cell r="I57">
            <v>10</v>
          </cell>
        </row>
        <row r="58">
          <cell r="F58">
            <v>7</v>
          </cell>
          <cell r="G58">
            <v>8</v>
          </cell>
          <cell r="H58">
            <v>1</v>
          </cell>
          <cell r="I58">
            <v>27</v>
          </cell>
        </row>
        <row r="59">
          <cell r="F59">
            <v>1</v>
          </cell>
          <cell r="I59">
            <v>1</v>
          </cell>
        </row>
        <row r="61">
          <cell r="G61">
            <v>6</v>
          </cell>
          <cell r="I61">
            <v>8</v>
          </cell>
        </row>
        <row r="62">
          <cell r="G62">
            <v>6</v>
          </cell>
        </row>
        <row r="63">
          <cell r="F63">
            <v>21</v>
          </cell>
          <cell r="I63">
            <v>23</v>
          </cell>
        </row>
        <row r="70">
          <cell r="E70">
            <v>765</v>
          </cell>
          <cell r="H70">
            <v>709</v>
          </cell>
        </row>
        <row r="71">
          <cell r="E71">
            <v>0</v>
          </cell>
        </row>
        <row r="72">
          <cell r="E72">
            <v>111</v>
          </cell>
        </row>
        <row r="73">
          <cell r="E73">
            <v>415</v>
          </cell>
          <cell r="H73">
            <v>32</v>
          </cell>
        </row>
        <row r="74">
          <cell r="E74">
            <v>97</v>
          </cell>
          <cell r="H74">
            <v>44</v>
          </cell>
        </row>
        <row r="75">
          <cell r="E75">
            <v>3939</v>
          </cell>
          <cell r="H75">
            <v>39</v>
          </cell>
        </row>
        <row r="76">
          <cell r="E76">
            <v>316</v>
          </cell>
        </row>
        <row r="77">
          <cell r="E77">
            <v>0</v>
          </cell>
          <cell r="H77">
            <v>0</v>
          </cell>
        </row>
        <row r="78">
          <cell r="E78">
            <v>694</v>
          </cell>
        </row>
        <row r="79">
          <cell r="E79">
            <v>294</v>
          </cell>
        </row>
        <row r="80">
          <cell r="E80">
            <v>2471</v>
          </cell>
        </row>
      </sheetData>
      <sheetData sheetId="15">
        <row r="5">
          <cell r="F5">
            <v>70.053120849933606</v>
          </cell>
        </row>
        <row r="6">
          <cell r="D6">
            <v>1406</v>
          </cell>
          <cell r="E6">
            <v>985</v>
          </cell>
          <cell r="F6">
            <v>70.056899004267422</v>
          </cell>
        </row>
        <row r="7">
          <cell r="D7">
            <v>100</v>
          </cell>
          <cell r="E7">
            <v>70</v>
          </cell>
          <cell r="F7">
            <v>70</v>
          </cell>
        </row>
      </sheetData>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134852</v>
          </cell>
          <cell r="R12">
            <v>2825</v>
          </cell>
        </row>
        <row r="13">
          <cell r="D13">
            <v>0</v>
          </cell>
          <cell r="R13">
            <v>0</v>
          </cell>
        </row>
        <row r="14">
          <cell r="D14">
            <v>450</v>
          </cell>
          <cell r="R14">
            <v>450</v>
          </cell>
        </row>
        <row r="17">
          <cell r="D17">
            <v>85326</v>
          </cell>
          <cell r="R17">
            <v>2859</v>
          </cell>
        </row>
        <row r="20">
          <cell r="D20">
            <v>3582</v>
          </cell>
          <cell r="R20">
            <v>3582</v>
          </cell>
        </row>
        <row r="24">
          <cell r="D24">
            <v>86534</v>
          </cell>
          <cell r="R24">
            <v>12375</v>
          </cell>
        </row>
        <row r="29">
          <cell r="D29">
            <v>0</v>
          </cell>
          <cell r="R29">
            <v>0</v>
          </cell>
        </row>
        <row r="30">
          <cell r="D30">
            <v>35657</v>
          </cell>
          <cell r="R30">
            <v>355</v>
          </cell>
        </row>
        <row r="35">
          <cell r="D35">
            <v>762</v>
          </cell>
          <cell r="R35">
            <v>762</v>
          </cell>
        </row>
        <row r="36">
          <cell r="D36">
            <v>1202</v>
          </cell>
          <cell r="R36">
            <v>1202</v>
          </cell>
        </row>
        <row r="40">
          <cell r="D40">
            <v>14578</v>
          </cell>
          <cell r="R40">
            <v>2737</v>
          </cell>
        </row>
      </sheetData>
      <sheetData sheetId="4"/>
      <sheetData sheetId="5"/>
      <sheetData sheetId="6"/>
      <sheetData sheetId="7"/>
      <sheetData sheetId="8"/>
      <sheetData sheetId="9"/>
      <sheetData sheetId="10"/>
      <sheetData sheetId="11"/>
      <sheetData sheetId="12"/>
      <sheetData sheetId="13"/>
      <sheetData sheetId="14">
        <row r="9">
          <cell r="F9">
            <v>2</v>
          </cell>
          <cell r="G9">
            <v>312</v>
          </cell>
          <cell r="H9">
            <v>334</v>
          </cell>
          <cell r="I9">
            <v>941</v>
          </cell>
        </row>
        <row r="10">
          <cell r="F10">
            <v>0</v>
          </cell>
          <cell r="G10">
            <v>0</v>
          </cell>
          <cell r="H10">
            <v>0</v>
          </cell>
          <cell r="I10">
            <v>0</v>
          </cell>
        </row>
        <row r="11">
          <cell r="F11">
            <v>0</v>
          </cell>
          <cell r="G11">
            <v>0</v>
          </cell>
          <cell r="H11">
            <v>0</v>
          </cell>
          <cell r="I11">
            <v>0</v>
          </cell>
        </row>
        <row r="12">
          <cell r="F12">
            <v>0</v>
          </cell>
          <cell r="G12">
            <v>140</v>
          </cell>
          <cell r="H12">
            <v>2</v>
          </cell>
          <cell r="I12">
            <v>182</v>
          </cell>
        </row>
        <row r="13">
          <cell r="F13">
            <v>0</v>
          </cell>
          <cell r="G13">
            <v>0</v>
          </cell>
          <cell r="H13">
            <v>0</v>
          </cell>
          <cell r="I13">
            <v>0</v>
          </cell>
        </row>
        <row r="14">
          <cell r="F14">
            <v>8</v>
          </cell>
          <cell r="G14">
            <v>46</v>
          </cell>
          <cell r="H14">
            <v>1</v>
          </cell>
          <cell r="I14">
            <v>123</v>
          </cell>
        </row>
        <row r="15">
          <cell r="F15">
            <v>1</v>
          </cell>
          <cell r="G15">
            <v>47</v>
          </cell>
          <cell r="H15">
            <v>0</v>
          </cell>
          <cell r="I15">
            <v>54</v>
          </cell>
        </row>
        <row r="16">
          <cell r="F16">
            <v>0</v>
          </cell>
          <cell r="G16">
            <v>0</v>
          </cell>
          <cell r="H16">
            <v>0</v>
          </cell>
          <cell r="I16">
            <v>0</v>
          </cell>
        </row>
        <row r="17">
          <cell r="I17">
            <v>0</v>
          </cell>
        </row>
        <row r="18">
          <cell r="I18">
            <v>0</v>
          </cell>
        </row>
        <row r="19">
          <cell r="F19">
            <v>43</v>
          </cell>
          <cell r="G19">
            <v>61</v>
          </cell>
          <cell r="H19">
            <v>0</v>
          </cell>
          <cell r="I19">
            <v>109</v>
          </cell>
        </row>
        <row r="26">
          <cell r="E26">
            <v>29189</v>
          </cell>
          <cell r="H26">
            <v>14406</v>
          </cell>
        </row>
        <row r="27">
          <cell r="E27">
            <v>0</v>
          </cell>
          <cell r="H27">
            <v>0</v>
          </cell>
        </row>
        <row r="28">
          <cell r="E28">
            <v>0</v>
          </cell>
          <cell r="H28">
            <v>0</v>
          </cell>
        </row>
        <row r="29">
          <cell r="E29">
            <v>16765</v>
          </cell>
          <cell r="H29">
            <v>156</v>
          </cell>
        </row>
        <row r="30">
          <cell r="E30">
            <v>0</v>
          </cell>
        </row>
        <row r="31">
          <cell r="E31">
            <v>8624</v>
          </cell>
          <cell r="H31">
            <v>40</v>
          </cell>
        </row>
        <row r="32">
          <cell r="E32">
            <v>10068</v>
          </cell>
          <cell r="H32">
            <v>0</v>
          </cell>
        </row>
        <row r="33">
          <cell r="E33">
            <v>0</v>
          </cell>
          <cell r="H33">
            <v>0</v>
          </cell>
        </row>
        <row r="36">
          <cell r="E36">
            <v>9513</v>
          </cell>
          <cell r="H36">
            <v>0</v>
          </cell>
        </row>
        <row r="53">
          <cell r="F53">
            <v>7</v>
          </cell>
          <cell r="G53">
            <v>4</v>
          </cell>
          <cell r="H53">
            <v>9</v>
          </cell>
          <cell r="I53">
            <v>24</v>
          </cell>
        </row>
        <row r="54">
          <cell r="F54">
            <v>0</v>
          </cell>
          <cell r="G54">
            <v>0</v>
          </cell>
          <cell r="H54">
            <v>0</v>
          </cell>
          <cell r="I54">
            <v>0</v>
          </cell>
        </row>
        <row r="55">
          <cell r="F55">
            <v>2</v>
          </cell>
          <cell r="G55">
            <v>0</v>
          </cell>
          <cell r="H55">
            <v>0</v>
          </cell>
          <cell r="I55">
            <v>4</v>
          </cell>
        </row>
        <row r="56">
          <cell r="F56">
            <v>4</v>
          </cell>
          <cell r="G56">
            <v>0</v>
          </cell>
          <cell r="H56">
            <v>1</v>
          </cell>
          <cell r="I56">
            <v>10</v>
          </cell>
        </row>
        <row r="57">
          <cell r="F57">
            <v>0</v>
          </cell>
          <cell r="G57">
            <v>2</v>
          </cell>
          <cell r="H57">
            <v>1</v>
          </cell>
          <cell r="I57">
            <v>9</v>
          </cell>
        </row>
        <row r="58">
          <cell r="F58">
            <v>8</v>
          </cell>
          <cell r="G58">
            <v>7</v>
          </cell>
          <cell r="H58">
            <v>1</v>
          </cell>
          <cell r="I58">
            <v>28</v>
          </cell>
        </row>
        <row r="59">
          <cell r="F59">
            <v>1</v>
          </cell>
          <cell r="G59">
            <v>0</v>
          </cell>
          <cell r="H59">
            <v>0</v>
          </cell>
          <cell r="I59">
            <v>1</v>
          </cell>
        </row>
        <row r="60">
          <cell r="F60">
            <v>0</v>
          </cell>
          <cell r="G60">
            <v>0</v>
          </cell>
          <cell r="H60">
            <v>0</v>
          </cell>
          <cell r="I60">
            <v>0</v>
          </cell>
        </row>
        <row r="61">
          <cell r="F61">
            <v>0</v>
          </cell>
          <cell r="G61">
            <v>6</v>
          </cell>
          <cell r="H61">
            <v>0</v>
          </cell>
          <cell r="I61">
            <v>8</v>
          </cell>
        </row>
        <row r="62">
          <cell r="F62">
            <v>0</v>
          </cell>
          <cell r="G62">
            <v>6</v>
          </cell>
          <cell r="H62">
            <v>0</v>
          </cell>
          <cell r="I62">
            <v>8</v>
          </cell>
        </row>
        <row r="63">
          <cell r="F63">
            <v>21</v>
          </cell>
          <cell r="G63">
            <v>0</v>
          </cell>
          <cell r="H63">
            <v>0</v>
          </cell>
          <cell r="I63">
            <v>23</v>
          </cell>
        </row>
        <row r="70">
          <cell r="E70">
            <v>803</v>
          </cell>
          <cell r="H70">
            <v>1054</v>
          </cell>
        </row>
        <row r="71">
          <cell r="E71">
            <v>0</v>
          </cell>
          <cell r="H71">
            <v>0</v>
          </cell>
        </row>
        <row r="72">
          <cell r="E72">
            <v>99</v>
          </cell>
          <cell r="H72">
            <v>0</v>
          </cell>
        </row>
        <row r="73">
          <cell r="E73">
            <v>478</v>
          </cell>
          <cell r="H73">
            <v>76</v>
          </cell>
        </row>
        <row r="74">
          <cell r="E74">
            <v>78</v>
          </cell>
          <cell r="H74">
            <v>43</v>
          </cell>
        </row>
        <row r="75">
          <cell r="E75">
            <v>3822</v>
          </cell>
          <cell r="H75">
            <v>38</v>
          </cell>
        </row>
        <row r="76">
          <cell r="E76">
            <v>355</v>
          </cell>
          <cell r="H76">
            <v>0</v>
          </cell>
        </row>
        <row r="77">
          <cell r="E77">
            <v>0</v>
          </cell>
          <cell r="H77">
            <v>0</v>
          </cell>
        </row>
        <row r="78">
          <cell r="E78">
            <v>767</v>
          </cell>
          <cell r="H78">
            <v>0</v>
          </cell>
        </row>
        <row r="79">
          <cell r="E79">
            <v>330</v>
          </cell>
          <cell r="H79">
            <v>0</v>
          </cell>
        </row>
        <row r="80">
          <cell r="E80">
            <v>2470</v>
          </cell>
          <cell r="H80">
            <v>0</v>
          </cell>
        </row>
      </sheetData>
      <sheetData sheetId="15">
        <row r="5">
          <cell r="F5">
            <v>71.686746987951807</v>
          </cell>
        </row>
        <row r="6">
          <cell r="D6">
            <v>1393</v>
          </cell>
          <cell r="E6">
            <v>997</v>
          </cell>
          <cell r="F6">
            <v>71.572146446518303</v>
          </cell>
        </row>
        <row r="7">
          <cell r="D7">
            <v>101</v>
          </cell>
          <cell r="E7">
            <v>74</v>
          </cell>
          <cell r="F7">
            <v>73.267326732673268</v>
          </cell>
        </row>
      </sheetData>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137727</v>
          </cell>
          <cell r="R12">
            <v>2926</v>
          </cell>
        </row>
        <row r="13">
          <cell r="D13">
            <v>0</v>
          </cell>
          <cell r="R13">
            <v>0</v>
          </cell>
        </row>
        <row r="14">
          <cell r="D14">
            <v>440</v>
          </cell>
          <cell r="R14">
            <v>440</v>
          </cell>
        </row>
        <row r="17">
          <cell r="D17">
            <v>82892</v>
          </cell>
          <cell r="R17">
            <v>2880</v>
          </cell>
        </row>
        <row r="20">
          <cell r="D20">
            <v>3613</v>
          </cell>
          <cell r="R20">
            <v>3613</v>
          </cell>
        </row>
        <row r="24">
          <cell r="D24">
            <v>85472</v>
          </cell>
          <cell r="R24">
            <v>12444</v>
          </cell>
        </row>
        <row r="29">
          <cell r="D29">
            <v>0</v>
          </cell>
          <cell r="R29">
            <v>0</v>
          </cell>
        </row>
        <row r="30">
          <cell r="D30">
            <v>36235</v>
          </cell>
          <cell r="R30">
            <v>372</v>
          </cell>
        </row>
        <row r="35">
          <cell r="D35">
            <v>806</v>
          </cell>
          <cell r="R35">
            <v>806</v>
          </cell>
        </row>
        <row r="36">
          <cell r="D36">
            <v>1194</v>
          </cell>
          <cell r="R36">
            <v>1194</v>
          </cell>
        </row>
        <row r="40">
          <cell r="D40">
            <v>14547</v>
          </cell>
          <cell r="R40">
            <v>2764</v>
          </cell>
        </row>
      </sheetData>
      <sheetData sheetId="4"/>
      <sheetData sheetId="5"/>
      <sheetData sheetId="6"/>
      <sheetData sheetId="7"/>
      <sheetData sheetId="8"/>
      <sheetData sheetId="9"/>
      <sheetData sheetId="10"/>
      <sheetData sheetId="11"/>
      <sheetData sheetId="12"/>
      <sheetData sheetId="13"/>
      <sheetData sheetId="14">
        <row r="9">
          <cell r="D9">
            <v>679</v>
          </cell>
          <cell r="F9">
            <v>2</v>
          </cell>
          <cell r="G9">
            <v>315</v>
          </cell>
          <cell r="H9">
            <v>362</v>
          </cell>
          <cell r="I9">
            <v>940</v>
          </cell>
        </row>
        <row r="10">
          <cell r="D10">
            <v>0</v>
          </cell>
          <cell r="F10">
            <v>0</v>
          </cell>
          <cell r="G10">
            <v>0</v>
          </cell>
          <cell r="H10">
            <v>0</v>
          </cell>
          <cell r="I10">
            <v>0</v>
          </cell>
        </row>
        <row r="11">
          <cell r="D11">
            <v>0</v>
          </cell>
          <cell r="F11"/>
          <cell r="G11">
            <v>0</v>
          </cell>
          <cell r="H11">
            <v>0</v>
          </cell>
          <cell r="I11">
            <v>0</v>
          </cell>
        </row>
        <row r="12">
          <cell r="D12">
            <v>139</v>
          </cell>
          <cell r="F12">
            <v>0</v>
          </cell>
          <cell r="G12">
            <v>136</v>
          </cell>
          <cell r="H12">
            <v>3</v>
          </cell>
          <cell r="I12">
            <v>180</v>
          </cell>
        </row>
        <row r="13">
          <cell r="D13">
            <v>0</v>
          </cell>
          <cell r="F13">
            <v>0</v>
          </cell>
          <cell r="G13">
            <v>0</v>
          </cell>
          <cell r="H13">
            <v>0</v>
          </cell>
          <cell r="I13">
            <v>0</v>
          </cell>
        </row>
        <row r="14">
          <cell r="D14">
            <v>58</v>
          </cell>
          <cell r="F14">
            <v>8</v>
          </cell>
          <cell r="G14">
            <v>49</v>
          </cell>
          <cell r="H14">
            <v>1</v>
          </cell>
          <cell r="I14">
            <v>123</v>
          </cell>
        </row>
        <row r="15">
          <cell r="D15">
            <v>50</v>
          </cell>
          <cell r="F15">
            <v>1</v>
          </cell>
          <cell r="G15">
            <v>49</v>
          </cell>
          <cell r="H15">
            <v>0</v>
          </cell>
          <cell r="I15">
            <v>54</v>
          </cell>
        </row>
        <row r="16">
          <cell r="F16">
            <v>0</v>
          </cell>
          <cell r="G16">
            <v>0</v>
          </cell>
          <cell r="H16">
            <v>0</v>
          </cell>
          <cell r="I16">
            <v>0</v>
          </cell>
        </row>
        <row r="17">
          <cell r="D17">
            <v>0</v>
          </cell>
          <cell r="I17">
            <v>0</v>
          </cell>
        </row>
        <row r="18">
          <cell r="I18">
            <v>0</v>
          </cell>
        </row>
        <row r="19">
          <cell r="D19">
            <v>106</v>
          </cell>
          <cell r="F19">
            <v>45</v>
          </cell>
          <cell r="G19">
            <v>61</v>
          </cell>
          <cell r="H19">
            <v>0</v>
          </cell>
          <cell r="I19">
            <v>108</v>
          </cell>
        </row>
        <row r="26">
          <cell r="D26">
            <v>49283</v>
          </cell>
          <cell r="E26">
            <v>30817</v>
          </cell>
          <cell r="H26">
            <v>18466</v>
          </cell>
        </row>
        <row r="27">
          <cell r="D27">
            <v>0</v>
          </cell>
          <cell r="E27">
            <v>0</v>
          </cell>
          <cell r="H27">
            <v>0</v>
          </cell>
        </row>
        <row r="28">
          <cell r="D28">
            <v>0</v>
          </cell>
          <cell r="E28">
            <v>0</v>
          </cell>
          <cell r="H28">
            <v>0</v>
          </cell>
        </row>
        <row r="29">
          <cell r="D29">
            <v>17169</v>
          </cell>
          <cell r="E29">
            <v>16917</v>
          </cell>
          <cell r="H29">
            <v>252</v>
          </cell>
        </row>
        <row r="30">
          <cell r="D30">
            <v>0</v>
          </cell>
          <cell r="E30">
            <v>0</v>
          </cell>
          <cell r="H30">
            <v>0</v>
          </cell>
        </row>
        <row r="31">
          <cell r="D31">
            <v>8887</v>
          </cell>
          <cell r="E31">
            <v>8826</v>
          </cell>
          <cell r="H31">
            <v>61</v>
          </cell>
        </row>
        <row r="32">
          <cell r="D32">
            <v>10293</v>
          </cell>
          <cell r="E32">
            <v>10293</v>
          </cell>
          <cell r="H32">
            <v>0</v>
          </cell>
        </row>
        <row r="33">
          <cell r="E33">
            <v>0</v>
          </cell>
          <cell r="H33">
            <v>0</v>
          </cell>
        </row>
        <row r="34">
          <cell r="D34">
            <v>0</v>
          </cell>
        </row>
        <row r="36">
          <cell r="D36">
            <v>9534</v>
          </cell>
          <cell r="E36">
            <v>9534</v>
          </cell>
          <cell r="H36">
            <v>0</v>
          </cell>
        </row>
        <row r="53">
          <cell r="D53">
            <v>19</v>
          </cell>
          <cell r="F53">
            <v>7</v>
          </cell>
          <cell r="G53">
            <v>4</v>
          </cell>
          <cell r="H53">
            <v>8</v>
          </cell>
          <cell r="I53">
            <v>24</v>
          </cell>
        </row>
        <row r="54">
          <cell r="D54">
            <v>0</v>
          </cell>
          <cell r="F54"/>
          <cell r="G54"/>
          <cell r="H54"/>
          <cell r="I54">
            <v>0</v>
          </cell>
        </row>
        <row r="55">
          <cell r="D55">
            <v>2</v>
          </cell>
          <cell r="F55">
            <v>2</v>
          </cell>
          <cell r="G55">
            <v>0</v>
          </cell>
          <cell r="H55">
            <v>0</v>
          </cell>
          <cell r="I55">
            <v>4</v>
          </cell>
        </row>
        <row r="56">
          <cell r="D56">
            <v>5</v>
          </cell>
          <cell r="F56">
            <v>3</v>
          </cell>
          <cell r="G56">
            <v>1</v>
          </cell>
          <cell r="H56">
            <v>1</v>
          </cell>
          <cell r="I56">
            <v>10</v>
          </cell>
        </row>
        <row r="57">
          <cell r="D57">
            <v>3</v>
          </cell>
          <cell r="F57"/>
          <cell r="G57">
            <v>2</v>
          </cell>
          <cell r="H57">
            <v>1</v>
          </cell>
          <cell r="I57">
            <v>9</v>
          </cell>
        </row>
        <row r="58">
          <cell r="D58">
            <v>17</v>
          </cell>
          <cell r="F58">
            <v>6</v>
          </cell>
          <cell r="G58">
            <v>10</v>
          </cell>
          <cell r="H58">
            <v>1</v>
          </cell>
          <cell r="I58">
            <v>28</v>
          </cell>
        </row>
        <row r="59">
          <cell r="D59">
            <v>1</v>
          </cell>
          <cell r="F59">
            <v>1</v>
          </cell>
          <cell r="G59"/>
          <cell r="H59">
            <v>0</v>
          </cell>
          <cell r="I59">
            <v>1</v>
          </cell>
        </row>
        <row r="60">
          <cell r="F60">
            <v>0</v>
          </cell>
          <cell r="G60">
            <v>0</v>
          </cell>
          <cell r="H60">
            <v>0</v>
          </cell>
          <cell r="I60">
            <v>0</v>
          </cell>
        </row>
        <row r="61">
          <cell r="D61">
            <v>6</v>
          </cell>
          <cell r="F61">
            <v>0</v>
          </cell>
          <cell r="G61">
            <v>6</v>
          </cell>
          <cell r="H61">
            <v>0</v>
          </cell>
          <cell r="I61">
            <v>8</v>
          </cell>
        </row>
        <row r="62">
          <cell r="F62">
            <v>0</v>
          </cell>
          <cell r="G62">
            <v>6</v>
          </cell>
          <cell r="H62">
            <v>0</v>
          </cell>
          <cell r="I62">
            <v>8</v>
          </cell>
        </row>
        <row r="63">
          <cell r="D63">
            <v>20</v>
          </cell>
          <cell r="F63">
            <v>20</v>
          </cell>
          <cell r="G63">
            <v>0</v>
          </cell>
          <cell r="H63">
            <v>0</v>
          </cell>
          <cell r="I63">
            <v>23</v>
          </cell>
        </row>
        <row r="70">
          <cell r="D70">
            <v>1569</v>
          </cell>
          <cell r="E70">
            <v>702</v>
          </cell>
          <cell r="H70">
            <v>867</v>
          </cell>
        </row>
        <row r="71">
          <cell r="D71">
            <v>0</v>
          </cell>
          <cell r="E71"/>
          <cell r="H71">
            <v>0</v>
          </cell>
        </row>
        <row r="72">
          <cell r="D72">
            <v>66</v>
          </cell>
          <cell r="E72">
            <v>66</v>
          </cell>
          <cell r="H72">
            <v>0</v>
          </cell>
        </row>
        <row r="73">
          <cell r="D73">
            <v>541</v>
          </cell>
          <cell r="E73">
            <v>516</v>
          </cell>
          <cell r="H73">
            <v>25</v>
          </cell>
        </row>
        <row r="74">
          <cell r="D74">
            <v>149</v>
          </cell>
          <cell r="E74">
            <v>108</v>
          </cell>
          <cell r="H74">
            <v>41</v>
          </cell>
        </row>
        <row r="75">
          <cell r="D75">
            <v>4030</v>
          </cell>
          <cell r="E75">
            <v>4005</v>
          </cell>
          <cell r="H75">
            <v>25</v>
          </cell>
        </row>
        <row r="76">
          <cell r="D76">
            <v>372</v>
          </cell>
          <cell r="E76">
            <v>372</v>
          </cell>
          <cell r="H76">
            <v>0</v>
          </cell>
        </row>
        <row r="77">
          <cell r="E77">
            <v>0</v>
          </cell>
          <cell r="H77">
            <v>0</v>
          </cell>
        </row>
        <row r="78">
          <cell r="D78">
            <v>831</v>
          </cell>
          <cell r="E78">
            <v>831</v>
          </cell>
          <cell r="H78">
            <v>0</v>
          </cell>
        </row>
        <row r="79">
          <cell r="E79">
            <v>378</v>
          </cell>
          <cell r="H79">
            <v>0</v>
          </cell>
        </row>
        <row r="80">
          <cell r="D80">
            <v>2451</v>
          </cell>
          <cell r="E80">
            <v>2451</v>
          </cell>
          <cell r="H80">
            <v>0</v>
          </cell>
        </row>
        <row r="97">
          <cell r="D97">
            <v>698</v>
          </cell>
        </row>
        <row r="98">
          <cell r="D98">
            <v>0</v>
          </cell>
        </row>
        <row r="99">
          <cell r="D99">
            <v>2</v>
          </cell>
        </row>
        <row r="100">
          <cell r="D100">
            <v>144</v>
          </cell>
        </row>
        <row r="101">
          <cell r="D101">
            <v>3</v>
          </cell>
        </row>
        <row r="102">
          <cell r="D102">
            <v>75</v>
          </cell>
        </row>
        <row r="103">
          <cell r="D103">
            <v>51</v>
          </cell>
        </row>
        <row r="105">
          <cell r="D105">
            <v>6</v>
          </cell>
        </row>
        <row r="107">
          <cell r="D107">
            <v>126</v>
          </cell>
        </row>
        <row r="114">
          <cell r="D114">
            <v>50852</v>
          </cell>
        </row>
        <row r="115">
          <cell r="D115">
            <v>0</v>
          </cell>
        </row>
        <row r="116">
          <cell r="D116">
            <v>66</v>
          </cell>
        </row>
        <row r="117">
          <cell r="D117">
            <v>17710</v>
          </cell>
        </row>
        <row r="118">
          <cell r="D118">
            <v>149</v>
          </cell>
        </row>
        <row r="119">
          <cell r="D119">
            <v>12917</v>
          </cell>
        </row>
        <row r="120">
          <cell r="D120">
            <v>10665</v>
          </cell>
        </row>
        <row r="122">
          <cell r="D122">
            <v>831</v>
          </cell>
        </row>
        <row r="124">
          <cell r="D124">
            <v>11985</v>
          </cell>
        </row>
      </sheetData>
      <sheetData sheetId="15">
        <row r="5">
          <cell r="F5">
            <v>73.355704697986582</v>
          </cell>
        </row>
        <row r="6">
          <cell r="D6">
            <v>1389</v>
          </cell>
          <cell r="E6">
            <v>1023</v>
          </cell>
          <cell r="F6">
            <v>73.650107991360684</v>
          </cell>
        </row>
        <row r="7">
          <cell r="D7">
            <v>101</v>
          </cell>
          <cell r="E7">
            <v>70</v>
          </cell>
          <cell r="F7">
            <v>69.306930693069305</v>
          </cell>
        </row>
      </sheetData>
      <sheetData sheetId="16"/>
      <sheetData sheetId="17"/>
      <sheetData sheetId="18"/>
      <sheetData sheetId="19"/>
      <sheetData sheetId="20"/>
      <sheetData sheetId="2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30038</v>
          </cell>
          <cell r="R12">
            <v>430</v>
          </cell>
        </row>
        <row r="14">
          <cell r="D14">
            <v>267</v>
          </cell>
          <cell r="R14">
            <v>267</v>
          </cell>
        </row>
        <row r="17">
          <cell r="D17">
            <v>15314</v>
          </cell>
          <cell r="R17">
            <v>403</v>
          </cell>
        </row>
        <row r="20">
          <cell r="D20">
            <v>1266</v>
          </cell>
          <cell r="R20">
            <v>1266</v>
          </cell>
        </row>
        <row r="24">
          <cell r="D24">
            <v>16513</v>
          </cell>
          <cell r="R24">
            <v>1803</v>
          </cell>
        </row>
        <row r="30">
          <cell r="D30">
            <v>13782</v>
          </cell>
          <cell r="R30">
            <v>137</v>
          </cell>
        </row>
        <row r="35">
          <cell r="D35">
            <v>387</v>
          </cell>
          <cell r="R35">
            <v>387</v>
          </cell>
        </row>
        <row r="36">
          <cell r="D36">
            <v>656</v>
          </cell>
          <cell r="R36">
            <v>656</v>
          </cell>
        </row>
        <row r="40">
          <cell r="D40">
            <v>3714</v>
          </cell>
          <cell r="R40">
            <v>350</v>
          </cell>
        </row>
      </sheetData>
      <sheetData sheetId="4"/>
      <sheetData sheetId="5"/>
      <sheetData sheetId="6"/>
      <sheetData sheetId="7"/>
      <sheetData sheetId="8"/>
      <sheetData sheetId="9"/>
      <sheetData sheetId="10"/>
      <sheetData sheetId="11"/>
      <sheetData sheetId="12"/>
      <sheetData sheetId="13">
        <row r="9">
          <cell r="F9">
            <v>3</v>
          </cell>
          <cell r="G9">
            <v>1</v>
          </cell>
          <cell r="H9">
            <v>147</v>
          </cell>
          <cell r="I9">
            <v>155</v>
          </cell>
        </row>
        <row r="12">
          <cell r="F12">
            <v>2</v>
          </cell>
          <cell r="G12">
            <v>16</v>
          </cell>
          <cell r="H12">
            <v>29</v>
          </cell>
          <cell r="I12">
            <v>47</v>
          </cell>
        </row>
        <row r="14">
          <cell r="G14">
            <v>3</v>
          </cell>
          <cell r="H14">
            <v>25</v>
          </cell>
          <cell r="I14">
            <v>28</v>
          </cell>
        </row>
        <row r="15">
          <cell r="F15">
            <v>3</v>
          </cell>
          <cell r="G15">
            <v>1</v>
          </cell>
          <cell r="H15">
            <v>13</v>
          </cell>
          <cell r="I15">
            <v>17</v>
          </cell>
        </row>
        <row r="17">
          <cell r="F17">
            <v>11</v>
          </cell>
          <cell r="H17">
            <v>13</v>
          </cell>
          <cell r="I17">
            <v>32</v>
          </cell>
        </row>
        <row r="24">
          <cell r="E24">
            <v>852</v>
          </cell>
          <cell r="H24">
            <v>11347</v>
          </cell>
        </row>
        <row r="25">
          <cell r="E25">
            <v>0</v>
          </cell>
        </row>
        <row r="26">
          <cell r="E26">
            <v>0</v>
          </cell>
        </row>
        <row r="27">
          <cell r="E27">
            <v>1775</v>
          </cell>
          <cell r="H27">
            <v>1499</v>
          </cell>
        </row>
        <row r="28">
          <cell r="E28">
            <v>0</v>
          </cell>
        </row>
        <row r="29">
          <cell r="E29">
            <v>448</v>
          </cell>
          <cell r="H29">
            <v>1991</v>
          </cell>
        </row>
        <row r="30">
          <cell r="E30">
            <v>1097</v>
          </cell>
          <cell r="H30">
            <v>735</v>
          </cell>
        </row>
        <row r="31">
          <cell r="E31">
            <v>0</v>
          </cell>
        </row>
        <row r="34">
          <cell r="E34">
            <v>887</v>
          </cell>
          <cell r="H34">
            <v>304</v>
          </cell>
        </row>
        <row r="51">
          <cell r="H51">
            <v>7</v>
          </cell>
          <cell r="I51">
            <v>7</v>
          </cell>
        </row>
        <row r="53">
          <cell r="H53">
            <v>1</v>
          </cell>
          <cell r="I53">
            <v>1</v>
          </cell>
        </row>
        <row r="54">
          <cell r="H54">
            <v>2</v>
          </cell>
          <cell r="I54">
            <v>2</v>
          </cell>
        </row>
        <row r="55">
          <cell r="H55">
            <v>3</v>
          </cell>
          <cell r="I55">
            <v>3</v>
          </cell>
        </row>
        <row r="56">
          <cell r="H56">
            <v>5</v>
          </cell>
          <cell r="I56">
            <v>5</v>
          </cell>
        </row>
        <row r="57">
          <cell r="G57">
            <v>1</v>
          </cell>
          <cell r="I57">
            <v>1</v>
          </cell>
        </row>
        <row r="58">
          <cell r="H58">
            <v>2</v>
          </cell>
          <cell r="I58">
            <v>4</v>
          </cell>
        </row>
        <row r="59">
          <cell r="F59">
            <v>4</v>
          </cell>
          <cell r="I59">
            <v>5</v>
          </cell>
        </row>
        <row r="66">
          <cell r="E66">
            <v>0</v>
          </cell>
          <cell r="H66">
            <v>317</v>
          </cell>
        </row>
        <row r="67">
          <cell r="E67">
            <v>0</v>
          </cell>
        </row>
        <row r="68">
          <cell r="E68">
            <v>0</v>
          </cell>
          <cell r="H68">
            <v>47</v>
          </cell>
        </row>
        <row r="69">
          <cell r="E69">
            <v>0</v>
          </cell>
          <cell r="H69">
            <v>93</v>
          </cell>
        </row>
        <row r="70">
          <cell r="E70">
            <v>0</v>
          </cell>
          <cell r="H70">
            <v>142</v>
          </cell>
        </row>
        <row r="71">
          <cell r="E71">
            <v>0</v>
          </cell>
          <cell r="H71">
            <v>338</v>
          </cell>
        </row>
        <row r="72">
          <cell r="E72">
            <v>137</v>
          </cell>
        </row>
        <row r="73">
          <cell r="E73">
            <v>0</v>
          </cell>
        </row>
        <row r="74">
          <cell r="E74">
            <v>0</v>
          </cell>
          <cell r="H74">
            <v>118</v>
          </cell>
        </row>
        <row r="75">
          <cell r="E75">
            <v>0</v>
          </cell>
        </row>
        <row r="76">
          <cell r="E76">
            <v>221</v>
          </cell>
        </row>
      </sheetData>
      <sheetData sheetId="14">
        <row r="5">
          <cell r="F5">
            <v>94.462540716612381</v>
          </cell>
        </row>
        <row r="6">
          <cell r="D6">
            <v>279</v>
          </cell>
          <cell r="E6">
            <v>266</v>
          </cell>
          <cell r="F6">
            <v>95.340501792114694</v>
          </cell>
        </row>
        <row r="7">
          <cell r="D7">
            <v>28</v>
          </cell>
          <cell r="E7">
            <v>24</v>
          </cell>
          <cell r="F7">
            <v>85.714285714285708</v>
          </cell>
        </row>
      </sheetData>
      <sheetData sheetId="15"/>
      <sheetData sheetId="16"/>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29711</v>
          </cell>
          <cell r="R12">
            <v>724</v>
          </cell>
        </row>
        <row r="14">
          <cell r="D14">
            <v>262</v>
          </cell>
          <cell r="R14">
            <v>262</v>
          </cell>
        </row>
        <row r="17">
          <cell r="D17">
            <v>11955</v>
          </cell>
          <cell r="R17">
            <v>391</v>
          </cell>
        </row>
        <row r="20">
          <cell r="D20">
            <v>1253</v>
          </cell>
          <cell r="R20">
            <v>1253</v>
          </cell>
        </row>
        <row r="24">
          <cell r="D24">
            <v>16211</v>
          </cell>
          <cell r="R24">
            <v>2055</v>
          </cell>
        </row>
        <row r="30">
          <cell r="D30">
            <v>15893</v>
          </cell>
          <cell r="R30">
            <v>145</v>
          </cell>
        </row>
        <row r="35">
          <cell r="D35">
            <v>386</v>
          </cell>
          <cell r="R35">
            <v>386</v>
          </cell>
        </row>
        <row r="36">
          <cell r="D36">
            <v>627</v>
          </cell>
          <cell r="R36">
            <v>627</v>
          </cell>
        </row>
        <row r="40">
          <cell r="D40">
            <v>3581</v>
          </cell>
          <cell r="R40">
            <v>337</v>
          </cell>
        </row>
      </sheetData>
      <sheetData sheetId="4"/>
      <sheetData sheetId="5"/>
      <sheetData sheetId="6"/>
      <sheetData sheetId="7"/>
      <sheetData sheetId="8"/>
      <sheetData sheetId="9"/>
      <sheetData sheetId="10"/>
      <sheetData sheetId="11"/>
      <sheetData sheetId="12"/>
      <sheetData sheetId="13">
        <row r="9">
          <cell r="F9">
            <v>6</v>
          </cell>
          <cell r="G9">
            <v>1</v>
          </cell>
          <cell r="H9">
            <v>145</v>
          </cell>
          <cell r="I9">
            <v>155</v>
          </cell>
        </row>
        <row r="12">
          <cell r="F12">
            <v>3</v>
          </cell>
          <cell r="G12">
            <v>9</v>
          </cell>
          <cell r="H12">
            <v>35</v>
          </cell>
          <cell r="I12">
            <v>47</v>
          </cell>
        </row>
        <row r="14">
          <cell r="G14">
            <v>2</v>
          </cell>
          <cell r="H14">
            <v>26</v>
          </cell>
          <cell r="I14">
            <v>28</v>
          </cell>
        </row>
        <row r="15">
          <cell r="F15">
            <v>3</v>
          </cell>
          <cell r="G15">
            <v>1</v>
          </cell>
          <cell r="H15">
            <v>13</v>
          </cell>
          <cell r="I15">
            <v>17</v>
          </cell>
        </row>
        <row r="19">
          <cell r="F19">
            <v>11</v>
          </cell>
          <cell r="H19">
            <v>13</v>
          </cell>
          <cell r="I19">
            <v>32</v>
          </cell>
        </row>
        <row r="26">
          <cell r="E26">
            <v>907</v>
          </cell>
          <cell r="H26">
            <v>10891</v>
          </cell>
        </row>
        <row r="27">
          <cell r="E27">
            <v>0</v>
          </cell>
        </row>
        <row r="28">
          <cell r="E28">
            <v>0</v>
          </cell>
        </row>
        <row r="29">
          <cell r="E29">
            <v>678</v>
          </cell>
          <cell r="H29">
            <v>844</v>
          </cell>
        </row>
        <row r="30">
          <cell r="E30">
            <v>0</v>
          </cell>
        </row>
        <row r="31">
          <cell r="E31">
            <v>304</v>
          </cell>
          <cell r="H31">
            <v>1710</v>
          </cell>
        </row>
        <row r="32">
          <cell r="E32">
            <v>1823</v>
          </cell>
          <cell r="H32">
            <v>1759</v>
          </cell>
        </row>
        <row r="33">
          <cell r="E33">
            <v>0</v>
          </cell>
        </row>
        <row r="36">
          <cell r="E36">
            <v>940</v>
          </cell>
          <cell r="H36">
            <v>292</v>
          </cell>
        </row>
        <row r="53">
          <cell r="H53">
            <v>7</v>
          </cell>
          <cell r="I53">
            <v>7</v>
          </cell>
        </row>
        <row r="55">
          <cell r="H55">
            <v>1</v>
          </cell>
          <cell r="I55">
            <v>1</v>
          </cell>
        </row>
        <row r="56">
          <cell r="H56">
            <v>2</v>
          </cell>
          <cell r="I56">
            <v>2</v>
          </cell>
        </row>
        <row r="57">
          <cell r="H57">
            <v>3</v>
          </cell>
          <cell r="I57">
            <v>3</v>
          </cell>
        </row>
        <row r="58">
          <cell r="G58">
            <v>1</v>
          </cell>
          <cell r="H58">
            <v>4</v>
          </cell>
          <cell r="I58">
            <v>5</v>
          </cell>
        </row>
        <row r="59">
          <cell r="G59">
            <v>1</v>
          </cell>
          <cell r="I59">
            <v>1</v>
          </cell>
        </row>
        <row r="61">
          <cell r="H61">
            <v>2</v>
          </cell>
          <cell r="I61">
            <v>4</v>
          </cell>
        </row>
        <row r="62">
          <cell r="H62">
            <v>2</v>
          </cell>
          <cell r="I62">
            <v>4</v>
          </cell>
        </row>
        <row r="63">
          <cell r="F63">
            <v>4</v>
          </cell>
          <cell r="I63">
            <v>5</v>
          </cell>
        </row>
        <row r="70">
          <cell r="E70">
            <v>0</v>
          </cell>
          <cell r="H70">
            <v>383</v>
          </cell>
        </row>
        <row r="71">
          <cell r="E71">
            <v>0</v>
          </cell>
        </row>
        <row r="72">
          <cell r="E72">
            <v>0</v>
          </cell>
          <cell r="H72">
            <v>16</v>
          </cell>
        </row>
        <row r="73">
          <cell r="E73">
            <v>0</v>
          </cell>
          <cell r="H73">
            <v>100</v>
          </cell>
        </row>
        <row r="74">
          <cell r="E74">
            <v>0</v>
          </cell>
          <cell r="H74">
            <v>94</v>
          </cell>
        </row>
        <row r="75">
          <cell r="E75">
            <v>69</v>
          </cell>
          <cell r="H75">
            <v>321</v>
          </cell>
        </row>
        <row r="76">
          <cell r="E76">
            <v>144</v>
          </cell>
        </row>
        <row r="77">
          <cell r="E77">
            <v>0</v>
          </cell>
        </row>
        <row r="78">
          <cell r="E78">
            <v>0</v>
          </cell>
          <cell r="H78">
            <v>116</v>
          </cell>
        </row>
        <row r="79">
          <cell r="E79">
            <v>0</v>
          </cell>
          <cell r="H79">
            <v>73</v>
          </cell>
        </row>
        <row r="80">
          <cell r="E80">
            <v>275</v>
          </cell>
        </row>
      </sheetData>
      <sheetData sheetId="14">
        <row r="5">
          <cell r="F5">
            <v>94.788273615635177</v>
          </cell>
        </row>
        <row r="6">
          <cell r="D6">
            <v>279</v>
          </cell>
          <cell r="E6">
            <v>267</v>
          </cell>
          <cell r="F6">
            <v>95.6989247311828</v>
          </cell>
        </row>
        <row r="7">
          <cell r="D7">
            <v>28</v>
          </cell>
          <cell r="E7">
            <v>24</v>
          </cell>
          <cell r="F7">
            <v>85.714285714285708</v>
          </cell>
        </row>
      </sheetData>
      <sheetData sheetId="15"/>
      <sheetData sheetId="16"/>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29912</v>
          </cell>
          <cell r="R12">
            <v>508</v>
          </cell>
        </row>
        <row r="13">
          <cell r="D13">
            <v>0</v>
          </cell>
          <cell r="R13">
            <v>0</v>
          </cell>
        </row>
        <row r="14">
          <cell r="D14">
            <v>271</v>
          </cell>
          <cell r="R14">
            <v>271</v>
          </cell>
        </row>
        <row r="17">
          <cell r="D17">
            <v>8720</v>
          </cell>
          <cell r="R17">
            <v>389</v>
          </cell>
        </row>
        <row r="20">
          <cell r="D20">
            <v>1240</v>
          </cell>
          <cell r="R20">
            <v>1240</v>
          </cell>
        </row>
        <row r="24">
          <cell r="D24">
            <v>15842</v>
          </cell>
          <cell r="R24">
            <v>2069</v>
          </cell>
        </row>
        <row r="29">
          <cell r="D29">
            <v>0</v>
          </cell>
          <cell r="R29">
            <v>0</v>
          </cell>
        </row>
        <row r="30">
          <cell r="D30">
            <v>18283</v>
          </cell>
          <cell r="R30">
            <v>187</v>
          </cell>
        </row>
        <row r="35">
          <cell r="D35">
            <v>383</v>
          </cell>
          <cell r="R35">
            <v>383</v>
          </cell>
        </row>
        <row r="36">
          <cell r="D36">
            <v>640</v>
          </cell>
          <cell r="R36">
            <v>640</v>
          </cell>
        </row>
        <row r="40">
          <cell r="D40">
            <v>3525</v>
          </cell>
          <cell r="R40">
            <v>342</v>
          </cell>
        </row>
      </sheetData>
      <sheetData sheetId="4"/>
      <sheetData sheetId="5"/>
      <sheetData sheetId="6"/>
      <sheetData sheetId="7"/>
      <sheetData sheetId="8"/>
      <sheetData sheetId="9"/>
      <sheetData sheetId="10"/>
      <sheetData sheetId="11"/>
      <sheetData sheetId="12"/>
      <sheetData sheetId="13"/>
      <sheetData sheetId="14">
        <row r="9">
          <cell r="F9">
            <v>7</v>
          </cell>
          <cell r="G9">
            <v>1</v>
          </cell>
          <cell r="H9">
            <v>144</v>
          </cell>
          <cell r="I9">
            <v>155</v>
          </cell>
        </row>
        <row r="14">
          <cell r="G14">
            <v>3</v>
          </cell>
          <cell r="H14">
            <v>25</v>
          </cell>
          <cell r="I14">
            <v>28</v>
          </cell>
        </row>
        <row r="15">
          <cell r="F15">
            <v>7</v>
          </cell>
          <cell r="G15">
            <v>7</v>
          </cell>
          <cell r="H15">
            <v>50</v>
          </cell>
          <cell r="I15">
            <v>64</v>
          </cell>
        </row>
        <row r="19">
          <cell r="F19">
            <v>11</v>
          </cell>
          <cell r="H19">
            <v>14</v>
          </cell>
          <cell r="I19">
            <v>32</v>
          </cell>
        </row>
        <row r="26">
          <cell r="E26">
            <v>1170</v>
          </cell>
          <cell r="H26">
            <v>11493</v>
          </cell>
        </row>
        <row r="27">
          <cell r="E27">
            <v>0</v>
          </cell>
        </row>
        <row r="28">
          <cell r="E28">
            <v>0</v>
          </cell>
        </row>
        <row r="29">
          <cell r="E29">
            <v>0</v>
          </cell>
        </row>
        <row r="30">
          <cell r="E30">
            <v>0</v>
          </cell>
        </row>
        <row r="31">
          <cell r="E31">
            <v>352</v>
          </cell>
          <cell r="H31">
            <v>1594</v>
          </cell>
        </row>
        <row r="32">
          <cell r="E32">
            <v>2748</v>
          </cell>
          <cell r="H32">
            <v>2574</v>
          </cell>
        </row>
        <row r="33">
          <cell r="E33">
            <v>0</v>
          </cell>
        </row>
        <row r="36">
          <cell r="E36">
            <v>827</v>
          </cell>
          <cell r="H36">
            <v>324</v>
          </cell>
        </row>
        <row r="53">
          <cell r="H53">
            <v>7</v>
          </cell>
          <cell r="I53">
            <v>7</v>
          </cell>
        </row>
        <row r="55">
          <cell r="H55">
            <v>1</v>
          </cell>
          <cell r="I55">
            <v>1</v>
          </cell>
        </row>
        <row r="56">
          <cell r="H56">
            <v>2</v>
          </cell>
          <cell r="I56">
            <v>2</v>
          </cell>
        </row>
        <row r="57">
          <cell r="H57">
            <v>3</v>
          </cell>
          <cell r="I57">
            <v>3</v>
          </cell>
        </row>
        <row r="58">
          <cell r="G58">
            <v>1</v>
          </cell>
          <cell r="H58">
            <v>4</v>
          </cell>
          <cell r="I58">
            <v>5</v>
          </cell>
        </row>
        <row r="59">
          <cell r="G59">
            <v>1</v>
          </cell>
          <cell r="I59">
            <v>1</v>
          </cell>
        </row>
        <row r="61">
          <cell r="H61">
            <v>3</v>
          </cell>
          <cell r="I61">
            <v>4</v>
          </cell>
        </row>
        <row r="62">
          <cell r="H62">
            <v>3</v>
          </cell>
          <cell r="I62">
            <v>4</v>
          </cell>
        </row>
        <row r="63">
          <cell r="F63">
            <v>4</v>
          </cell>
          <cell r="I63">
            <v>5</v>
          </cell>
        </row>
        <row r="70">
          <cell r="E70">
            <v>0</v>
          </cell>
          <cell r="H70">
            <v>411</v>
          </cell>
        </row>
        <row r="71">
          <cell r="E71">
            <v>0</v>
          </cell>
        </row>
        <row r="72">
          <cell r="E72">
            <v>0</v>
          </cell>
          <cell r="H72">
            <v>21</v>
          </cell>
        </row>
        <row r="73">
          <cell r="E73">
            <v>0</v>
          </cell>
          <cell r="H73">
            <v>103</v>
          </cell>
        </row>
        <row r="74">
          <cell r="E74">
            <v>0</v>
          </cell>
          <cell r="H74">
            <v>103</v>
          </cell>
        </row>
        <row r="75">
          <cell r="E75">
            <v>0</v>
          </cell>
          <cell r="H75">
            <v>359</v>
          </cell>
        </row>
        <row r="76">
          <cell r="E76">
            <v>147</v>
          </cell>
        </row>
        <row r="77">
          <cell r="E77">
            <v>0</v>
          </cell>
        </row>
        <row r="78">
          <cell r="E78">
            <v>0</v>
          </cell>
          <cell r="H78">
            <v>148</v>
          </cell>
        </row>
        <row r="79">
          <cell r="E79">
            <v>0</v>
          </cell>
          <cell r="H79">
            <v>103</v>
          </cell>
        </row>
        <row r="80">
          <cell r="E80">
            <v>188</v>
          </cell>
        </row>
      </sheetData>
      <sheetData sheetId="15">
        <row r="5">
          <cell r="F5">
            <v>95.081967213114751</v>
          </cell>
        </row>
        <row r="6">
          <cell r="D6">
            <v>278</v>
          </cell>
          <cell r="E6">
            <v>267</v>
          </cell>
          <cell r="F6">
            <v>96.043165467625897</v>
          </cell>
        </row>
        <row r="7">
          <cell r="D7">
            <v>27</v>
          </cell>
          <cell r="E7">
            <v>23</v>
          </cell>
          <cell r="F7">
            <v>85.18518518518519</v>
          </cell>
        </row>
      </sheetData>
      <sheetData sheetId="16"/>
      <sheetData sheetId="17"/>
      <sheetData sheetId="18"/>
      <sheetData sheetId="19"/>
      <sheetData sheetId="20"/>
      <sheetData sheetId="2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29871</v>
          </cell>
          <cell r="R12">
            <v>717</v>
          </cell>
        </row>
        <row r="14">
          <cell r="D14">
            <v>0</v>
          </cell>
          <cell r="R14">
            <v>0</v>
          </cell>
        </row>
        <row r="17">
          <cell r="D17">
            <v>5248</v>
          </cell>
          <cell r="R17">
            <v>330</v>
          </cell>
        </row>
        <row r="20">
          <cell r="D20">
            <v>1392</v>
          </cell>
          <cell r="R20">
            <v>1392</v>
          </cell>
        </row>
        <row r="24">
          <cell r="D24">
            <v>15772</v>
          </cell>
          <cell r="R24">
            <v>2066</v>
          </cell>
        </row>
        <row r="30">
          <cell r="D30">
            <v>21591</v>
          </cell>
          <cell r="R30">
            <v>245</v>
          </cell>
        </row>
        <row r="35">
          <cell r="D35">
            <v>396</v>
          </cell>
          <cell r="R35">
            <v>396</v>
          </cell>
        </row>
        <row r="36">
          <cell r="D36">
            <v>619</v>
          </cell>
          <cell r="R36">
            <v>619</v>
          </cell>
        </row>
        <row r="40">
          <cell r="D40">
            <v>3498</v>
          </cell>
          <cell r="R40">
            <v>326</v>
          </cell>
        </row>
      </sheetData>
      <sheetData sheetId="4"/>
      <sheetData sheetId="5"/>
      <sheetData sheetId="6"/>
      <sheetData sheetId="7"/>
      <sheetData sheetId="8"/>
      <sheetData sheetId="9"/>
      <sheetData sheetId="10"/>
      <sheetData sheetId="11"/>
      <sheetData sheetId="12"/>
      <sheetData sheetId="13"/>
      <sheetData sheetId="14">
        <row r="9">
          <cell r="F9">
            <v>8</v>
          </cell>
          <cell r="H9">
            <v>144</v>
          </cell>
          <cell r="I9">
            <v>155</v>
          </cell>
        </row>
        <row r="14">
          <cell r="G14">
            <v>3</v>
          </cell>
          <cell r="H14">
            <v>25</v>
          </cell>
          <cell r="I14">
            <v>28</v>
          </cell>
        </row>
        <row r="15">
          <cell r="F15">
            <v>7</v>
          </cell>
          <cell r="G15">
            <v>7</v>
          </cell>
          <cell r="H15">
            <v>46</v>
          </cell>
          <cell r="I15">
            <v>60</v>
          </cell>
        </row>
        <row r="19">
          <cell r="F19">
            <v>11</v>
          </cell>
          <cell r="H19">
            <v>15</v>
          </cell>
          <cell r="I19">
            <v>31</v>
          </cell>
        </row>
        <row r="26">
          <cell r="E26">
            <v>1332</v>
          </cell>
          <cell r="H26">
            <v>12275</v>
          </cell>
        </row>
        <row r="27">
          <cell r="E27">
            <v>0</v>
          </cell>
        </row>
        <row r="28">
          <cell r="E28">
            <v>0</v>
          </cell>
        </row>
        <row r="29">
          <cell r="E29">
            <v>0</v>
          </cell>
        </row>
        <row r="30">
          <cell r="E30">
            <v>0</v>
          </cell>
        </row>
        <row r="31">
          <cell r="E31">
            <v>402</v>
          </cell>
          <cell r="H31">
            <v>2105</v>
          </cell>
        </row>
        <row r="32">
          <cell r="E32">
            <v>3442</v>
          </cell>
          <cell r="H32">
            <v>2766</v>
          </cell>
        </row>
        <row r="33">
          <cell r="E33">
            <v>0</v>
          </cell>
        </row>
        <row r="36">
          <cell r="E36">
            <v>814</v>
          </cell>
          <cell r="H36">
            <v>310</v>
          </cell>
        </row>
        <row r="53">
          <cell r="H53">
            <v>7</v>
          </cell>
          <cell r="I53">
            <v>7</v>
          </cell>
        </row>
        <row r="56">
          <cell r="H56">
            <v>2</v>
          </cell>
          <cell r="I56">
            <v>2</v>
          </cell>
        </row>
        <row r="57">
          <cell r="H57">
            <v>3</v>
          </cell>
          <cell r="I57">
            <v>3</v>
          </cell>
        </row>
        <row r="58">
          <cell r="G58">
            <v>1</v>
          </cell>
          <cell r="H58">
            <v>4</v>
          </cell>
          <cell r="I58">
            <v>5</v>
          </cell>
        </row>
        <row r="59">
          <cell r="G59">
            <v>1</v>
          </cell>
          <cell r="I59">
            <v>1</v>
          </cell>
        </row>
        <row r="61">
          <cell r="H61">
            <v>3</v>
          </cell>
          <cell r="I61">
            <v>4</v>
          </cell>
        </row>
        <row r="62">
          <cell r="H62">
            <v>3</v>
          </cell>
          <cell r="I62">
            <v>4</v>
          </cell>
        </row>
        <row r="63">
          <cell r="F63">
            <v>4</v>
          </cell>
          <cell r="I63">
            <v>5</v>
          </cell>
        </row>
        <row r="70">
          <cell r="H70">
            <v>415</v>
          </cell>
        </row>
        <row r="73">
          <cell r="H73">
            <v>102</v>
          </cell>
        </row>
        <row r="74">
          <cell r="H74">
            <v>122</v>
          </cell>
        </row>
        <row r="75">
          <cell r="E75">
            <v>110</v>
          </cell>
          <cell r="H75">
            <v>371</v>
          </cell>
        </row>
        <row r="76">
          <cell r="E76">
            <v>159</v>
          </cell>
        </row>
        <row r="78">
          <cell r="H78">
            <v>155</v>
          </cell>
        </row>
        <row r="79">
          <cell r="H79">
            <v>110</v>
          </cell>
        </row>
        <row r="80">
          <cell r="E80">
            <v>182</v>
          </cell>
        </row>
      </sheetData>
      <sheetData sheetId="15">
        <row r="5">
          <cell r="F5">
            <v>97.009966777408636</v>
          </cell>
        </row>
        <row r="6">
          <cell r="D6">
            <v>274</v>
          </cell>
          <cell r="E6">
            <v>267</v>
          </cell>
          <cell r="F6">
            <v>97.445255474452551</v>
          </cell>
        </row>
        <row r="7">
          <cell r="D7">
            <v>27</v>
          </cell>
          <cell r="E7">
            <v>25</v>
          </cell>
          <cell r="F7">
            <v>92.592592592592595</v>
          </cell>
        </row>
      </sheetData>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Tabelle1"/>
      <sheetName val="SKL2016_BW"/>
    </sheetNames>
    <sheetDataSet>
      <sheetData sheetId="0"/>
      <sheetData sheetId="1"/>
      <sheetData sheetId="2"/>
      <sheetData sheetId="3">
        <row r="12">
          <cell r="D12">
            <v>329602</v>
          </cell>
          <cell r="R12">
            <v>9631</v>
          </cell>
        </row>
        <row r="13">
          <cell r="D13">
            <v>376</v>
          </cell>
          <cell r="R13">
            <v>0</v>
          </cell>
        </row>
        <row r="14">
          <cell r="D14">
            <v>83728</v>
          </cell>
          <cell r="R14">
            <v>3922</v>
          </cell>
        </row>
        <row r="17">
          <cell r="D17">
            <v>0</v>
          </cell>
          <cell r="R17">
            <v>0</v>
          </cell>
        </row>
        <row r="20">
          <cell r="D20">
            <v>219116</v>
          </cell>
          <cell r="R20">
            <v>15271</v>
          </cell>
        </row>
        <row r="24">
          <cell r="D24">
            <v>197484</v>
          </cell>
          <cell r="R24">
            <v>22062</v>
          </cell>
        </row>
        <row r="29">
          <cell r="D29">
            <v>49344</v>
          </cell>
          <cell r="R29">
            <v>831</v>
          </cell>
        </row>
        <row r="30">
          <cell r="D30">
            <v>54699</v>
          </cell>
          <cell r="R30">
            <v>856</v>
          </cell>
        </row>
        <row r="35">
          <cell r="D35">
            <v>7195</v>
          </cell>
          <cell r="R35">
            <v>7195</v>
          </cell>
        </row>
        <row r="36">
          <cell r="D36">
            <v>11374</v>
          </cell>
          <cell r="R36">
            <v>11374</v>
          </cell>
        </row>
        <row r="40">
          <cell r="D40">
            <v>49339</v>
          </cell>
          <cell r="R40">
            <v>14987</v>
          </cell>
        </row>
      </sheetData>
      <sheetData sheetId="4"/>
      <sheetData sheetId="5"/>
      <sheetData sheetId="6"/>
      <sheetData sheetId="7"/>
      <sheetData sheetId="8"/>
      <sheetData sheetId="9"/>
      <sheetData sheetId="10"/>
      <sheetData sheetId="11"/>
      <sheetData sheetId="12"/>
      <sheetData sheetId="13"/>
      <sheetData sheetId="14">
        <row r="9">
          <cell r="D9">
            <v>548</v>
          </cell>
          <cell r="F9">
            <v>47</v>
          </cell>
          <cell r="G9">
            <v>60</v>
          </cell>
          <cell r="H9">
            <v>441</v>
          </cell>
          <cell r="I9">
            <v>2140</v>
          </cell>
        </row>
        <row r="10">
          <cell r="D10">
            <v>1</v>
          </cell>
          <cell r="F10">
            <v>0</v>
          </cell>
          <cell r="G10">
            <v>0</v>
          </cell>
          <cell r="H10">
            <v>1</v>
          </cell>
          <cell r="I10">
            <v>1</v>
          </cell>
        </row>
        <row r="11">
          <cell r="D11">
            <v>380</v>
          </cell>
          <cell r="F11">
            <v>129</v>
          </cell>
          <cell r="G11">
            <v>94</v>
          </cell>
          <cell r="H11">
            <v>157</v>
          </cell>
          <cell r="I11">
            <v>682</v>
          </cell>
        </row>
        <row r="12">
          <cell r="D12">
            <v>0</v>
          </cell>
          <cell r="F12">
            <v>0</v>
          </cell>
          <cell r="G12">
            <v>0</v>
          </cell>
          <cell r="H12">
            <v>0</v>
          </cell>
          <cell r="I12">
            <v>0</v>
          </cell>
        </row>
        <row r="13">
          <cell r="D13">
            <v>166</v>
          </cell>
          <cell r="F13">
            <v>6</v>
          </cell>
          <cell r="G13">
            <v>12</v>
          </cell>
          <cell r="H13">
            <v>148</v>
          </cell>
          <cell r="I13">
            <v>430</v>
          </cell>
        </row>
        <row r="14">
          <cell r="D14">
            <v>212</v>
          </cell>
          <cell r="F14">
            <v>10</v>
          </cell>
          <cell r="G14">
            <v>11</v>
          </cell>
          <cell r="H14">
            <v>191</v>
          </cell>
          <cell r="I14">
            <v>378</v>
          </cell>
        </row>
        <row r="15">
          <cell r="D15">
            <v>434</v>
          </cell>
          <cell r="F15">
            <v>315</v>
          </cell>
          <cell r="G15">
            <v>21</v>
          </cell>
          <cell r="H15">
            <v>98</v>
          </cell>
          <cell r="I15">
            <v>529</v>
          </cell>
        </row>
        <row r="16">
          <cell r="F16">
            <v>13</v>
          </cell>
          <cell r="G16">
            <v>21</v>
          </cell>
          <cell r="H16">
            <v>98</v>
          </cell>
          <cell r="I16">
            <v>227</v>
          </cell>
        </row>
        <row r="17">
          <cell r="D17">
            <v>0</v>
          </cell>
          <cell r="I17">
            <v>0</v>
          </cell>
        </row>
        <row r="18">
          <cell r="I18">
            <v>0</v>
          </cell>
        </row>
        <row r="19">
          <cell r="D19">
            <v>201</v>
          </cell>
          <cell r="F19">
            <v>146</v>
          </cell>
          <cell r="G19">
            <v>22</v>
          </cell>
          <cell r="H19">
            <v>33</v>
          </cell>
          <cell r="I19">
            <v>408</v>
          </cell>
        </row>
        <row r="26">
          <cell r="D26">
            <v>53021</v>
          </cell>
          <cell r="E26">
            <v>15727</v>
          </cell>
          <cell r="H26">
            <v>37294</v>
          </cell>
        </row>
        <row r="27">
          <cell r="D27">
            <v>125</v>
          </cell>
          <cell r="E27">
            <v>0</v>
          </cell>
          <cell r="H27">
            <v>125</v>
          </cell>
        </row>
        <row r="28">
          <cell r="D28">
            <v>33022</v>
          </cell>
          <cell r="E28">
            <v>25048</v>
          </cell>
          <cell r="H28">
            <v>7974</v>
          </cell>
        </row>
        <row r="29">
          <cell r="D29">
            <v>0</v>
          </cell>
          <cell r="E29">
            <v>0</v>
          </cell>
          <cell r="H29">
            <v>0</v>
          </cell>
        </row>
        <row r="30">
          <cell r="D30">
            <v>20636</v>
          </cell>
          <cell r="E30">
            <v>4527</v>
          </cell>
          <cell r="H30">
            <v>16109</v>
          </cell>
        </row>
        <row r="31">
          <cell r="D31">
            <v>37473</v>
          </cell>
          <cell r="E31">
            <v>3624</v>
          </cell>
          <cell r="H31">
            <v>33849</v>
          </cell>
        </row>
        <row r="32">
          <cell r="D32">
            <v>67682</v>
          </cell>
          <cell r="E32">
            <v>58797</v>
          </cell>
          <cell r="H32">
            <v>8885</v>
          </cell>
        </row>
        <row r="33">
          <cell r="E33">
            <v>4986</v>
          </cell>
          <cell r="H33">
            <v>8885</v>
          </cell>
        </row>
        <row r="34">
          <cell r="D34">
            <v>0</v>
          </cell>
        </row>
        <row r="36">
          <cell r="D36">
            <v>15974</v>
          </cell>
          <cell r="E36">
            <v>15073</v>
          </cell>
          <cell r="H36">
            <v>901</v>
          </cell>
        </row>
        <row r="53">
          <cell r="D53">
            <v>22</v>
          </cell>
          <cell r="F53">
            <v>14</v>
          </cell>
          <cell r="G53">
            <v>3</v>
          </cell>
          <cell r="H53">
            <v>5</v>
          </cell>
          <cell r="I53">
            <v>101</v>
          </cell>
        </row>
        <row r="54">
          <cell r="D54">
            <v>0</v>
          </cell>
          <cell r="F54">
            <v>0</v>
          </cell>
          <cell r="G54">
            <v>0</v>
          </cell>
          <cell r="H54">
            <v>0</v>
          </cell>
          <cell r="I54">
            <v>0</v>
          </cell>
        </row>
        <row r="55">
          <cell r="D55">
            <v>10</v>
          </cell>
          <cell r="F55">
            <v>7</v>
          </cell>
          <cell r="G55">
            <v>1</v>
          </cell>
          <cell r="H55">
            <v>2</v>
          </cell>
          <cell r="I55">
            <v>44</v>
          </cell>
        </row>
        <row r="56">
          <cell r="D56">
            <v>0</v>
          </cell>
          <cell r="F56">
            <v>0</v>
          </cell>
          <cell r="G56">
            <v>0</v>
          </cell>
          <cell r="H56">
            <v>0</v>
          </cell>
          <cell r="I56">
            <v>0</v>
          </cell>
        </row>
        <row r="57">
          <cell r="D57">
            <v>31</v>
          </cell>
          <cell r="F57">
            <v>20</v>
          </cell>
          <cell r="G57">
            <v>1</v>
          </cell>
          <cell r="H57">
            <v>10</v>
          </cell>
          <cell r="I57">
            <v>80</v>
          </cell>
        </row>
        <row r="58">
          <cell r="D58">
            <v>48</v>
          </cell>
          <cell r="F58">
            <v>33</v>
          </cell>
          <cell r="G58">
            <v>0</v>
          </cell>
          <cell r="H58">
            <v>15</v>
          </cell>
          <cell r="I58">
            <v>81</v>
          </cell>
        </row>
        <row r="59">
          <cell r="D59">
            <v>17</v>
          </cell>
          <cell r="F59">
            <v>16</v>
          </cell>
          <cell r="G59">
            <v>1</v>
          </cell>
          <cell r="H59">
            <v>0</v>
          </cell>
          <cell r="I59">
            <v>19</v>
          </cell>
        </row>
        <row r="60">
          <cell r="F60">
            <v>4</v>
          </cell>
          <cell r="G60">
            <v>1</v>
          </cell>
          <cell r="H60">
            <v>0</v>
          </cell>
          <cell r="I60">
            <v>7</v>
          </cell>
        </row>
        <row r="61">
          <cell r="D61">
            <v>20</v>
          </cell>
          <cell r="F61">
            <v>4</v>
          </cell>
          <cell r="G61">
            <v>6</v>
          </cell>
          <cell r="H61">
            <v>10</v>
          </cell>
          <cell r="I61">
            <v>58</v>
          </cell>
        </row>
        <row r="62">
          <cell r="F62">
            <v>4</v>
          </cell>
          <cell r="G62">
            <v>6</v>
          </cell>
          <cell r="H62">
            <v>10</v>
          </cell>
          <cell r="I62">
            <v>57</v>
          </cell>
        </row>
        <row r="63">
          <cell r="D63">
            <v>103</v>
          </cell>
          <cell r="F63">
            <v>102</v>
          </cell>
          <cell r="G63">
            <v>0</v>
          </cell>
          <cell r="H63">
            <v>1</v>
          </cell>
          <cell r="I63">
            <v>154</v>
          </cell>
        </row>
        <row r="70">
          <cell r="D70">
            <v>1957</v>
          </cell>
          <cell r="E70">
            <v>1520</v>
          </cell>
          <cell r="H70">
            <v>437</v>
          </cell>
        </row>
        <row r="71">
          <cell r="D71">
            <v>0</v>
          </cell>
          <cell r="E71">
            <v>0</v>
          </cell>
          <cell r="H71">
            <v>0</v>
          </cell>
        </row>
        <row r="72">
          <cell r="D72">
            <v>1033</v>
          </cell>
          <cell r="E72">
            <v>849</v>
          </cell>
          <cell r="H72">
            <v>184</v>
          </cell>
        </row>
        <row r="73">
          <cell r="D73">
            <v>0</v>
          </cell>
          <cell r="E73">
            <v>0</v>
          </cell>
          <cell r="H73">
            <v>0</v>
          </cell>
        </row>
        <row r="74">
          <cell r="D74">
            <v>2499</v>
          </cell>
          <cell r="E74">
            <v>2113</v>
          </cell>
          <cell r="H74">
            <v>386</v>
          </cell>
        </row>
        <row r="75">
          <cell r="D75">
            <v>6755</v>
          </cell>
          <cell r="E75">
            <v>5153</v>
          </cell>
          <cell r="H75">
            <v>1602</v>
          </cell>
        </row>
        <row r="76">
          <cell r="D76">
            <v>1225</v>
          </cell>
          <cell r="E76">
            <v>1225</v>
          </cell>
          <cell r="H76">
            <v>0</v>
          </cell>
        </row>
        <row r="77">
          <cell r="E77">
            <v>371</v>
          </cell>
          <cell r="H77">
            <v>0</v>
          </cell>
        </row>
        <row r="78">
          <cell r="D78">
            <v>3373</v>
          </cell>
          <cell r="E78">
            <v>2233</v>
          </cell>
          <cell r="H78">
            <v>1140</v>
          </cell>
        </row>
        <row r="79">
          <cell r="E79">
            <v>861</v>
          </cell>
          <cell r="H79">
            <v>444</v>
          </cell>
        </row>
        <row r="80">
          <cell r="D80">
            <v>11712</v>
          </cell>
          <cell r="E80">
            <v>11702</v>
          </cell>
          <cell r="H80">
            <v>10</v>
          </cell>
        </row>
        <row r="97">
          <cell r="D97">
            <v>570</v>
          </cell>
        </row>
        <row r="98">
          <cell r="D98">
            <v>1</v>
          </cell>
        </row>
        <row r="99">
          <cell r="D99">
            <v>390</v>
          </cell>
        </row>
        <row r="100">
          <cell r="D100">
            <v>0</v>
          </cell>
        </row>
        <row r="101">
          <cell r="D101">
            <v>197</v>
          </cell>
        </row>
        <row r="102">
          <cell r="D102">
            <v>260</v>
          </cell>
        </row>
        <row r="103">
          <cell r="D103">
            <v>451</v>
          </cell>
        </row>
        <row r="105">
          <cell r="D105">
            <v>20</v>
          </cell>
        </row>
        <row r="107">
          <cell r="D107">
            <v>304</v>
          </cell>
        </row>
        <row r="114">
          <cell r="D114">
            <v>54978</v>
          </cell>
        </row>
        <row r="115">
          <cell r="D115">
            <v>125</v>
          </cell>
        </row>
        <row r="116">
          <cell r="D116">
            <v>34055</v>
          </cell>
        </row>
        <row r="117">
          <cell r="D117">
            <v>0</v>
          </cell>
        </row>
        <row r="118">
          <cell r="D118">
            <v>23135</v>
          </cell>
        </row>
        <row r="119">
          <cell r="D119">
            <v>44228</v>
          </cell>
        </row>
        <row r="120">
          <cell r="D120">
            <v>68907</v>
          </cell>
        </row>
        <row r="122">
          <cell r="D122">
            <v>3373</v>
          </cell>
        </row>
        <row r="124">
          <cell r="D124">
            <v>27686</v>
          </cell>
        </row>
      </sheetData>
      <sheetData sheetId="15">
        <row r="5">
          <cell r="F5">
            <v>41.59380464651511</v>
          </cell>
        </row>
        <row r="6">
          <cell r="D6">
            <v>3597</v>
          </cell>
          <cell r="E6">
            <v>1462</v>
          </cell>
          <cell r="F6">
            <v>40.644981929385601</v>
          </cell>
        </row>
        <row r="7">
          <cell r="D7">
            <v>406</v>
          </cell>
          <cell r="E7">
            <v>203</v>
          </cell>
          <cell r="F7">
            <v>50</v>
          </cell>
        </row>
      </sheetData>
      <sheetData sheetId="16"/>
      <sheetData sheetId="17"/>
      <sheetData sheetId="18"/>
      <sheetData sheetId="19"/>
      <sheetData sheetId="20"/>
      <sheetData sheetId="21"/>
      <sheetData sheetId="22"/>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30998</v>
          </cell>
          <cell r="R12">
            <v>724</v>
          </cell>
        </row>
        <row r="13">
          <cell r="D13"/>
          <cell r="R13"/>
        </row>
        <row r="14">
          <cell r="D14">
            <v>0</v>
          </cell>
          <cell r="R14">
            <v>0</v>
          </cell>
        </row>
        <row r="17">
          <cell r="D17">
            <v>49</v>
          </cell>
          <cell r="R17">
            <v>49</v>
          </cell>
        </row>
        <row r="20">
          <cell r="D20">
            <v>1010</v>
          </cell>
          <cell r="R20">
            <v>1010</v>
          </cell>
        </row>
        <row r="24">
          <cell r="D24">
            <v>15774</v>
          </cell>
          <cell r="R24">
            <v>2054</v>
          </cell>
        </row>
        <row r="29">
          <cell r="D29"/>
          <cell r="R29"/>
        </row>
        <row r="30">
          <cell r="D30">
            <v>27385</v>
          </cell>
          <cell r="R30">
            <v>1016</v>
          </cell>
        </row>
        <row r="35">
          <cell r="D35">
            <v>373</v>
          </cell>
          <cell r="R35">
            <v>373</v>
          </cell>
        </row>
        <row r="36">
          <cell r="D36">
            <v>601</v>
          </cell>
          <cell r="R36">
            <v>601</v>
          </cell>
        </row>
        <row r="40">
          <cell r="D40">
            <v>3359</v>
          </cell>
          <cell r="R40">
            <v>318</v>
          </cell>
        </row>
      </sheetData>
      <sheetData sheetId="4"/>
      <sheetData sheetId="5"/>
      <sheetData sheetId="6"/>
      <sheetData sheetId="7"/>
      <sheetData sheetId="8"/>
      <sheetData sheetId="9"/>
      <sheetData sheetId="10"/>
      <sheetData sheetId="11"/>
      <sheetData sheetId="12"/>
      <sheetData sheetId="13"/>
      <sheetData sheetId="14">
        <row r="9">
          <cell r="D9">
            <v>152</v>
          </cell>
          <cell r="F9">
            <v>9</v>
          </cell>
          <cell r="G9">
            <v>1</v>
          </cell>
          <cell r="H9">
            <v>142</v>
          </cell>
          <cell r="I9">
            <v>155</v>
          </cell>
        </row>
        <row r="10">
          <cell r="D10">
            <v>0</v>
          </cell>
          <cell r="F10"/>
          <cell r="G10"/>
          <cell r="H10"/>
          <cell r="I10"/>
        </row>
        <row r="11">
          <cell r="D11">
            <v>0</v>
          </cell>
          <cell r="F11"/>
          <cell r="G11"/>
          <cell r="H11"/>
          <cell r="I11"/>
        </row>
        <row r="12">
          <cell r="D12">
            <v>0</v>
          </cell>
          <cell r="F12"/>
          <cell r="G12"/>
          <cell r="H12"/>
          <cell r="I12"/>
        </row>
        <row r="13">
          <cell r="D13">
            <v>0</v>
          </cell>
          <cell r="F13"/>
          <cell r="G13"/>
          <cell r="H13"/>
          <cell r="I13"/>
        </row>
        <row r="14">
          <cell r="D14">
            <v>28</v>
          </cell>
          <cell r="F14"/>
          <cell r="G14">
            <v>3</v>
          </cell>
          <cell r="H14">
            <v>25</v>
          </cell>
          <cell r="I14">
            <v>28</v>
          </cell>
        </row>
        <row r="15">
          <cell r="D15">
            <v>58</v>
          </cell>
          <cell r="F15">
            <v>8</v>
          </cell>
          <cell r="G15">
            <v>6</v>
          </cell>
          <cell r="H15">
            <v>44</v>
          </cell>
          <cell r="I15">
            <v>58</v>
          </cell>
        </row>
        <row r="16">
          <cell r="F16"/>
          <cell r="G16"/>
          <cell r="H16"/>
          <cell r="I16"/>
        </row>
        <row r="17">
          <cell r="D17">
            <v>0</v>
          </cell>
          <cell r="I17"/>
        </row>
        <row r="18">
          <cell r="I18"/>
        </row>
        <row r="19">
          <cell r="D19">
            <v>25</v>
          </cell>
          <cell r="F19">
            <v>11</v>
          </cell>
          <cell r="G19"/>
          <cell r="H19">
            <v>14</v>
          </cell>
          <cell r="I19">
            <v>31</v>
          </cell>
        </row>
        <row r="26">
          <cell r="D26">
            <v>14317</v>
          </cell>
          <cell r="E26">
            <v>1586</v>
          </cell>
          <cell r="H26">
            <v>12731</v>
          </cell>
        </row>
        <row r="27">
          <cell r="D27">
            <v>0</v>
          </cell>
          <cell r="E27"/>
          <cell r="H27"/>
        </row>
        <row r="28">
          <cell r="D28">
            <v>0</v>
          </cell>
          <cell r="E28"/>
          <cell r="H28"/>
        </row>
        <row r="29">
          <cell r="D29">
            <v>0</v>
          </cell>
          <cell r="E29"/>
          <cell r="H29"/>
        </row>
        <row r="30">
          <cell r="D30">
            <v>0</v>
          </cell>
          <cell r="E30"/>
          <cell r="H30"/>
        </row>
        <row r="31">
          <cell r="D31">
            <v>2640</v>
          </cell>
          <cell r="E31">
            <v>396</v>
          </cell>
          <cell r="H31">
            <v>2244</v>
          </cell>
        </row>
        <row r="32">
          <cell r="D32">
            <v>6582</v>
          </cell>
          <cell r="E32">
            <v>3866</v>
          </cell>
          <cell r="H32">
            <v>2716</v>
          </cell>
        </row>
        <row r="33">
          <cell r="E33"/>
          <cell r="H33"/>
        </row>
        <row r="34">
          <cell r="D34">
            <v>0</v>
          </cell>
        </row>
        <row r="36">
          <cell r="D36">
            <v>986</v>
          </cell>
          <cell r="E36">
            <v>740</v>
          </cell>
          <cell r="H36">
            <v>246</v>
          </cell>
        </row>
        <row r="53">
          <cell r="D53">
            <v>7</v>
          </cell>
          <cell r="F53"/>
          <cell r="G53"/>
          <cell r="H53">
            <v>7</v>
          </cell>
          <cell r="I53">
            <v>7</v>
          </cell>
        </row>
        <row r="54">
          <cell r="D54">
            <v>0</v>
          </cell>
          <cell r="F54"/>
          <cell r="G54"/>
          <cell r="H54"/>
          <cell r="I54"/>
        </row>
        <row r="55">
          <cell r="D55">
            <v>0</v>
          </cell>
          <cell r="F55"/>
          <cell r="G55"/>
          <cell r="H55"/>
          <cell r="I55"/>
        </row>
        <row r="56">
          <cell r="D56">
            <v>1</v>
          </cell>
          <cell r="F56"/>
          <cell r="G56"/>
          <cell r="H56">
            <v>1</v>
          </cell>
          <cell r="I56">
            <v>1</v>
          </cell>
        </row>
        <row r="57">
          <cell r="D57">
            <v>2</v>
          </cell>
          <cell r="F57"/>
          <cell r="G57"/>
          <cell r="H57">
            <v>2</v>
          </cell>
          <cell r="I57">
            <v>2</v>
          </cell>
        </row>
        <row r="58">
          <cell r="D58">
            <v>5</v>
          </cell>
          <cell r="F58"/>
          <cell r="G58">
            <v>1</v>
          </cell>
          <cell r="H58">
            <v>4</v>
          </cell>
          <cell r="I58">
            <v>5</v>
          </cell>
        </row>
        <row r="59">
          <cell r="D59">
            <v>3</v>
          </cell>
          <cell r="F59"/>
          <cell r="G59">
            <v>1</v>
          </cell>
          <cell r="H59">
            <v>2</v>
          </cell>
          <cell r="I59">
            <v>3</v>
          </cell>
        </row>
        <row r="60">
          <cell r="F60"/>
          <cell r="G60"/>
          <cell r="H60"/>
          <cell r="I60"/>
        </row>
        <row r="61">
          <cell r="D61">
            <v>3</v>
          </cell>
          <cell r="F61"/>
          <cell r="G61"/>
          <cell r="H61">
            <v>3</v>
          </cell>
          <cell r="I61">
            <v>4</v>
          </cell>
        </row>
        <row r="62">
          <cell r="F62"/>
          <cell r="G62"/>
          <cell r="H62">
            <v>3</v>
          </cell>
          <cell r="I62">
            <v>4</v>
          </cell>
        </row>
        <row r="63">
          <cell r="D63">
            <v>4</v>
          </cell>
          <cell r="F63">
            <v>4</v>
          </cell>
          <cell r="G63"/>
          <cell r="H63"/>
          <cell r="I63">
            <v>5</v>
          </cell>
        </row>
        <row r="70">
          <cell r="D70">
            <v>431</v>
          </cell>
          <cell r="E70"/>
          <cell r="H70">
            <v>431</v>
          </cell>
        </row>
        <row r="71">
          <cell r="D71">
            <v>0</v>
          </cell>
          <cell r="E71"/>
          <cell r="H71"/>
        </row>
        <row r="72">
          <cell r="D72">
            <v>0</v>
          </cell>
          <cell r="E72"/>
          <cell r="H72"/>
        </row>
        <row r="73">
          <cell r="D73">
            <v>49</v>
          </cell>
          <cell r="E73"/>
          <cell r="H73">
            <v>49</v>
          </cell>
        </row>
        <row r="74">
          <cell r="D74">
            <v>101</v>
          </cell>
          <cell r="E74"/>
          <cell r="H74">
            <v>101</v>
          </cell>
        </row>
        <row r="75">
          <cell r="D75">
            <v>444</v>
          </cell>
          <cell r="E75">
            <v>52</v>
          </cell>
          <cell r="H75">
            <v>392</v>
          </cell>
        </row>
        <row r="76">
          <cell r="D76">
            <v>277</v>
          </cell>
          <cell r="E76">
            <v>189</v>
          </cell>
          <cell r="H76">
            <v>88</v>
          </cell>
        </row>
        <row r="77">
          <cell r="E77"/>
          <cell r="H77"/>
        </row>
        <row r="78">
          <cell r="D78">
            <v>199</v>
          </cell>
          <cell r="E78"/>
          <cell r="H78">
            <v>199</v>
          </cell>
        </row>
        <row r="79">
          <cell r="E79"/>
          <cell r="H79">
            <v>142</v>
          </cell>
        </row>
        <row r="80">
          <cell r="D80">
            <v>186</v>
          </cell>
          <cell r="E80">
            <v>186</v>
          </cell>
          <cell r="H80"/>
        </row>
        <row r="97">
          <cell r="D97">
            <v>159</v>
          </cell>
        </row>
        <row r="98">
          <cell r="D98">
            <v>0</v>
          </cell>
        </row>
        <row r="99">
          <cell r="D99">
            <v>0</v>
          </cell>
        </row>
        <row r="100">
          <cell r="D100">
            <v>1</v>
          </cell>
        </row>
        <row r="101">
          <cell r="D101">
            <v>2</v>
          </cell>
        </row>
        <row r="102">
          <cell r="D102">
            <v>33</v>
          </cell>
        </row>
        <row r="103">
          <cell r="D103">
            <v>61</v>
          </cell>
        </row>
        <row r="105">
          <cell r="D105">
            <v>3</v>
          </cell>
        </row>
        <row r="107">
          <cell r="D107">
            <v>29</v>
          </cell>
        </row>
        <row r="114">
          <cell r="D114">
            <v>14748</v>
          </cell>
        </row>
        <row r="115">
          <cell r="D115">
            <v>0</v>
          </cell>
        </row>
        <row r="116">
          <cell r="D116">
            <v>0</v>
          </cell>
        </row>
        <row r="117">
          <cell r="D117">
            <v>49</v>
          </cell>
        </row>
        <row r="118">
          <cell r="D118">
            <v>101</v>
          </cell>
        </row>
        <row r="119">
          <cell r="D119">
            <v>3084</v>
          </cell>
        </row>
        <row r="120">
          <cell r="D120">
            <v>6859</v>
          </cell>
        </row>
        <row r="122">
          <cell r="D122">
            <v>199</v>
          </cell>
        </row>
        <row r="124">
          <cell r="D124">
            <v>1172</v>
          </cell>
        </row>
      </sheetData>
      <sheetData sheetId="15">
        <row r="5">
          <cell r="F5">
            <v>96.98996655518394</v>
          </cell>
        </row>
        <row r="6">
          <cell r="D6">
            <v>272</v>
          </cell>
          <cell r="E6">
            <v>266</v>
          </cell>
          <cell r="F6">
            <v>97.794117647058826</v>
          </cell>
        </row>
        <row r="7">
          <cell r="D7">
            <v>27</v>
          </cell>
          <cell r="E7">
            <v>24</v>
          </cell>
          <cell r="F7">
            <v>88.888888888888886</v>
          </cell>
        </row>
      </sheetData>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124235</v>
          </cell>
          <cell r="R12">
            <v>8730</v>
          </cell>
        </row>
        <row r="14">
          <cell r="D14">
            <v>0</v>
          </cell>
          <cell r="R14">
            <v>0</v>
          </cell>
        </row>
        <row r="17">
          <cell r="D17">
            <v>94536</v>
          </cell>
          <cell r="R17">
            <v>8571</v>
          </cell>
        </row>
        <row r="20">
          <cell r="D20">
            <v>0</v>
          </cell>
          <cell r="R20">
            <v>0</v>
          </cell>
        </row>
        <row r="24">
          <cell r="D24">
            <v>61989</v>
          </cell>
          <cell r="R24">
            <v>6888</v>
          </cell>
        </row>
        <row r="30">
          <cell r="D30">
            <v>0</v>
          </cell>
          <cell r="R30">
            <v>0</v>
          </cell>
        </row>
        <row r="35">
          <cell r="D35">
            <v>535</v>
          </cell>
          <cell r="R35">
            <v>535</v>
          </cell>
        </row>
        <row r="36">
          <cell r="D36">
            <v>712</v>
          </cell>
          <cell r="R36">
            <v>712</v>
          </cell>
        </row>
        <row r="40">
          <cell r="D40">
            <v>18948</v>
          </cell>
          <cell r="R40">
            <v>1170</v>
          </cell>
        </row>
      </sheetData>
      <sheetData sheetId="4"/>
      <sheetData sheetId="5"/>
      <sheetData sheetId="6"/>
      <sheetData sheetId="7"/>
      <sheetData sheetId="8"/>
      <sheetData sheetId="9"/>
      <sheetData sheetId="10"/>
      <sheetData sheetId="11"/>
      <sheetData sheetId="12"/>
      <sheetData sheetId="13">
        <row r="9">
          <cell r="F9">
            <v>15</v>
          </cell>
          <cell r="G9">
            <v>163</v>
          </cell>
          <cell r="H9">
            <v>577</v>
          </cell>
          <cell r="I9">
            <v>755</v>
          </cell>
        </row>
        <row r="12">
          <cell r="F12">
            <v>13</v>
          </cell>
          <cell r="G12">
            <v>75</v>
          </cell>
          <cell r="H12">
            <v>181</v>
          </cell>
          <cell r="I12">
            <v>278</v>
          </cell>
        </row>
        <row r="14">
          <cell r="F14">
            <v>2</v>
          </cell>
          <cell r="G14">
            <v>32</v>
          </cell>
          <cell r="H14">
            <v>76</v>
          </cell>
          <cell r="I14">
            <v>119</v>
          </cell>
        </row>
        <row r="17">
          <cell r="F17">
            <v>19</v>
          </cell>
          <cell r="G17">
            <v>34</v>
          </cell>
          <cell r="H17">
            <v>85</v>
          </cell>
          <cell r="I17">
            <v>138</v>
          </cell>
        </row>
        <row r="24">
          <cell r="E24">
            <v>28186</v>
          </cell>
          <cell r="H24">
            <v>66528</v>
          </cell>
        </row>
        <row r="25">
          <cell r="E25">
            <v>0</v>
          </cell>
        </row>
        <row r="26">
          <cell r="E26">
            <v>0</v>
          </cell>
        </row>
        <row r="27">
          <cell r="E27">
            <v>23030</v>
          </cell>
          <cell r="H27">
            <v>35183</v>
          </cell>
        </row>
        <row r="28">
          <cell r="E28">
            <v>0</v>
          </cell>
        </row>
        <row r="29">
          <cell r="E29">
            <v>14914</v>
          </cell>
          <cell r="H29">
            <v>28760</v>
          </cell>
        </row>
        <row r="30">
          <cell r="E30">
            <v>0</v>
          </cell>
        </row>
        <row r="31">
          <cell r="E31">
            <v>0</v>
          </cell>
        </row>
        <row r="34">
          <cell r="E34">
            <v>6337</v>
          </cell>
          <cell r="H34">
            <v>11441</v>
          </cell>
        </row>
        <row r="51">
          <cell r="F51">
            <v>22</v>
          </cell>
          <cell r="G51">
            <v>26</v>
          </cell>
          <cell r="H51">
            <v>17</v>
          </cell>
          <cell r="I51">
            <v>76</v>
          </cell>
        </row>
        <row r="54">
          <cell r="F54">
            <v>19</v>
          </cell>
          <cell r="G54">
            <v>14</v>
          </cell>
          <cell r="H54">
            <v>22</v>
          </cell>
          <cell r="I54">
            <v>58</v>
          </cell>
        </row>
        <row r="56">
          <cell r="F56">
            <v>10</v>
          </cell>
          <cell r="G56">
            <v>7</v>
          </cell>
          <cell r="H56">
            <v>15</v>
          </cell>
          <cell r="I56">
            <v>34</v>
          </cell>
        </row>
        <row r="58">
          <cell r="F58">
            <v>1</v>
          </cell>
          <cell r="G58">
            <v>3</v>
          </cell>
          <cell r="H58">
            <v>0</v>
          </cell>
          <cell r="I58">
            <v>5</v>
          </cell>
        </row>
        <row r="59">
          <cell r="F59">
            <v>5</v>
          </cell>
          <cell r="G59">
            <v>1</v>
          </cell>
          <cell r="H59">
            <v>0</v>
          </cell>
          <cell r="I59">
            <v>20</v>
          </cell>
        </row>
        <row r="66">
          <cell r="E66">
            <v>6313</v>
          </cell>
          <cell r="H66">
            <v>1683</v>
          </cell>
        </row>
        <row r="67">
          <cell r="E67">
            <v>0</v>
          </cell>
        </row>
        <row r="68">
          <cell r="E68">
            <v>0</v>
          </cell>
        </row>
        <row r="69">
          <cell r="E69">
            <v>4371</v>
          </cell>
          <cell r="H69">
            <v>3032</v>
          </cell>
        </row>
        <row r="70">
          <cell r="E70">
            <v>0</v>
          </cell>
        </row>
        <row r="71">
          <cell r="E71">
            <v>3461</v>
          </cell>
          <cell r="H71">
            <v>3400</v>
          </cell>
        </row>
        <row r="72">
          <cell r="E72">
            <v>0</v>
          </cell>
        </row>
        <row r="73">
          <cell r="E73">
            <v>0</v>
          </cell>
        </row>
        <row r="74">
          <cell r="E74">
            <v>964</v>
          </cell>
          <cell r="H74">
            <v>0</v>
          </cell>
        </row>
        <row r="75">
          <cell r="E75">
            <v>0</v>
          </cell>
        </row>
        <row r="76">
          <cell r="E76">
            <v>466</v>
          </cell>
          <cell r="H76">
            <v>0</v>
          </cell>
        </row>
      </sheetData>
      <sheetData sheetId="14">
        <row r="5">
          <cell r="F5">
            <v>96.695886716115979</v>
          </cell>
        </row>
        <row r="6">
          <cell r="D6">
            <v>1290</v>
          </cell>
          <cell r="E6">
            <v>1272</v>
          </cell>
          <cell r="F6">
            <v>98.604651162790702</v>
          </cell>
        </row>
        <row r="7">
          <cell r="D7">
            <v>193</v>
          </cell>
          <cell r="E7">
            <v>162</v>
          </cell>
          <cell r="F7">
            <v>83.937823834196891</v>
          </cell>
        </row>
      </sheetData>
      <sheetData sheetId="15"/>
      <sheetData sheetId="16"/>
      <sheetData sheetId="17"/>
      <sheetData sheetId="18"/>
      <sheetData sheetId="1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126464</v>
          </cell>
          <cell r="R12">
            <v>9092</v>
          </cell>
        </row>
        <row r="14">
          <cell r="D14">
            <v>0</v>
          </cell>
          <cell r="R14">
            <v>0</v>
          </cell>
        </row>
        <row r="17">
          <cell r="D17">
            <v>97486</v>
          </cell>
          <cell r="R17">
            <v>9242</v>
          </cell>
        </row>
        <row r="20">
          <cell r="D20">
            <v>0</v>
          </cell>
          <cell r="R20">
            <v>0</v>
          </cell>
        </row>
        <row r="24">
          <cell r="D24">
            <v>62147</v>
          </cell>
          <cell r="R24">
            <v>7297</v>
          </cell>
        </row>
        <row r="30">
          <cell r="D30">
            <v>0</v>
          </cell>
          <cell r="R30">
            <v>0</v>
          </cell>
        </row>
        <row r="35">
          <cell r="D35">
            <v>585</v>
          </cell>
          <cell r="R35">
            <v>585</v>
          </cell>
        </row>
        <row r="36">
          <cell r="D36">
            <v>708</v>
          </cell>
          <cell r="R36">
            <v>708</v>
          </cell>
        </row>
        <row r="40">
          <cell r="D40">
            <v>18551</v>
          </cell>
          <cell r="R40">
            <v>1200</v>
          </cell>
        </row>
      </sheetData>
      <sheetData sheetId="4"/>
      <sheetData sheetId="5"/>
      <sheetData sheetId="6"/>
      <sheetData sheetId="7"/>
      <sheetData sheetId="8"/>
      <sheetData sheetId="9"/>
      <sheetData sheetId="10"/>
      <sheetData sheetId="11"/>
      <sheetData sheetId="12"/>
      <sheetData sheetId="13">
        <row r="9">
          <cell r="F9">
            <v>16</v>
          </cell>
          <cell r="G9">
            <v>166</v>
          </cell>
          <cell r="H9">
            <v>564</v>
          </cell>
          <cell r="I9">
            <v>746</v>
          </cell>
        </row>
        <row r="12">
          <cell r="F12">
            <v>10</v>
          </cell>
          <cell r="G12">
            <v>75</v>
          </cell>
          <cell r="H12">
            <v>185</v>
          </cell>
          <cell r="I12">
            <v>278</v>
          </cell>
        </row>
        <row r="14">
          <cell r="F14">
            <v>2</v>
          </cell>
          <cell r="G14">
            <v>27</v>
          </cell>
          <cell r="H14">
            <v>84</v>
          </cell>
          <cell r="I14">
            <v>119</v>
          </cell>
        </row>
        <row r="19">
          <cell r="F19">
            <v>18</v>
          </cell>
          <cell r="G19">
            <v>29</v>
          </cell>
          <cell r="H19">
            <v>89</v>
          </cell>
          <cell r="I19">
            <v>136</v>
          </cell>
        </row>
        <row r="26">
          <cell r="E26">
            <v>29689</v>
          </cell>
          <cell r="H26">
            <v>65265</v>
          </cell>
        </row>
        <row r="27">
          <cell r="E27">
            <v>0</v>
          </cell>
        </row>
        <row r="28">
          <cell r="E28">
            <v>0</v>
          </cell>
        </row>
        <row r="29">
          <cell r="E29">
            <v>22699</v>
          </cell>
          <cell r="H29">
            <v>36818</v>
          </cell>
        </row>
        <row r="30">
          <cell r="E30">
            <v>0</v>
          </cell>
        </row>
        <row r="31">
          <cell r="E31">
            <v>13239</v>
          </cell>
          <cell r="H31">
            <v>32107</v>
          </cell>
        </row>
        <row r="32">
          <cell r="E32">
            <v>0</v>
          </cell>
        </row>
        <row r="33">
          <cell r="E33">
            <v>0</v>
          </cell>
        </row>
        <row r="36">
          <cell r="E36">
            <v>5320</v>
          </cell>
          <cell r="H36">
            <v>12031</v>
          </cell>
        </row>
        <row r="53">
          <cell r="F53">
            <v>26</v>
          </cell>
          <cell r="G53">
            <v>24</v>
          </cell>
          <cell r="H53">
            <v>20</v>
          </cell>
          <cell r="I53">
            <v>78</v>
          </cell>
        </row>
        <row r="56">
          <cell r="F56">
            <v>19</v>
          </cell>
          <cell r="G56">
            <v>16</v>
          </cell>
          <cell r="H56">
            <v>22</v>
          </cell>
          <cell r="I56">
            <v>58</v>
          </cell>
        </row>
        <row r="58">
          <cell r="F58">
            <v>11</v>
          </cell>
          <cell r="G58">
            <v>7</v>
          </cell>
          <cell r="H58">
            <v>15</v>
          </cell>
          <cell r="I58">
            <v>34</v>
          </cell>
        </row>
        <row r="61">
          <cell r="F61">
            <v>1</v>
          </cell>
          <cell r="G61">
            <v>3</v>
          </cell>
          <cell r="H61">
            <v>1</v>
          </cell>
          <cell r="I61">
            <v>5</v>
          </cell>
        </row>
        <row r="63">
          <cell r="F63">
            <v>5</v>
          </cell>
          <cell r="G63">
            <v>1</v>
          </cell>
          <cell r="H63">
            <v>0</v>
          </cell>
          <cell r="I63">
            <v>20</v>
          </cell>
        </row>
        <row r="70">
          <cell r="E70">
            <v>5618</v>
          </cell>
          <cell r="H70">
            <v>2523</v>
          </cell>
        </row>
        <row r="71">
          <cell r="E71">
            <v>0</v>
          </cell>
        </row>
        <row r="72">
          <cell r="E72">
            <v>0</v>
          </cell>
        </row>
        <row r="73">
          <cell r="E73">
            <v>5027</v>
          </cell>
          <cell r="H73">
            <v>3170</v>
          </cell>
        </row>
        <row r="74">
          <cell r="E74">
            <v>0</v>
          </cell>
        </row>
        <row r="75">
          <cell r="E75">
            <v>3227</v>
          </cell>
          <cell r="H75">
            <v>4070</v>
          </cell>
        </row>
        <row r="76">
          <cell r="E76">
            <v>0</v>
          </cell>
        </row>
        <row r="77">
          <cell r="E77">
            <v>0</v>
          </cell>
        </row>
        <row r="78">
          <cell r="E78">
            <v>1102</v>
          </cell>
          <cell r="H78">
            <v>19</v>
          </cell>
        </row>
        <row r="79">
          <cell r="E79">
            <v>0</v>
          </cell>
        </row>
        <row r="80">
          <cell r="E80">
            <v>445</v>
          </cell>
          <cell r="H80">
            <v>0</v>
          </cell>
        </row>
      </sheetData>
      <sheetData sheetId="14">
        <row r="5">
          <cell r="F5">
            <v>97.42198100407056</v>
          </cell>
        </row>
        <row r="6">
          <cell r="D6">
            <v>1279</v>
          </cell>
          <cell r="E6">
            <v>1265</v>
          </cell>
          <cell r="F6">
            <v>98.905394839718525</v>
          </cell>
        </row>
        <row r="7">
          <cell r="D7">
            <v>195</v>
          </cell>
          <cell r="E7">
            <v>171</v>
          </cell>
          <cell r="F7">
            <v>87.692307692307693</v>
          </cell>
        </row>
      </sheetData>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129004</v>
          </cell>
          <cell r="R12">
            <v>9269</v>
          </cell>
        </row>
        <row r="14">
          <cell r="D14">
            <v>0</v>
          </cell>
          <cell r="R14">
            <v>0</v>
          </cell>
        </row>
        <row r="17">
          <cell r="D17">
            <v>100210</v>
          </cell>
          <cell r="R17">
            <v>9793</v>
          </cell>
        </row>
        <row r="20">
          <cell r="D20">
            <v>0</v>
          </cell>
          <cell r="R20">
            <v>0</v>
          </cell>
        </row>
        <row r="24">
          <cell r="D24">
            <v>62283</v>
          </cell>
          <cell r="R24">
            <v>7554</v>
          </cell>
        </row>
        <row r="30">
          <cell r="D30">
            <v>0</v>
          </cell>
          <cell r="R30">
            <v>0</v>
          </cell>
        </row>
        <row r="35">
          <cell r="D35">
            <v>651</v>
          </cell>
          <cell r="R35">
            <v>651</v>
          </cell>
        </row>
        <row r="36">
          <cell r="D36">
            <v>737</v>
          </cell>
          <cell r="R36">
            <v>737</v>
          </cell>
        </row>
        <row r="40">
          <cell r="D40">
            <v>18707</v>
          </cell>
          <cell r="R40">
            <v>1264</v>
          </cell>
        </row>
      </sheetData>
      <sheetData sheetId="4"/>
      <sheetData sheetId="5"/>
      <sheetData sheetId="6"/>
      <sheetData sheetId="7"/>
      <sheetData sheetId="8"/>
      <sheetData sheetId="9"/>
      <sheetData sheetId="10"/>
      <sheetData sheetId="11"/>
      <sheetData sheetId="12"/>
      <sheetData sheetId="13"/>
      <sheetData sheetId="14">
        <row r="9">
          <cell r="F9">
            <v>17</v>
          </cell>
          <cell r="G9">
            <v>174</v>
          </cell>
          <cell r="H9">
            <v>555</v>
          </cell>
          <cell r="I9">
            <v>746</v>
          </cell>
        </row>
        <row r="10">
          <cell r="F10">
            <v>0</v>
          </cell>
          <cell r="G10">
            <v>0</v>
          </cell>
          <cell r="H10">
            <v>0</v>
          </cell>
          <cell r="I10">
            <v>0</v>
          </cell>
        </row>
        <row r="11">
          <cell r="F11">
            <v>0</v>
          </cell>
          <cell r="G11">
            <v>0</v>
          </cell>
          <cell r="H11">
            <v>0</v>
          </cell>
          <cell r="I11">
            <v>0</v>
          </cell>
        </row>
        <row r="12">
          <cell r="F12">
            <v>5</v>
          </cell>
          <cell r="G12">
            <v>80</v>
          </cell>
          <cell r="H12">
            <v>186</v>
          </cell>
          <cell r="I12">
            <v>278</v>
          </cell>
        </row>
        <row r="13">
          <cell r="F13">
            <v>0</v>
          </cell>
          <cell r="G13">
            <v>0</v>
          </cell>
          <cell r="H13">
            <v>0</v>
          </cell>
          <cell r="I13">
            <v>0</v>
          </cell>
        </row>
        <row r="14">
          <cell r="F14">
            <v>2</v>
          </cell>
          <cell r="G14">
            <v>28</v>
          </cell>
          <cell r="H14">
            <v>84</v>
          </cell>
          <cell r="I14">
            <v>120</v>
          </cell>
        </row>
        <row r="15">
          <cell r="F15">
            <v>0</v>
          </cell>
          <cell r="G15">
            <v>0</v>
          </cell>
          <cell r="H15">
            <v>0</v>
          </cell>
          <cell r="I15">
            <v>0</v>
          </cell>
        </row>
        <row r="16">
          <cell r="F16">
            <v>0</v>
          </cell>
          <cell r="G16">
            <v>0</v>
          </cell>
          <cell r="H16">
            <v>0</v>
          </cell>
          <cell r="I16">
            <v>0</v>
          </cell>
        </row>
        <row r="17">
          <cell r="I17">
            <v>0</v>
          </cell>
        </row>
        <row r="18">
          <cell r="I18">
            <v>0</v>
          </cell>
        </row>
        <row r="19">
          <cell r="F19">
            <v>17</v>
          </cell>
          <cell r="G19">
            <v>37</v>
          </cell>
          <cell r="H19">
            <v>81</v>
          </cell>
          <cell r="I19">
            <v>135</v>
          </cell>
        </row>
        <row r="26">
          <cell r="E26">
            <v>31904</v>
          </cell>
          <cell r="H26">
            <v>69990</v>
          </cell>
        </row>
        <row r="27">
          <cell r="E27">
            <v>0</v>
          </cell>
          <cell r="H27">
            <v>0</v>
          </cell>
        </row>
        <row r="28">
          <cell r="E28">
            <v>0</v>
          </cell>
          <cell r="H28">
            <v>0</v>
          </cell>
        </row>
        <row r="29">
          <cell r="E29">
            <v>23132</v>
          </cell>
          <cell r="H29">
            <v>37569</v>
          </cell>
        </row>
        <row r="30">
          <cell r="E30">
            <v>0</v>
          </cell>
          <cell r="H30">
            <v>0</v>
          </cell>
        </row>
        <row r="31">
          <cell r="E31">
            <v>12291</v>
          </cell>
          <cell r="H31">
            <v>30194</v>
          </cell>
        </row>
        <row r="32">
          <cell r="E32">
            <v>0</v>
          </cell>
          <cell r="H32">
            <v>0</v>
          </cell>
        </row>
        <row r="33">
          <cell r="E33">
            <v>0</v>
          </cell>
          <cell r="H33">
            <v>0</v>
          </cell>
        </row>
        <row r="36">
          <cell r="E36">
            <v>6565</v>
          </cell>
          <cell r="H36">
            <v>10878</v>
          </cell>
        </row>
        <row r="53">
          <cell r="F53">
            <v>29</v>
          </cell>
          <cell r="G53">
            <v>24</v>
          </cell>
          <cell r="H53">
            <v>18</v>
          </cell>
          <cell r="I53">
            <v>79</v>
          </cell>
        </row>
        <row r="54">
          <cell r="F54">
            <v>0</v>
          </cell>
          <cell r="G54">
            <v>0</v>
          </cell>
          <cell r="H54">
            <v>0</v>
          </cell>
          <cell r="I54">
            <v>0</v>
          </cell>
        </row>
        <row r="55">
          <cell r="F55">
            <v>0</v>
          </cell>
          <cell r="G55">
            <v>0</v>
          </cell>
          <cell r="H55">
            <v>0</v>
          </cell>
          <cell r="I55">
            <v>0</v>
          </cell>
        </row>
        <row r="56">
          <cell r="F56">
            <v>17</v>
          </cell>
          <cell r="G56">
            <v>17</v>
          </cell>
          <cell r="H56">
            <v>23</v>
          </cell>
          <cell r="I56">
            <v>58</v>
          </cell>
        </row>
        <row r="57">
          <cell r="F57">
            <v>0</v>
          </cell>
          <cell r="G57">
            <v>0</v>
          </cell>
          <cell r="H57">
            <v>0</v>
          </cell>
          <cell r="I57">
            <v>0</v>
          </cell>
        </row>
        <row r="58">
          <cell r="F58">
            <v>8</v>
          </cell>
          <cell r="G58">
            <v>10</v>
          </cell>
          <cell r="H58">
            <v>16</v>
          </cell>
          <cell r="I58">
            <v>35</v>
          </cell>
        </row>
        <row r="59">
          <cell r="F59">
            <v>0</v>
          </cell>
          <cell r="G59">
            <v>0</v>
          </cell>
          <cell r="H59">
            <v>0</v>
          </cell>
          <cell r="I59">
            <v>0</v>
          </cell>
        </row>
        <row r="60">
          <cell r="F60">
            <v>0</v>
          </cell>
          <cell r="G60">
            <v>0</v>
          </cell>
          <cell r="H60">
            <v>0</v>
          </cell>
          <cell r="I60">
            <v>0</v>
          </cell>
        </row>
        <row r="61">
          <cell r="F61">
            <v>1</v>
          </cell>
          <cell r="G61">
            <v>3</v>
          </cell>
          <cell r="H61">
            <v>1</v>
          </cell>
          <cell r="I61">
            <v>6</v>
          </cell>
        </row>
        <row r="62">
          <cell r="F62">
            <v>0</v>
          </cell>
          <cell r="G62">
            <v>0</v>
          </cell>
          <cell r="H62">
            <v>0</v>
          </cell>
          <cell r="I62">
            <v>6</v>
          </cell>
        </row>
        <row r="63">
          <cell r="F63">
            <v>3</v>
          </cell>
          <cell r="G63">
            <v>2</v>
          </cell>
          <cell r="H63">
            <v>0</v>
          </cell>
          <cell r="I63">
            <v>20</v>
          </cell>
        </row>
        <row r="70">
          <cell r="E70">
            <v>6348</v>
          </cell>
          <cell r="H70">
            <v>2129</v>
          </cell>
        </row>
        <row r="71">
          <cell r="E71">
            <v>0</v>
          </cell>
          <cell r="H71">
            <v>0</v>
          </cell>
        </row>
        <row r="72">
          <cell r="E72">
            <v>0</v>
          </cell>
          <cell r="H72">
            <v>0</v>
          </cell>
        </row>
        <row r="73">
          <cell r="E73">
            <v>4983</v>
          </cell>
          <cell r="H73">
            <v>3321</v>
          </cell>
        </row>
        <row r="74">
          <cell r="E74">
            <v>0</v>
          </cell>
          <cell r="H74">
            <v>0</v>
          </cell>
        </row>
        <row r="75">
          <cell r="E75">
            <v>3517</v>
          </cell>
          <cell r="H75">
            <v>3212</v>
          </cell>
        </row>
        <row r="76">
          <cell r="E76">
            <v>0</v>
          </cell>
          <cell r="H76">
            <v>0</v>
          </cell>
        </row>
        <row r="77">
          <cell r="E77">
            <v>0</v>
          </cell>
          <cell r="H77">
            <v>0</v>
          </cell>
        </row>
        <row r="78">
          <cell r="E78">
            <v>753</v>
          </cell>
          <cell r="H78">
            <v>20</v>
          </cell>
        </row>
        <row r="79">
          <cell r="E79">
            <v>0</v>
          </cell>
          <cell r="H79">
            <v>0</v>
          </cell>
        </row>
        <row r="80">
          <cell r="E80">
            <v>436</v>
          </cell>
          <cell r="H80">
            <v>0</v>
          </cell>
        </row>
      </sheetData>
      <sheetData sheetId="15">
        <row r="5">
          <cell r="F5">
            <v>97.359512525389306</v>
          </cell>
        </row>
        <row r="6">
          <cell r="D6">
            <v>1279</v>
          </cell>
          <cell r="E6">
            <v>1266</v>
          </cell>
          <cell r="F6">
            <v>98.983580922595777</v>
          </cell>
        </row>
        <row r="7">
          <cell r="D7">
            <v>198</v>
          </cell>
          <cell r="E7">
            <v>172</v>
          </cell>
          <cell r="F7">
            <v>86.868686868686865</v>
          </cell>
        </row>
      </sheetData>
      <sheetData sheetId="16"/>
      <sheetData sheetId="17"/>
      <sheetData sheetId="18"/>
      <sheetData sheetId="19"/>
      <sheetData sheetId="20"/>
      <sheetData sheetId="2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131991</v>
          </cell>
          <cell r="R12">
            <v>9525</v>
          </cell>
        </row>
        <row r="14">
          <cell r="D14">
            <v>0</v>
          </cell>
          <cell r="R14">
            <v>0</v>
          </cell>
        </row>
        <row r="17">
          <cell r="D17">
            <v>103762</v>
          </cell>
          <cell r="R17">
            <v>10328</v>
          </cell>
        </row>
        <row r="20">
          <cell r="D20">
            <v>0</v>
          </cell>
          <cell r="R20">
            <v>0</v>
          </cell>
        </row>
        <row r="24">
          <cell r="D24">
            <v>62230</v>
          </cell>
          <cell r="R24">
            <v>7641</v>
          </cell>
        </row>
        <row r="30">
          <cell r="D30">
            <v>0</v>
          </cell>
          <cell r="R30">
            <v>0</v>
          </cell>
        </row>
        <row r="35">
          <cell r="D35">
            <v>708</v>
          </cell>
          <cell r="R35">
            <v>708</v>
          </cell>
        </row>
        <row r="36">
          <cell r="D36">
            <v>793</v>
          </cell>
          <cell r="R36">
            <v>793</v>
          </cell>
        </row>
        <row r="40">
          <cell r="D40">
            <v>18745</v>
          </cell>
          <cell r="R40">
            <v>1263</v>
          </cell>
        </row>
      </sheetData>
      <sheetData sheetId="4"/>
      <sheetData sheetId="5"/>
      <sheetData sheetId="6"/>
      <sheetData sheetId="7"/>
      <sheetData sheetId="8"/>
      <sheetData sheetId="9"/>
      <sheetData sheetId="10"/>
      <sheetData sheetId="11"/>
      <sheetData sheetId="12"/>
      <sheetData sheetId="13"/>
      <sheetData sheetId="14">
        <row r="9">
          <cell r="F9">
            <v>13</v>
          </cell>
          <cell r="G9">
            <v>188</v>
          </cell>
          <cell r="H9">
            <v>545</v>
          </cell>
          <cell r="I9">
            <v>746</v>
          </cell>
        </row>
        <row r="10">
          <cell r="F10">
            <v>0</v>
          </cell>
          <cell r="G10">
            <v>0</v>
          </cell>
          <cell r="H10">
            <v>0</v>
          </cell>
          <cell r="I10">
            <v>0</v>
          </cell>
        </row>
        <row r="11">
          <cell r="F11">
            <v>0</v>
          </cell>
          <cell r="G11">
            <v>0</v>
          </cell>
          <cell r="H11">
            <v>0</v>
          </cell>
          <cell r="I11">
            <v>0</v>
          </cell>
        </row>
        <row r="12">
          <cell r="F12">
            <v>4</v>
          </cell>
          <cell r="G12">
            <v>82</v>
          </cell>
          <cell r="H12">
            <v>188</v>
          </cell>
          <cell r="I12">
            <v>279</v>
          </cell>
        </row>
        <row r="13">
          <cell r="F13">
            <v>0</v>
          </cell>
          <cell r="G13">
            <v>0</v>
          </cell>
          <cell r="H13">
            <v>0</v>
          </cell>
          <cell r="I13">
            <v>0</v>
          </cell>
        </row>
        <row r="14">
          <cell r="F14">
            <v>2</v>
          </cell>
          <cell r="G14">
            <v>29</v>
          </cell>
          <cell r="H14">
            <v>83</v>
          </cell>
          <cell r="I14">
            <v>120</v>
          </cell>
        </row>
        <row r="15">
          <cell r="F15">
            <v>0</v>
          </cell>
          <cell r="G15">
            <v>0</v>
          </cell>
          <cell r="H15">
            <v>0</v>
          </cell>
          <cell r="I15">
            <v>0</v>
          </cell>
        </row>
        <row r="16">
          <cell r="F16">
            <v>0</v>
          </cell>
          <cell r="G16">
            <v>0</v>
          </cell>
          <cell r="H16">
            <v>0</v>
          </cell>
          <cell r="I16">
            <v>0</v>
          </cell>
        </row>
        <row r="17">
          <cell r="I17">
            <v>0</v>
          </cell>
        </row>
        <row r="18">
          <cell r="I18">
            <v>0</v>
          </cell>
        </row>
        <row r="19">
          <cell r="F19">
            <v>19</v>
          </cell>
          <cell r="G19">
            <v>37</v>
          </cell>
          <cell r="H19">
            <v>79</v>
          </cell>
          <cell r="I19">
            <v>135</v>
          </cell>
        </row>
        <row r="26">
          <cell r="E26">
            <v>34718</v>
          </cell>
          <cell r="H26">
            <v>69745</v>
          </cell>
        </row>
        <row r="27">
          <cell r="E27">
            <v>0</v>
          </cell>
          <cell r="H27">
            <v>0</v>
          </cell>
        </row>
        <row r="28">
          <cell r="E28">
            <v>0</v>
          </cell>
          <cell r="H28">
            <v>0</v>
          </cell>
        </row>
        <row r="29">
          <cell r="E29">
            <v>23946</v>
          </cell>
          <cell r="H29">
            <v>37892</v>
          </cell>
        </row>
        <row r="30">
          <cell r="E30">
            <v>0</v>
          </cell>
          <cell r="H30">
            <v>0</v>
          </cell>
        </row>
        <row r="31">
          <cell r="E31">
            <v>10822</v>
          </cell>
          <cell r="H31">
            <v>25916</v>
          </cell>
        </row>
        <row r="32">
          <cell r="E32">
            <v>0</v>
          </cell>
          <cell r="H32">
            <v>0</v>
          </cell>
        </row>
        <row r="33">
          <cell r="E33">
            <v>0</v>
          </cell>
          <cell r="H33">
            <v>0</v>
          </cell>
        </row>
        <row r="36">
          <cell r="E36">
            <v>6483</v>
          </cell>
          <cell r="H36">
            <v>10999</v>
          </cell>
        </row>
        <row r="53">
          <cell r="F53">
            <v>24</v>
          </cell>
          <cell r="G53">
            <v>28</v>
          </cell>
          <cell r="H53">
            <v>19</v>
          </cell>
          <cell r="I53">
            <v>80</v>
          </cell>
        </row>
        <row r="54">
          <cell r="F54">
            <v>0</v>
          </cell>
          <cell r="G54">
            <v>0</v>
          </cell>
          <cell r="H54">
            <v>0</v>
          </cell>
          <cell r="I54">
            <v>0</v>
          </cell>
        </row>
        <row r="55">
          <cell r="F55">
            <v>0</v>
          </cell>
          <cell r="G55">
            <v>0</v>
          </cell>
          <cell r="H55">
            <v>0</v>
          </cell>
          <cell r="I55">
            <v>0</v>
          </cell>
        </row>
        <row r="56">
          <cell r="F56">
            <v>16</v>
          </cell>
          <cell r="G56">
            <v>17</v>
          </cell>
          <cell r="H56">
            <v>25</v>
          </cell>
          <cell r="I56">
            <v>61</v>
          </cell>
        </row>
        <row r="57">
          <cell r="F57">
            <v>0</v>
          </cell>
          <cell r="G57">
            <v>0</v>
          </cell>
          <cell r="H57">
            <v>0</v>
          </cell>
          <cell r="I57">
            <v>0</v>
          </cell>
        </row>
        <row r="58">
          <cell r="F58">
            <v>8</v>
          </cell>
          <cell r="G58">
            <v>12</v>
          </cell>
          <cell r="H58">
            <v>15</v>
          </cell>
          <cell r="I58">
            <v>35</v>
          </cell>
        </row>
        <row r="59">
          <cell r="F59">
            <v>0</v>
          </cell>
          <cell r="G59">
            <v>0</v>
          </cell>
          <cell r="H59">
            <v>0</v>
          </cell>
          <cell r="I59">
            <v>0</v>
          </cell>
        </row>
        <row r="60">
          <cell r="F60">
            <v>0</v>
          </cell>
          <cell r="G60">
            <v>0</v>
          </cell>
          <cell r="H60">
            <v>0</v>
          </cell>
          <cell r="I60">
            <v>0</v>
          </cell>
        </row>
        <row r="61">
          <cell r="F61">
            <v>1</v>
          </cell>
          <cell r="G61">
            <v>5</v>
          </cell>
          <cell r="H61">
            <v>0</v>
          </cell>
          <cell r="I61">
            <v>6</v>
          </cell>
        </row>
        <row r="62">
          <cell r="F62">
            <v>0</v>
          </cell>
          <cell r="G62">
            <v>0</v>
          </cell>
          <cell r="H62">
            <v>0</v>
          </cell>
          <cell r="I62">
            <v>6</v>
          </cell>
        </row>
        <row r="63">
          <cell r="F63">
            <v>3</v>
          </cell>
          <cell r="G63">
            <v>2</v>
          </cell>
          <cell r="H63">
            <v>0</v>
          </cell>
          <cell r="I63">
            <v>21</v>
          </cell>
        </row>
        <row r="70">
          <cell r="E70">
            <v>6382</v>
          </cell>
          <cell r="H70">
            <v>2194</v>
          </cell>
        </row>
        <row r="71">
          <cell r="E71">
            <v>0</v>
          </cell>
          <cell r="H71">
            <v>0</v>
          </cell>
        </row>
        <row r="72">
          <cell r="E72">
            <v>0</v>
          </cell>
          <cell r="H72">
            <v>0</v>
          </cell>
        </row>
        <row r="73">
          <cell r="E73">
            <v>5268</v>
          </cell>
          <cell r="H73">
            <v>3732</v>
          </cell>
        </row>
        <row r="74">
          <cell r="E74">
            <v>0</v>
          </cell>
          <cell r="H74">
            <v>0</v>
          </cell>
        </row>
        <row r="75">
          <cell r="E75">
            <v>3661</v>
          </cell>
          <cell r="H75">
            <v>3145</v>
          </cell>
        </row>
        <row r="76">
          <cell r="E76">
            <v>0</v>
          </cell>
          <cell r="H76">
            <v>0</v>
          </cell>
        </row>
        <row r="77">
          <cell r="E77">
            <v>0</v>
          </cell>
          <cell r="H77">
            <v>0</v>
          </cell>
        </row>
        <row r="78">
          <cell r="E78">
            <v>1311</v>
          </cell>
          <cell r="H78">
            <v>0</v>
          </cell>
        </row>
        <row r="79">
          <cell r="E79">
            <v>0</v>
          </cell>
          <cell r="H79">
            <v>0</v>
          </cell>
        </row>
        <row r="80">
          <cell r="E80">
            <v>452</v>
          </cell>
          <cell r="H80">
            <v>0</v>
          </cell>
        </row>
      </sheetData>
      <sheetData sheetId="15">
        <row r="5">
          <cell r="F5">
            <v>97.437626432906271</v>
          </cell>
        </row>
        <row r="6">
          <cell r="D6">
            <v>1280</v>
          </cell>
          <cell r="E6">
            <v>1269</v>
          </cell>
          <cell r="F6">
            <v>99.140625</v>
          </cell>
        </row>
        <row r="7">
          <cell r="D7">
            <v>203</v>
          </cell>
          <cell r="E7">
            <v>176</v>
          </cell>
          <cell r="F7">
            <v>86.699507389162562</v>
          </cell>
        </row>
      </sheetData>
      <sheetData sheetId="16"/>
      <sheetData sheetId="17"/>
      <sheetData sheetId="18"/>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136790</v>
          </cell>
          <cell r="R12">
            <v>9931</v>
          </cell>
        </row>
        <row r="13">
          <cell r="D13"/>
          <cell r="R13"/>
        </row>
        <row r="14">
          <cell r="D14">
            <v>0</v>
          </cell>
          <cell r="R14">
            <v>0</v>
          </cell>
        </row>
        <row r="17">
          <cell r="D17">
            <v>106975</v>
          </cell>
          <cell r="R17">
            <v>11029</v>
          </cell>
        </row>
        <row r="20">
          <cell r="D20">
            <v>0</v>
          </cell>
          <cell r="R20">
            <v>0</v>
          </cell>
        </row>
        <row r="24">
          <cell r="D24">
            <v>62527</v>
          </cell>
          <cell r="R24">
            <v>7775</v>
          </cell>
        </row>
        <row r="29">
          <cell r="D29"/>
          <cell r="R29"/>
        </row>
        <row r="30">
          <cell r="D30">
            <v>0</v>
          </cell>
          <cell r="R30">
            <v>0</v>
          </cell>
        </row>
        <row r="35">
          <cell r="D35">
            <v>775</v>
          </cell>
          <cell r="R35">
            <v>775</v>
          </cell>
        </row>
        <row r="36">
          <cell r="D36">
            <v>830</v>
          </cell>
          <cell r="R36">
            <v>830</v>
          </cell>
        </row>
        <row r="40">
          <cell r="D40">
            <v>18678</v>
          </cell>
          <cell r="R40">
            <v>1279</v>
          </cell>
        </row>
      </sheetData>
      <sheetData sheetId="4"/>
      <sheetData sheetId="5"/>
      <sheetData sheetId="6"/>
      <sheetData sheetId="7"/>
      <sheetData sheetId="8"/>
      <sheetData sheetId="9"/>
      <sheetData sheetId="10"/>
      <sheetData sheetId="11"/>
      <sheetData sheetId="12"/>
      <sheetData sheetId="13"/>
      <sheetData sheetId="14">
        <row r="9">
          <cell r="D9">
            <v>746</v>
          </cell>
          <cell r="F9">
            <v>13</v>
          </cell>
          <cell r="G9">
            <v>194</v>
          </cell>
          <cell r="H9">
            <v>539</v>
          </cell>
          <cell r="I9">
            <v>746</v>
          </cell>
        </row>
        <row r="10">
          <cell r="D10">
            <v>0</v>
          </cell>
          <cell r="F10">
            <v>0</v>
          </cell>
          <cell r="G10">
            <v>0</v>
          </cell>
          <cell r="H10">
            <v>0</v>
          </cell>
          <cell r="I10">
            <v>0</v>
          </cell>
        </row>
        <row r="11">
          <cell r="D11">
            <v>0</v>
          </cell>
          <cell r="F11">
            <v>0</v>
          </cell>
          <cell r="G11">
            <v>0</v>
          </cell>
          <cell r="H11">
            <v>0</v>
          </cell>
          <cell r="I11">
            <v>0</v>
          </cell>
        </row>
        <row r="12">
          <cell r="D12">
            <v>273</v>
          </cell>
          <cell r="F12">
            <v>3</v>
          </cell>
          <cell r="G12">
            <v>79</v>
          </cell>
          <cell r="H12">
            <v>191</v>
          </cell>
          <cell r="I12">
            <v>279</v>
          </cell>
        </row>
        <row r="13">
          <cell r="D13">
            <v>0</v>
          </cell>
          <cell r="F13">
            <v>0</v>
          </cell>
          <cell r="G13">
            <v>0</v>
          </cell>
          <cell r="H13">
            <v>0</v>
          </cell>
          <cell r="I13">
            <v>0</v>
          </cell>
        </row>
        <row r="14">
          <cell r="D14">
            <v>117</v>
          </cell>
          <cell r="F14">
            <v>2</v>
          </cell>
          <cell r="G14">
            <v>28</v>
          </cell>
          <cell r="H14">
            <v>87</v>
          </cell>
          <cell r="I14">
            <v>121</v>
          </cell>
        </row>
        <row r="15">
          <cell r="D15">
            <v>0</v>
          </cell>
          <cell r="F15">
            <v>0</v>
          </cell>
          <cell r="G15">
            <v>0</v>
          </cell>
          <cell r="H15">
            <v>0</v>
          </cell>
          <cell r="I15">
            <v>0</v>
          </cell>
        </row>
        <row r="16">
          <cell r="F16">
            <v>0</v>
          </cell>
          <cell r="G16">
            <v>0</v>
          </cell>
          <cell r="H16">
            <v>0</v>
          </cell>
          <cell r="I16">
            <v>0</v>
          </cell>
        </row>
        <row r="17">
          <cell r="D17">
            <v>0</v>
          </cell>
          <cell r="I17">
            <v>0</v>
          </cell>
        </row>
        <row r="18">
          <cell r="I18">
            <v>0</v>
          </cell>
        </row>
        <row r="19">
          <cell r="D19">
            <v>135</v>
          </cell>
          <cell r="F19">
            <v>19</v>
          </cell>
          <cell r="G19">
            <v>40</v>
          </cell>
          <cell r="H19">
            <v>76</v>
          </cell>
          <cell r="I19">
            <v>135</v>
          </cell>
        </row>
        <row r="26">
          <cell r="D26">
            <v>108211</v>
          </cell>
          <cell r="E26">
            <v>37904</v>
          </cell>
          <cell r="H26">
            <v>70307</v>
          </cell>
        </row>
        <row r="27">
          <cell r="D27">
            <v>0</v>
          </cell>
          <cell r="E27">
            <v>0</v>
          </cell>
          <cell r="H27">
            <v>0</v>
          </cell>
        </row>
        <row r="28">
          <cell r="D28">
            <v>0</v>
          </cell>
          <cell r="E28">
            <v>0</v>
          </cell>
          <cell r="H28">
            <v>0</v>
          </cell>
        </row>
        <row r="29">
          <cell r="D29">
            <v>64393</v>
          </cell>
          <cell r="E29">
            <v>23699</v>
          </cell>
          <cell r="H29">
            <v>40694</v>
          </cell>
        </row>
        <row r="30">
          <cell r="D30">
            <v>0</v>
          </cell>
          <cell r="E30">
            <v>0</v>
          </cell>
          <cell r="H30">
            <v>0</v>
          </cell>
        </row>
        <row r="31">
          <cell r="D31">
            <v>40366</v>
          </cell>
          <cell r="E31">
            <v>12155</v>
          </cell>
          <cell r="H31">
            <v>28211</v>
          </cell>
        </row>
        <row r="32">
          <cell r="D32">
            <v>0</v>
          </cell>
          <cell r="E32">
            <v>0</v>
          </cell>
          <cell r="H32">
            <v>0</v>
          </cell>
        </row>
        <row r="33">
          <cell r="E33">
            <v>0</v>
          </cell>
          <cell r="H33">
            <v>0</v>
          </cell>
        </row>
        <row r="34">
          <cell r="D34">
            <v>0</v>
          </cell>
        </row>
        <row r="36">
          <cell r="D36">
            <v>17399</v>
          </cell>
          <cell r="E36">
            <v>6795</v>
          </cell>
          <cell r="H36">
            <v>10604</v>
          </cell>
        </row>
        <row r="53">
          <cell r="D53">
            <v>75</v>
          </cell>
          <cell r="F53">
            <v>27</v>
          </cell>
          <cell r="G53">
            <v>28</v>
          </cell>
          <cell r="H53">
            <v>20</v>
          </cell>
          <cell r="I53">
            <v>83</v>
          </cell>
        </row>
        <row r="54">
          <cell r="D54">
            <v>0</v>
          </cell>
          <cell r="F54">
            <v>0</v>
          </cell>
          <cell r="G54">
            <v>0</v>
          </cell>
          <cell r="H54">
            <v>0</v>
          </cell>
          <cell r="I54">
            <v>0</v>
          </cell>
        </row>
        <row r="55">
          <cell r="D55">
            <v>0</v>
          </cell>
          <cell r="F55">
            <v>0</v>
          </cell>
          <cell r="G55">
            <v>0</v>
          </cell>
          <cell r="H55">
            <v>0</v>
          </cell>
          <cell r="I55">
            <v>0</v>
          </cell>
        </row>
        <row r="56">
          <cell r="D56">
            <v>64</v>
          </cell>
          <cell r="F56">
            <v>18</v>
          </cell>
          <cell r="G56">
            <v>17</v>
          </cell>
          <cell r="H56">
            <v>29</v>
          </cell>
          <cell r="I56">
            <v>68</v>
          </cell>
        </row>
        <row r="57">
          <cell r="D57">
            <v>0</v>
          </cell>
          <cell r="F57">
            <v>0</v>
          </cell>
          <cell r="G57">
            <v>0</v>
          </cell>
          <cell r="H57">
            <v>0</v>
          </cell>
          <cell r="I57">
            <v>0</v>
          </cell>
        </row>
        <row r="58">
          <cell r="D58">
            <v>37</v>
          </cell>
          <cell r="F58">
            <v>9</v>
          </cell>
          <cell r="G58">
            <v>13</v>
          </cell>
          <cell r="H58">
            <v>15</v>
          </cell>
          <cell r="I58">
            <v>39</v>
          </cell>
        </row>
        <row r="59">
          <cell r="D59">
            <v>0</v>
          </cell>
          <cell r="F59">
            <v>0</v>
          </cell>
          <cell r="G59">
            <v>0</v>
          </cell>
          <cell r="H59">
            <v>0</v>
          </cell>
          <cell r="I59">
            <v>0</v>
          </cell>
        </row>
        <row r="60">
          <cell r="F60">
            <v>0</v>
          </cell>
          <cell r="G60">
            <v>0</v>
          </cell>
          <cell r="H60">
            <v>0</v>
          </cell>
          <cell r="I60">
            <v>0</v>
          </cell>
        </row>
        <row r="61">
          <cell r="D61">
            <v>6</v>
          </cell>
          <cell r="F61">
            <v>0</v>
          </cell>
          <cell r="G61">
            <v>4</v>
          </cell>
          <cell r="H61">
            <v>2</v>
          </cell>
          <cell r="I61">
            <v>6</v>
          </cell>
        </row>
        <row r="62">
          <cell r="F62"/>
          <cell r="G62"/>
          <cell r="H62"/>
          <cell r="I62">
            <v>6</v>
          </cell>
        </row>
        <row r="63">
          <cell r="D63">
            <v>5</v>
          </cell>
          <cell r="F63">
            <v>3</v>
          </cell>
          <cell r="G63">
            <v>2</v>
          </cell>
          <cell r="H63">
            <v>0</v>
          </cell>
          <cell r="I63">
            <v>20</v>
          </cell>
        </row>
        <row r="70">
          <cell r="D70">
            <v>8755</v>
          </cell>
          <cell r="E70">
            <v>6567</v>
          </cell>
          <cell r="H70">
            <v>2188</v>
          </cell>
        </row>
        <row r="71">
          <cell r="D71">
            <v>0</v>
          </cell>
          <cell r="E71">
            <v>0</v>
          </cell>
          <cell r="H71">
            <v>0</v>
          </cell>
        </row>
        <row r="72">
          <cell r="D72">
            <v>0</v>
          </cell>
          <cell r="E72">
            <v>0</v>
          </cell>
          <cell r="H72">
            <v>0</v>
          </cell>
        </row>
        <row r="73">
          <cell r="D73">
            <v>9352</v>
          </cell>
          <cell r="E73">
            <v>5444</v>
          </cell>
          <cell r="H73">
            <v>3908</v>
          </cell>
        </row>
        <row r="74">
          <cell r="D74">
            <v>0</v>
          </cell>
          <cell r="E74">
            <v>0</v>
          </cell>
          <cell r="H74">
            <v>0</v>
          </cell>
        </row>
        <row r="75">
          <cell r="D75">
            <v>7356</v>
          </cell>
          <cell r="E75">
            <v>4151</v>
          </cell>
          <cell r="H75">
            <v>3205</v>
          </cell>
        </row>
        <row r="76">
          <cell r="D76">
            <v>0</v>
          </cell>
          <cell r="E76">
            <v>0</v>
          </cell>
          <cell r="H76">
            <v>0</v>
          </cell>
        </row>
        <row r="77">
          <cell r="E77">
            <v>0</v>
          </cell>
          <cell r="H77">
            <v>0</v>
          </cell>
        </row>
        <row r="78">
          <cell r="D78">
            <v>1471</v>
          </cell>
          <cell r="E78">
            <v>1089</v>
          </cell>
          <cell r="H78">
            <v>382</v>
          </cell>
        </row>
        <row r="79">
          <cell r="E79"/>
          <cell r="H79"/>
        </row>
        <row r="80">
          <cell r="D80">
            <v>432</v>
          </cell>
          <cell r="E80">
            <v>432</v>
          </cell>
          <cell r="H80">
            <v>0</v>
          </cell>
        </row>
        <row r="97">
          <cell r="D97">
            <v>821</v>
          </cell>
        </row>
        <row r="98">
          <cell r="D98">
            <v>0</v>
          </cell>
        </row>
        <row r="99">
          <cell r="D99">
            <v>0</v>
          </cell>
        </row>
        <row r="100">
          <cell r="D100">
            <v>337</v>
          </cell>
        </row>
        <row r="101">
          <cell r="D101">
            <v>0</v>
          </cell>
        </row>
        <row r="102">
          <cell r="D102">
            <v>154</v>
          </cell>
        </row>
        <row r="103">
          <cell r="D103">
            <v>0</v>
          </cell>
        </row>
        <row r="105">
          <cell r="D105">
            <v>6</v>
          </cell>
        </row>
        <row r="107">
          <cell r="D107">
            <v>140</v>
          </cell>
        </row>
        <row r="114">
          <cell r="D114">
            <v>116966</v>
          </cell>
        </row>
        <row r="115">
          <cell r="D115">
            <v>0</v>
          </cell>
        </row>
        <row r="116">
          <cell r="D116">
            <v>0</v>
          </cell>
        </row>
        <row r="117">
          <cell r="D117">
            <v>73745</v>
          </cell>
        </row>
        <row r="118">
          <cell r="D118">
            <v>0</v>
          </cell>
        </row>
        <row r="119">
          <cell r="D119">
            <v>47722</v>
          </cell>
        </row>
        <row r="120">
          <cell r="D120">
            <v>0</v>
          </cell>
        </row>
        <row r="122">
          <cell r="D122">
            <v>1471</v>
          </cell>
        </row>
        <row r="124">
          <cell r="D124">
            <v>17831</v>
          </cell>
        </row>
      </sheetData>
      <sheetData sheetId="15">
        <row r="5">
          <cell r="F5">
            <v>97.394789579158314</v>
          </cell>
        </row>
        <row r="6">
          <cell r="D6">
            <v>1281</v>
          </cell>
          <cell r="E6">
            <v>1271</v>
          </cell>
          <cell r="F6">
            <v>99.219359875097581</v>
          </cell>
        </row>
        <row r="7">
          <cell r="D7">
            <v>216</v>
          </cell>
          <cell r="E7">
            <v>187</v>
          </cell>
          <cell r="F7">
            <v>86.574074074074076</v>
          </cell>
        </row>
      </sheetData>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101085</v>
          </cell>
          <cell r="R12">
            <v>3216</v>
          </cell>
        </row>
        <row r="13">
          <cell r="D13">
            <v>0</v>
          </cell>
          <cell r="R13">
            <v>0</v>
          </cell>
        </row>
        <row r="14">
          <cell r="D14">
            <v>4031</v>
          </cell>
          <cell r="R14">
            <v>0</v>
          </cell>
        </row>
        <row r="17">
          <cell r="D17">
            <v>18381</v>
          </cell>
          <cell r="R17">
            <v>238</v>
          </cell>
        </row>
        <row r="20">
          <cell r="D20">
            <v>16729</v>
          </cell>
          <cell r="R20">
            <v>153</v>
          </cell>
        </row>
        <row r="24">
          <cell r="D24">
            <v>61679</v>
          </cell>
          <cell r="R24">
            <v>1000</v>
          </cell>
        </row>
        <row r="29">
          <cell r="D29">
            <v>0</v>
          </cell>
          <cell r="R29">
            <v>0</v>
          </cell>
        </row>
        <row r="30">
          <cell r="D30">
            <v>65428</v>
          </cell>
          <cell r="R30">
            <v>3253</v>
          </cell>
        </row>
        <row r="35">
          <cell r="D35">
            <v>1492</v>
          </cell>
          <cell r="R35">
            <v>1492</v>
          </cell>
        </row>
        <row r="36">
          <cell r="D36">
            <v>2459</v>
          </cell>
          <cell r="R36">
            <v>2459</v>
          </cell>
        </row>
        <row r="40">
          <cell r="D40">
            <v>6981</v>
          </cell>
          <cell r="R40">
            <v>605</v>
          </cell>
        </row>
      </sheetData>
      <sheetData sheetId="4"/>
      <sheetData sheetId="5"/>
      <sheetData sheetId="6"/>
      <sheetData sheetId="7"/>
      <sheetData sheetId="8"/>
      <sheetData sheetId="9"/>
      <sheetData sheetId="10"/>
      <sheetData sheetId="11"/>
      <sheetData sheetId="12"/>
      <sheetData sheetId="13">
        <row r="9">
          <cell r="F9">
            <v>6</v>
          </cell>
          <cell r="G9">
            <v>4</v>
          </cell>
          <cell r="H9">
            <v>220</v>
          </cell>
          <cell r="I9">
            <v>488</v>
          </cell>
        </row>
        <row r="10">
          <cell r="F10">
            <v>0</v>
          </cell>
          <cell r="G10">
            <v>0</v>
          </cell>
          <cell r="H10">
            <v>0</v>
          </cell>
          <cell r="I10">
            <v>0</v>
          </cell>
        </row>
        <row r="11">
          <cell r="F11">
            <v>4</v>
          </cell>
          <cell r="G11">
            <v>0</v>
          </cell>
          <cell r="H11">
            <v>74</v>
          </cell>
          <cell r="I11">
            <v>92</v>
          </cell>
        </row>
        <row r="12">
          <cell r="F12">
            <v>3</v>
          </cell>
          <cell r="G12">
            <v>2</v>
          </cell>
          <cell r="H12">
            <v>47</v>
          </cell>
          <cell r="I12">
            <v>76</v>
          </cell>
        </row>
        <row r="13">
          <cell r="F13">
            <v>4</v>
          </cell>
          <cell r="G13">
            <v>1</v>
          </cell>
          <cell r="H13">
            <v>122</v>
          </cell>
          <cell r="I13">
            <v>144</v>
          </cell>
        </row>
        <row r="14">
          <cell r="F14">
            <v>0</v>
          </cell>
          <cell r="G14">
            <v>1</v>
          </cell>
          <cell r="H14">
            <v>68</v>
          </cell>
          <cell r="I14">
            <v>100</v>
          </cell>
        </row>
        <row r="15">
          <cell r="F15">
            <v>4</v>
          </cell>
          <cell r="G15">
            <v>19</v>
          </cell>
          <cell r="H15">
            <v>114</v>
          </cell>
          <cell r="I15">
            <v>137</v>
          </cell>
        </row>
        <row r="16">
          <cell r="I16">
            <v>0</v>
          </cell>
        </row>
        <row r="17">
          <cell r="F17">
            <v>0</v>
          </cell>
          <cell r="G17">
            <v>0</v>
          </cell>
          <cell r="H17">
            <v>76</v>
          </cell>
          <cell r="I17">
            <v>120</v>
          </cell>
        </row>
        <row r="24">
          <cell r="E24">
            <v>2004</v>
          </cell>
          <cell r="H24">
            <v>14644</v>
          </cell>
        </row>
        <row r="25">
          <cell r="E25">
            <v>0</v>
          </cell>
          <cell r="H25">
            <v>0</v>
          </cell>
        </row>
        <row r="26">
          <cell r="E26">
            <v>0</v>
          </cell>
          <cell r="H26">
            <v>1013</v>
          </cell>
        </row>
        <row r="27">
          <cell r="E27">
            <v>612</v>
          </cell>
          <cell r="H27">
            <v>3534</v>
          </cell>
        </row>
        <row r="28">
          <cell r="E28">
            <v>67</v>
          </cell>
          <cell r="H28">
            <v>4372</v>
          </cell>
        </row>
        <row r="29">
          <cell r="E29">
            <v>416</v>
          </cell>
          <cell r="H29">
            <v>12065</v>
          </cell>
        </row>
        <row r="30">
          <cell r="E30">
            <v>9579</v>
          </cell>
          <cell r="H30">
            <v>14537</v>
          </cell>
        </row>
        <row r="31">
          <cell r="E31">
            <v>0</v>
          </cell>
          <cell r="H31">
            <v>0</v>
          </cell>
        </row>
        <row r="34">
          <cell r="E34">
            <v>0</v>
          </cell>
          <cell r="H34">
            <v>1554</v>
          </cell>
        </row>
        <row r="51">
          <cell r="F51">
            <v>0</v>
          </cell>
          <cell r="G51">
            <v>0</v>
          </cell>
          <cell r="H51">
            <v>6</v>
          </cell>
          <cell r="I51">
            <v>56</v>
          </cell>
        </row>
        <row r="52">
          <cell r="F52">
            <v>0</v>
          </cell>
          <cell r="G52">
            <v>0</v>
          </cell>
          <cell r="H52">
            <v>0</v>
          </cell>
          <cell r="I52">
            <v>0</v>
          </cell>
        </row>
        <row r="53">
          <cell r="F53">
            <v>0</v>
          </cell>
          <cell r="G53">
            <v>0</v>
          </cell>
          <cell r="H53">
            <v>0</v>
          </cell>
          <cell r="I53">
            <v>0</v>
          </cell>
        </row>
        <row r="54">
          <cell r="F54">
            <v>0</v>
          </cell>
          <cell r="G54">
            <v>0</v>
          </cell>
          <cell r="H54">
            <v>0</v>
          </cell>
          <cell r="I54">
            <v>4</v>
          </cell>
        </row>
        <row r="55">
          <cell r="F55">
            <v>0</v>
          </cell>
          <cell r="G55">
            <v>0</v>
          </cell>
          <cell r="H55">
            <v>0</v>
          </cell>
          <cell r="I55">
            <v>4</v>
          </cell>
        </row>
        <row r="56">
          <cell r="F56">
            <v>0</v>
          </cell>
          <cell r="G56">
            <v>0</v>
          </cell>
          <cell r="H56">
            <v>0</v>
          </cell>
          <cell r="I56">
            <v>7</v>
          </cell>
        </row>
        <row r="57">
          <cell r="F57">
            <v>0</v>
          </cell>
          <cell r="G57">
            <v>0</v>
          </cell>
          <cell r="H57">
            <v>6</v>
          </cell>
          <cell r="I57">
            <v>51</v>
          </cell>
        </row>
        <row r="58">
          <cell r="F58">
            <v>0</v>
          </cell>
          <cell r="G58">
            <v>0</v>
          </cell>
          <cell r="H58">
            <v>10</v>
          </cell>
          <cell r="I58">
            <v>12</v>
          </cell>
        </row>
        <row r="59">
          <cell r="F59">
            <v>0</v>
          </cell>
          <cell r="G59">
            <v>0</v>
          </cell>
          <cell r="H59">
            <v>5</v>
          </cell>
          <cell r="I59">
            <v>15</v>
          </cell>
        </row>
        <row r="66">
          <cell r="E66">
            <v>0</v>
          </cell>
          <cell r="H66">
            <v>137</v>
          </cell>
        </row>
        <row r="67">
          <cell r="E67">
            <v>0</v>
          </cell>
          <cell r="H67">
            <v>0</v>
          </cell>
        </row>
        <row r="68">
          <cell r="E68">
            <v>0</v>
          </cell>
          <cell r="H68">
            <v>0</v>
          </cell>
        </row>
        <row r="69">
          <cell r="E69">
            <v>0</v>
          </cell>
          <cell r="H69">
            <v>0</v>
          </cell>
        </row>
        <row r="70">
          <cell r="E70">
            <v>0</v>
          </cell>
          <cell r="H70">
            <v>0</v>
          </cell>
        </row>
        <row r="71">
          <cell r="E71">
            <v>0</v>
          </cell>
          <cell r="H71">
            <v>0</v>
          </cell>
        </row>
        <row r="72">
          <cell r="E72">
            <v>0</v>
          </cell>
          <cell r="H72">
            <v>241</v>
          </cell>
        </row>
        <row r="73">
          <cell r="E73">
            <v>0</v>
          </cell>
          <cell r="H73">
            <v>0</v>
          </cell>
        </row>
        <row r="74">
          <cell r="E74">
            <v>0</v>
          </cell>
          <cell r="H74">
            <v>1132</v>
          </cell>
        </row>
        <row r="75">
          <cell r="E75">
            <v>0</v>
          </cell>
          <cell r="H75">
            <v>425</v>
          </cell>
        </row>
        <row r="76">
          <cell r="E76">
            <v>0</v>
          </cell>
          <cell r="H76">
            <v>81</v>
          </cell>
        </row>
      </sheetData>
      <sheetData sheetId="14">
        <row r="5">
          <cell r="F5">
            <v>56.228571428571428</v>
          </cell>
        </row>
        <row r="6">
          <cell r="D6">
            <v>795</v>
          </cell>
          <cell r="E6">
            <v>474</v>
          </cell>
          <cell r="F6">
            <v>59.622641509433961</v>
          </cell>
        </row>
        <row r="7">
          <cell r="D7">
            <v>80</v>
          </cell>
          <cell r="E7">
            <v>18</v>
          </cell>
          <cell r="F7">
            <v>22.5</v>
          </cell>
        </row>
      </sheetData>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 val="Tabelle1"/>
    </sheetNames>
    <sheetDataSet>
      <sheetData sheetId="0"/>
      <sheetData sheetId="1"/>
      <sheetData sheetId="2"/>
      <sheetData sheetId="3">
        <row r="12">
          <cell r="D12">
            <v>99668</v>
          </cell>
          <cell r="R12">
            <v>3354</v>
          </cell>
        </row>
        <row r="13">
          <cell r="D13">
            <v>0</v>
          </cell>
          <cell r="R13">
            <v>0</v>
          </cell>
        </row>
        <row r="14">
          <cell r="D14">
            <v>913</v>
          </cell>
          <cell r="R14">
            <v>0</v>
          </cell>
        </row>
        <row r="17">
          <cell r="D17">
            <v>20808</v>
          </cell>
          <cell r="R17">
            <v>284</v>
          </cell>
        </row>
        <row r="20">
          <cell r="D20">
            <v>6936</v>
          </cell>
          <cell r="R20">
            <v>110</v>
          </cell>
        </row>
        <row r="24">
          <cell r="D24">
            <v>50508</v>
          </cell>
          <cell r="R24">
            <v>966</v>
          </cell>
        </row>
        <row r="29">
          <cell r="D29">
            <v>0</v>
          </cell>
          <cell r="R29">
            <v>0</v>
          </cell>
        </row>
        <row r="30">
          <cell r="D30">
            <v>74331</v>
          </cell>
          <cell r="R30">
            <v>3270</v>
          </cell>
        </row>
        <row r="35">
          <cell r="D35">
            <v>1451</v>
          </cell>
          <cell r="R35">
            <v>1451</v>
          </cell>
        </row>
        <row r="36">
          <cell r="D36">
            <v>2416</v>
          </cell>
          <cell r="R36">
            <v>2416</v>
          </cell>
        </row>
        <row r="40">
          <cell r="D40">
            <v>6395</v>
          </cell>
          <cell r="R40">
            <v>588</v>
          </cell>
        </row>
      </sheetData>
      <sheetData sheetId="4"/>
      <sheetData sheetId="5"/>
      <sheetData sheetId="6"/>
      <sheetData sheetId="7"/>
      <sheetData sheetId="8"/>
      <sheetData sheetId="9"/>
      <sheetData sheetId="10"/>
      <sheetData sheetId="11"/>
      <sheetData sheetId="12"/>
      <sheetData sheetId="13">
        <row r="9">
          <cell r="F9">
            <v>6</v>
          </cell>
          <cell r="G9">
            <v>4</v>
          </cell>
          <cell r="H9">
            <v>236</v>
          </cell>
          <cell r="I9">
            <v>482</v>
          </cell>
        </row>
        <row r="10">
          <cell r="F10">
            <v>0</v>
          </cell>
          <cell r="G10">
            <v>0</v>
          </cell>
          <cell r="H10">
            <v>0</v>
          </cell>
          <cell r="I10">
            <v>0</v>
          </cell>
        </row>
        <row r="11">
          <cell r="F11">
            <v>1</v>
          </cell>
          <cell r="G11">
            <v>0</v>
          </cell>
          <cell r="H11">
            <v>26</v>
          </cell>
          <cell r="I11">
            <v>31</v>
          </cell>
        </row>
        <row r="12">
          <cell r="F12">
            <v>2</v>
          </cell>
          <cell r="G12">
            <v>2</v>
          </cell>
          <cell r="H12">
            <v>50</v>
          </cell>
          <cell r="I12">
            <v>75</v>
          </cell>
        </row>
        <row r="13">
          <cell r="F13">
            <v>3</v>
          </cell>
          <cell r="G13">
            <v>0</v>
          </cell>
          <cell r="H13">
            <v>66</v>
          </cell>
          <cell r="I13">
            <v>76</v>
          </cell>
        </row>
        <row r="14">
          <cell r="F14">
            <v>0</v>
          </cell>
          <cell r="G14">
            <v>1</v>
          </cell>
          <cell r="H14">
            <v>69</v>
          </cell>
          <cell r="I14">
            <v>100</v>
          </cell>
        </row>
        <row r="15">
          <cell r="F15">
            <v>4</v>
          </cell>
          <cell r="G15">
            <v>19</v>
          </cell>
          <cell r="H15">
            <v>126</v>
          </cell>
          <cell r="I15">
            <v>149</v>
          </cell>
        </row>
        <row r="16">
          <cell r="F16">
            <v>0</v>
          </cell>
          <cell r="G16">
            <v>0</v>
          </cell>
          <cell r="H16">
            <v>0</v>
          </cell>
          <cell r="I16">
            <v>0</v>
          </cell>
        </row>
        <row r="17">
          <cell r="I17">
            <v>0</v>
          </cell>
        </row>
        <row r="18">
          <cell r="I18">
            <v>0</v>
          </cell>
        </row>
        <row r="19">
          <cell r="F19">
            <v>0</v>
          </cell>
          <cell r="G19">
            <v>0</v>
          </cell>
          <cell r="H19">
            <v>73</v>
          </cell>
          <cell r="I19">
            <v>112</v>
          </cell>
        </row>
        <row r="26">
          <cell r="E26">
            <v>2332</v>
          </cell>
          <cell r="H26">
            <v>15414</v>
          </cell>
        </row>
        <row r="27">
          <cell r="E27">
            <v>0</v>
          </cell>
          <cell r="H27">
            <v>0</v>
          </cell>
        </row>
        <row r="28">
          <cell r="E28">
            <v>0</v>
          </cell>
          <cell r="H28">
            <v>230</v>
          </cell>
        </row>
        <row r="29">
          <cell r="E29">
            <v>671</v>
          </cell>
          <cell r="H29">
            <v>4316</v>
          </cell>
        </row>
        <row r="30">
          <cell r="E30">
            <v>0</v>
          </cell>
          <cell r="H30">
            <v>1832</v>
          </cell>
        </row>
        <row r="31">
          <cell r="E31">
            <v>356</v>
          </cell>
          <cell r="H31">
            <v>9966</v>
          </cell>
        </row>
        <row r="32">
          <cell r="E32">
            <v>10240</v>
          </cell>
          <cell r="H32">
            <v>17048</v>
          </cell>
        </row>
        <row r="33">
          <cell r="E33">
            <v>0</v>
          </cell>
          <cell r="H33">
            <v>0</v>
          </cell>
        </row>
        <row r="36">
          <cell r="E36">
            <v>0</v>
          </cell>
          <cell r="H36">
            <v>1466</v>
          </cell>
        </row>
        <row r="53">
          <cell r="F53">
            <v>0</v>
          </cell>
          <cell r="G53">
            <v>0</v>
          </cell>
          <cell r="H53">
            <v>5</v>
          </cell>
          <cell r="I53">
            <v>57</v>
          </cell>
        </row>
        <row r="54">
          <cell r="F54">
            <v>0</v>
          </cell>
          <cell r="G54">
            <v>0</v>
          </cell>
          <cell r="H54">
            <v>0</v>
          </cell>
          <cell r="I54">
            <v>0</v>
          </cell>
        </row>
        <row r="55">
          <cell r="F55">
            <v>0</v>
          </cell>
          <cell r="G55">
            <v>0</v>
          </cell>
          <cell r="H55">
            <v>0</v>
          </cell>
          <cell r="I55">
            <v>0</v>
          </cell>
        </row>
        <row r="56">
          <cell r="F56">
            <v>0</v>
          </cell>
          <cell r="G56">
            <v>0</v>
          </cell>
          <cell r="H56">
            <v>0</v>
          </cell>
          <cell r="I56">
            <v>4</v>
          </cell>
        </row>
        <row r="57">
          <cell r="F57">
            <v>0</v>
          </cell>
          <cell r="G57">
            <v>0</v>
          </cell>
          <cell r="H57">
            <v>0</v>
          </cell>
          <cell r="I57">
            <v>2</v>
          </cell>
        </row>
        <row r="58">
          <cell r="F58">
            <v>0</v>
          </cell>
          <cell r="G58">
            <v>0</v>
          </cell>
          <cell r="H58">
            <v>0</v>
          </cell>
          <cell r="I58">
            <v>7</v>
          </cell>
        </row>
        <row r="59">
          <cell r="F59">
            <v>0</v>
          </cell>
          <cell r="G59">
            <v>0</v>
          </cell>
          <cell r="H59">
            <v>5</v>
          </cell>
          <cell r="I59">
            <v>52</v>
          </cell>
        </row>
        <row r="60">
          <cell r="F60">
            <v>0</v>
          </cell>
          <cell r="G60">
            <v>0</v>
          </cell>
          <cell r="H60">
            <v>0</v>
          </cell>
          <cell r="I60">
            <v>0</v>
          </cell>
        </row>
        <row r="61">
          <cell r="F61">
            <v>0</v>
          </cell>
          <cell r="G61">
            <v>0</v>
          </cell>
          <cell r="H61">
            <v>10</v>
          </cell>
          <cell r="I61">
            <v>12</v>
          </cell>
        </row>
        <row r="62">
          <cell r="F62">
            <v>0</v>
          </cell>
          <cell r="G62">
            <v>0</v>
          </cell>
          <cell r="H62">
            <v>10</v>
          </cell>
          <cell r="I62">
            <v>12</v>
          </cell>
        </row>
        <row r="63">
          <cell r="F63">
            <v>0</v>
          </cell>
          <cell r="G63">
            <v>0</v>
          </cell>
          <cell r="H63">
            <v>5</v>
          </cell>
          <cell r="I63">
            <v>16</v>
          </cell>
        </row>
        <row r="70">
          <cell r="E70">
            <v>0</v>
          </cell>
          <cell r="H70">
            <v>103</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204</v>
          </cell>
        </row>
        <row r="77">
          <cell r="E77">
            <v>0</v>
          </cell>
          <cell r="H77">
            <v>0</v>
          </cell>
        </row>
        <row r="78">
          <cell r="E78">
            <v>0</v>
          </cell>
          <cell r="H78">
            <v>1099</v>
          </cell>
        </row>
        <row r="79">
          <cell r="E79">
            <v>0</v>
          </cell>
          <cell r="H79">
            <v>410</v>
          </cell>
        </row>
        <row r="80">
          <cell r="E80">
            <v>0</v>
          </cell>
          <cell r="H80">
            <v>81</v>
          </cell>
        </row>
      </sheetData>
      <sheetData sheetId="14">
        <row r="5">
          <cell r="F5">
            <v>57.937427578215527</v>
          </cell>
        </row>
        <row r="6">
          <cell r="D6">
            <v>782</v>
          </cell>
          <cell r="E6">
            <v>483</v>
          </cell>
          <cell r="F6">
            <v>61.764705882352942</v>
          </cell>
        </row>
        <row r="7">
          <cell r="D7">
            <v>81</v>
          </cell>
          <cell r="E7">
            <v>17</v>
          </cell>
          <cell r="F7">
            <v>20.987654320987655</v>
          </cell>
        </row>
      </sheetData>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99747</v>
          </cell>
          <cell r="R12">
            <v>3328</v>
          </cell>
        </row>
        <row r="13">
          <cell r="D13">
            <v>0</v>
          </cell>
          <cell r="R13">
            <v>0</v>
          </cell>
        </row>
        <row r="14">
          <cell r="D14">
            <v>92</v>
          </cell>
          <cell r="R14">
            <v>0</v>
          </cell>
        </row>
        <row r="17">
          <cell r="D17">
            <v>17845</v>
          </cell>
          <cell r="R17">
            <v>280</v>
          </cell>
        </row>
        <row r="20">
          <cell r="D20">
            <v>1755</v>
          </cell>
          <cell r="R20">
            <v>80</v>
          </cell>
        </row>
        <row r="24">
          <cell r="D24">
            <v>49445</v>
          </cell>
          <cell r="R24">
            <v>745</v>
          </cell>
        </row>
        <row r="29">
          <cell r="D29">
            <v>0</v>
          </cell>
          <cell r="R29">
            <v>0</v>
          </cell>
        </row>
        <row r="30">
          <cell r="D30">
            <v>80833</v>
          </cell>
          <cell r="R30">
            <v>3564</v>
          </cell>
        </row>
        <row r="35">
          <cell r="D35">
            <v>1478</v>
          </cell>
          <cell r="R35">
            <v>1478</v>
          </cell>
        </row>
        <row r="36">
          <cell r="D36">
            <v>2350</v>
          </cell>
          <cell r="R36">
            <v>2350</v>
          </cell>
        </row>
        <row r="40">
          <cell r="D40">
            <v>5932</v>
          </cell>
          <cell r="R40">
            <v>556</v>
          </cell>
        </row>
      </sheetData>
      <sheetData sheetId="4"/>
      <sheetData sheetId="5"/>
      <sheetData sheetId="6"/>
      <sheetData sheetId="7"/>
      <sheetData sheetId="8"/>
      <sheetData sheetId="9"/>
      <sheetData sheetId="10"/>
      <sheetData sheetId="11"/>
      <sheetData sheetId="12"/>
      <sheetData sheetId="13"/>
      <sheetData sheetId="14">
        <row r="9">
          <cell r="F9">
            <v>6</v>
          </cell>
          <cell r="G9">
            <v>4</v>
          </cell>
          <cell r="H9">
            <v>252</v>
          </cell>
          <cell r="I9">
            <v>477</v>
          </cell>
        </row>
        <row r="10">
          <cell r="F10">
            <v>0</v>
          </cell>
          <cell r="G10">
            <v>0</v>
          </cell>
          <cell r="H10">
            <v>0</v>
          </cell>
          <cell r="I10">
            <v>0</v>
          </cell>
        </row>
        <row r="11">
          <cell r="F11">
            <v>0</v>
          </cell>
          <cell r="G11">
            <v>0</v>
          </cell>
          <cell r="H11">
            <v>6</v>
          </cell>
          <cell r="I11">
            <v>7</v>
          </cell>
        </row>
        <row r="12">
          <cell r="F12">
            <v>2</v>
          </cell>
          <cell r="G12">
            <v>0</v>
          </cell>
          <cell r="H12">
            <v>52</v>
          </cell>
          <cell r="I12">
            <v>69</v>
          </cell>
        </row>
        <row r="13">
          <cell r="F13">
            <v>1</v>
          </cell>
          <cell r="G13">
            <v>0</v>
          </cell>
          <cell r="H13">
            <v>23</v>
          </cell>
          <cell r="I13">
            <v>28</v>
          </cell>
        </row>
        <row r="14">
          <cell r="F14">
            <v>0</v>
          </cell>
          <cell r="G14">
            <v>1</v>
          </cell>
          <cell r="H14">
            <v>70</v>
          </cell>
          <cell r="I14">
            <v>100</v>
          </cell>
        </row>
        <row r="15">
          <cell r="F15">
            <v>4</v>
          </cell>
          <cell r="G15">
            <v>19</v>
          </cell>
          <cell r="H15">
            <v>157</v>
          </cell>
          <cell r="I15">
            <v>195</v>
          </cell>
        </row>
        <row r="16">
          <cell r="F16">
            <v>0</v>
          </cell>
          <cell r="G16">
            <v>0</v>
          </cell>
          <cell r="H16">
            <v>0</v>
          </cell>
          <cell r="I16">
            <v>0</v>
          </cell>
        </row>
        <row r="17">
          <cell r="I17">
            <v>0</v>
          </cell>
        </row>
        <row r="18">
          <cell r="I18">
            <v>0</v>
          </cell>
        </row>
        <row r="19">
          <cell r="F19">
            <v>0</v>
          </cell>
          <cell r="G19">
            <v>0</v>
          </cell>
          <cell r="H19">
            <v>67</v>
          </cell>
          <cell r="I19">
            <v>108</v>
          </cell>
        </row>
        <row r="26">
          <cell r="E26">
            <v>2287</v>
          </cell>
          <cell r="H26">
            <v>16481</v>
          </cell>
        </row>
        <row r="27">
          <cell r="E27">
            <v>0</v>
          </cell>
          <cell r="H27">
            <v>0</v>
          </cell>
        </row>
        <row r="28">
          <cell r="E28">
            <v>0</v>
          </cell>
          <cell r="H28">
            <v>26</v>
          </cell>
        </row>
        <row r="29">
          <cell r="E29">
            <v>465</v>
          </cell>
          <cell r="H29">
            <v>4100</v>
          </cell>
        </row>
        <row r="30">
          <cell r="E30">
            <v>0</v>
          </cell>
          <cell r="H30">
            <v>429</v>
          </cell>
        </row>
        <row r="31">
          <cell r="E31">
            <v>361</v>
          </cell>
          <cell r="H31">
            <v>9936</v>
          </cell>
        </row>
        <row r="32">
          <cell r="E32">
            <v>10597</v>
          </cell>
          <cell r="H32">
            <v>18537</v>
          </cell>
        </row>
        <row r="33">
          <cell r="E33">
            <v>0</v>
          </cell>
          <cell r="H33">
            <v>0</v>
          </cell>
        </row>
        <row r="36">
          <cell r="E36">
            <v>0</v>
          </cell>
          <cell r="H36">
            <v>1368</v>
          </cell>
        </row>
        <row r="53">
          <cell r="F53">
            <v>0</v>
          </cell>
          <cell r="G53">
            <v>0</v>
          </cell>
          <cell r="H53">
            <v>11</v>
          </cell>
          <cell r="I53">
            <v>57</v>
          </cell>
        </row>
        <row r="54">
          <cell r="F54">
            <v>0</v>
          </cell>
          <cell r="G54">
            <v>0</v>
          </cell>
          <cell r="H54">
            <v>0</v>
          </cell>
          <cell r="I54">
            <v>0</v>
          </cell>
        </row>
        <row r="55">
          <cell r="F55">
            <v>0</v>
          </cell>
          <cell r="G55">
            <v>0</v>
          </cell>
          <cell r="H55">
            <v>0</v>
          </cell>
          <cell r="I55">
            <v>0</v>
          </cell>
        </row>
        <row r="56">
          <cell r="F56">
            <v>0</v>
          </cell>
          <cell r="G56">
            <v>0</v>
          </cell>
          <cell r="H56">
            <v>0</v>
          </cell>
          <cell r="I56">
            <v>4</v>
          </cell>
        </row>
        <row r="57">
          <cell r="F57">
            <v>0</v>
          </cell>
          <cell r="G57">
            <v>0</v>
          </cell>
          <cell r="H57">
            <v>0</v>
          </cell>
          <cell r="I57">
            <v>2</v>
          </cell>
        </row>
        <row r="58">
          <cell r="F58">
            <v>0</v>
          </cell>
          <cell r="G58">
            <v>0</v>
          </cell>
          <cell r="H58">
            <v>0</v>
          </cell>
          <cell r="I58">
            <v>6</v>
          </cell>
        </row>
        <row r="59">
          <cell r="F59">
            <v>0</v>
          </cell>
          <cell r="G59">
            <v>0</v>
          </cell>
          <cell r="H59">
            <v>12</v>
          </cell>
          <cell r="I59">
            <v>55</v>
          </cell>
        </row>
        <row r="60">
          <cell r="F60">
            <v>0</v>
          </cell>
          <cell r="G60">
            <v>0</v>
          </cell>
          <cell r="H60">
            <v>0</v>
          </cell>
          <cell r="I60">
            <v>0</v>
          </cell>
        </row>
        <row r="61">
          <cell r="F61">
            <v>0</v>
          </cell>
          <cell r="G61">
            <v>0</v>
          </cell>
          <cell r="H61">
            <v>10</v>
          </cell>
          <cell r="I61">
            <v>12</v>
          </cell>
        </row>
        <row r="62">
          <cell r="F62">
            <v>0</v>
          </cell>
          <cell r="G62">
            <v>0</v>
          </cell>
          <cell r="H62">
            <v>10</v>
          </cell>
          <cell r="I62">
            <v>12</v>
          </cell>
        </row>
        <row r="63">
          <cell r="F63">
            <v>0</v>
          </cell>
          <cell r="G63">
            <v>0</v>
          </cell>
          <cell r="H63">
            <v>8</v>
          </cell>
          <cell r="I63">
            <v>21</v>
          </cell>
        </row>
        <row r="70">
          <cell r="E70">
            <v>0</v>
          </cell>
          <cell r="H70">
            <v>251</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595</v>
          </cell>
        </row>
        <row r="77">
          <cell r="E77">
            <v>0</v>
          </cell>
          <cell r="H77">
            <v>0</v>
          </cell>
        </row>
        <row r="78">
          <cell r="E78">
            <v>0</v>
          </cell>
          <cell r="H78">
            <v>1087</v>
          </cell>
        </row>
        <row r="79">
          <cell r="E79">
            <v>0</v>
          </cell>
          <cell r="H79">
            <v>414</v>
          </cell>
        </row>
        <row r="80">
          <cell r="E80">
            <v>0</v>
          </cell>
          <cell r="H80">
            <v>0</v>
          </cell>
        </row>
      </sheetData>
      <sheetData sheetId="15">
        <row r="5">
          <cell r="F5">
            <v>60.63084112149533</v>
          </cell>
        </row>
        <row r="6">
          <cell r="D6">
            <v>774</v>
          </cell>
          <cell r="E6">
            <v>495</v>
          </cell>
          <cell r="F6">
            <v>63.953488372093027</v>
          </cell>
        </row>
        <row r="7">
          <cell r="D7">
            <v>82</v>
          </cell>
          <cell r="E7">
            <v>24</v>
          </cell>
          <cell r="F7">
            <v>29.26829268292683</v>
          </cell>
        </row>
      </sheetData>
      <sheetData sheetId="16"/>
      <sheetData sheetId="17"/>
      <sheetData sheetId="18"/>
      <sheetData sheetId="19"/>
      <sheetData sheetId="20"/>
      <sheetData sheetId="2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100656</v>
          </cell>
          <cell r="R12">
            <v>3363</v>
          </cell>
        </row>
        <row r="13">
          <cell r="D13">
            <v>0</v>
          </cell>
          <cell r="R13">
            <v>0</v>
          </cell>
        </row>
        <row r="14">
          <cell r="D14">
            <v>0</v>
          </cell>
          <cell r="R14">
            <v>0</v>
          </cell>
        </row>
        <row r="17">
          <cell r="D17">
            <v>13999</v>
          </cell>
          <cell r="R17">
            <v>270</v>
          </cell>
        </row>
        <row r="20">
          <cell r="D20">
            <v>69</v>
          </cell>
          <cell r="R20">
            <v>48</v>
          </cell>
        </row>
        <row r="24">
          <cell r="D24">
            <v>49627</v>
          </cell>
          <cell r="R24">
            <v>604</v>
          </cell>
        </row>
        <row r="29">
          <cell r="D29">
            <v>0</v>
          </cell>
          <cell r="R29">
            <v>0</v>
          </cell>
        </row>
        <row r="30">
          <cell r="D30">
            <v>83989</v>
          </cell>
          <cell r="R30">
            <v>3638</v>
          </cell>
        </row>
        <row r="35">
          <cell r="D35">
            <v>1477</v>
          </cell>
          <cell r="R35">
            <v>1477</v>
          </cell>
        </row>
        <row r="36">
          <cell r="D36">
            <v>2338</v>
          </cell>
          <cell r="R36">
            <v>2338</v>
          </cell>
        </row>
        <row r="40">
          <cell r="D40">
            <v>5640</v>
          </cell>
          <cell r="R40">
            <v>546</v>
          </cell>
        </row>
      </sheetData>
      <sheetData sheetId="4"/>
      <sheetData sheetId="5"/>
      <sheetData sheetId="6"/>
      <sheetData sheetId="7"/>
      <sheetData sheetId="8"/>
      <sheetData sheetId="9"/>
      <sheetData sheetId="10"/>
      <sheetData sheetId="11"/>
      <sheetData sheetId="12"/>
      <sheetData sheetId="13"/>
      <sheetData sheetId="14">
        <row r="9">
          <cell r="F9">
            <v>7</v>
          </cell>
          <cell r="G9">
            <v>5</v>
          </cell>
          <cell r="H9">
            <v>311</v>
          </cell>
          <cell r="I9">
            <v>537</v>
          </cell>
        </row>
        <row r="10">
          <cell r="F10">
            <v>0</v>
          </cell>
          <cell r="G10">
            <v>0</v>
          </cell>
          <cell r="H10">
            <v>0</v>
          </cell>
          <cell r="I10">
            <v>0</v>
          </cell>
        </row>
        <row r="11">
          <cell r="F11">
            <v>0</v>
          </cell>
          <cell r="G11">
            <v>0</v>
          </cell>
          <cell r="H11">
            <v>0</v>
          </cell>
          <cell r="I11">
            <v>0</v>
          </cell>
        </row>
        <row r="12">
          <cell r="F12">
            <v>2</v>
          </cell>
          <cell r="G12">
            <v>0</v>
          </cell>
          <cell r="H12">
            <v>57</v>
          </cell>
          <cell r="I12">
            <v>65</v>
          </cell>
        </row>
        <row r="13">
          <cell r="F13">
            <v>0</v>
          </cell>
          <cell r="G13">
            <v>0</v>
          </cell>
          <cell r="H13">
            <v>0</v>
          </cell>
          <cell r="I13">
            <v>1</v>
          </cell>
        </row>
        <row r="14">
          <cell r="F14">
            <v>0</v>
          </cell>
          <cell r="G14">
            <v>1</v>
          </cell>
          <cell r="H14">
            <v>69</v>
          </cell>
          <cell r="I14">
            <v>99</v>
          </cell>
        </row>
        <row r="15">
          <cell r="F15">
            <v>6</v>
          </cell>
          <cell r="G15">
            <v>21</v>
          </cell>
          <cell r="H15">
            <v>215</v>
          </cell>
          <cell r="I15">
            <v>253</v>
          </cell>
        </row>
        <row r="16">
          <cell r="F16">
            <v>0</v>
          </cell>
          <cell r="G16">
            <v>0</v>
          </cell>
          <cell r="H16">
            <v>0</v>
          </cell>
          <cell r="I16">
            <v>0</v>
          </cell>
        </row>
        <row r="17">
          <cell r="I17">
            <v>0</v>
          </cell>
        </row>
        <row r="18">
          <cell r="I18">
            <v>0</v>
          </cell>
        </row>
        <row r="19">
          <cell r="F19">
            <v>0</v>
          </cell>
          <cell r="G19">
            <v>0</v>
          </cell>
          <cell r="H19">
            <v>63</v>
          </cell>
          <cell r="I19">
            <v>104</v>
          </cell>
        </row>
        <row r="26">
          <cell r="E26">
            <v>2344</v>
          </cell>
          <cell r="H26">
            <v>17398</v>
          </cell>
        </row>
        <row r="27">
          <cell r="E27">
            <v>0</v>
          </cell>
          <cell r="H27">
            <v>0</v>
          </cell>
        </row>
        <row r="28">
          <cell r="E28">
            <v>0</v>
          </cell>
          <cell r="H28">
            <v>0</v>
          </cell>
        </row>
        <row r="29">
          <cell r="E29">
            <v>355</v>
          </cell>
          <cell r="H29">
            <v>3565</v>
          </cell>
        </row>
        <row r="30">
          <cell r="E30">
            <v>0</v>
          </cell>
          <cell r="H30">
            <v>0</v>
          </cell>
        </row>
        <row r="31">
          <cell r="E31">
            <v>343</v>
          </cell>
          <cell r="H31">
            <v>10159</v>
          </cell>
        </row>
        <row r="32">
          <cell r="E32">
            <v>10723</v>
          </cell>
          <cell r="H32">
            <v>19770</v>
          </cell>
        </row>
        <row r="33">
          <cell r="E33">
            <v>0</v>
          </cell>
          <cell r="H33">
            <v>0</v>
          </cell>
        </row>
        <row r="36">
          <cell r="E36">
            <v>0</v>
          </cell>
          <cell r="H36">
            <v>1291</v>
          </cell>
        </row>
        <row r="53">
          <cell r="F53">
            <v>0</v>
          </cell>
          <cell r="G53">
            <v>0</v>
          </cell>
          <cell r="H53">
            <v>12</v>
          </cell>
          <cell r="I53">
            <v>60</v>
          </cell>
        </row>
        <row r="54">
          <cell r="F54">
            <v>0</v>
          </cell>
          <cell r="G54">
            <v>0</v>
          </cell>
          <cell r="H54">
            <v>0</v>
          </cell>
          <cell r="I54">
            <v>0</v>
          </cell>
        </row>
        <row r="55">
          <cell r="F55">
            <v>0</v>
          </cell>
          <cell r="G55">
            <v>0</v>
          </cell>
          <cell r="H55">
            <v>0</v>
          </cell>
          <cell r="I55">
            <v>0</v>
          </cell>
        </row>
        <row r="56">
          <cell r="F56">
            <v>0</v>
          </cell>
          <cell r="G56">
            <v>0</v>
          </cell>
          <cell r="H56">
            <v>0</v>
          </cell>
          <cell r="I56">
            <v>4</v>
          </cell>
        </row>
        <row r="57">
          <cell r="F57">
            <v>0</v>
          </cell>
          <cell r="G57">
            <v>0</v>
          </cell>
          <cell r="H57">
            <v>0</v>
          </cell>
          <cell r="I57">
            <v>1</v>
          </cell>
        </row>
        <row r="58">
          <cell r="F58">
            <v>0</v>
          </cell>
          <cell r="G58">
            <v>0</v>
          </cell>
          <cell r="H58">
            <v>0</v>
          </cell>
          <cell r="I58">
            <v>6</v>
          </cell>
        </row>
        <row r="59">
          <cell r="F59">
            <v>0</v>
          </cell>
          <cell r="G59">
            <v>0</v>
          </cell>
          <cell r="H59">
            <v>12</v>
          </cell>
          <cell r="I59">
            <v>56</v>
          </cell>
        </row>
        <row r="60">
          <cell r="F60">
            <v>0</v>
          </cell>
          <cell r="G60">
            <v>0</v>
          </cell>
          <cell r="H60">
            <v>0</v>
          </cell>
          <cell r="I60">
            <v>0</v>
          </cell>
        </row>
        <row r="61">
          <cell r="F61">
            <v>0</v>
          </cell>
          <cell r="G61">
            <v>0</v>
          </cell>
          <cell r="H61">
            <v>10</v>
          </cell>
          <cell r="I61">
            <v>12</v>
          </cell>
        </row>
        <row r="62">
          <cell r="F62">
            <v>0</v>
          </cell>
          <cell r="G62">
            <v>0</v>
          </cell>
          <cell r="H62">
            <v>10</v>
          </cell>
          <cell r="I62">
            <v>12</v>
          </cell>
        </row>
        <row r="63">
          <cell r="F63">
            <v>0</v>
          </cell>
          <cell r="G63">
            <v>0</v>
          </cell>
          <cell r="H63">
            <v>9</v>
          </cell>
          <cell r="I63">
            <v>28</v>
          </cell>
        </row>
        <row r="70">
          <cell r="E70">
            <v>0</v>
          </cell>
          <cell r="H70">
            <v>237</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590</v>
          </cell>
        </row>
        <row r="77">
          <cell r="E77">
            <v>0</v>
          </cell>
          <cell r="H77">
            <v>0</v>
          </cell>
        </row>
        <row r="78">
          <cell r="E78">
            <v>0</v>
          </cell>
          <cell r="H78">
            <v>1075</v>
          </cell>
        </row>
        <row r="79">
          <cell r="E79">
            <v>0</v>
          </cell>
          <cell r="H79">
            <v>412</v>
          </cell>
        </row>
        <row r="80">
          <cell r="E80">
            <v>0</v>
          </cell>
          <cell r="H80">
            <v>100</v>
          </cell>
        </row>
      </sheetData>
      <sheetData sheetId="15">
        <row r="5">
          <cell r="F5">
            <v>61.87134502923977</v>
          </cell>
        </row>
        <row r="6">
          <cell r="D6">
            <v>770</v>
          </cell>
          <cell r="E6">
            <v>504</v>
          </cell>
          <cell r="F6">
            <v>65.454545454545453</v>
          </cell>
        </row>
        <row r="7">
          <cell r="D7">
            <v>85</v>
          </cell>
          <cell r="E7">
            <v>25</v>
          </cell>
          <cell r="F7">
            <v>29.411764705882351</v>
          </cell>
        </row>
      </sheetData>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422415</v>
          </cell>
          <cell r="R12">
            <v>15362</v>
          </cell>
        </row>
        <row r="13">
          <cell r="D13">
            <v>613</v>
          </cell>
          <cell r="R13">
            <v>0</v>
          </cell>
        </row>
        <row r="14">
          <cell r="D14">
            <v>208195</v>
          </cell>
          <cell r="R14">
            <v>12952</v>
          </cell>
        </row>
        <row r="17">
          <cell r="D17">
            <v>0</v>
          </cell>
          <cell r="R17">
            <v>0</v>
          </cell>
        </row>
        <row r="20">
          <cell r="D20">
            <v>265068</v>
          </cell>
          <cell r="R20">
            <v>53748</v>
          </cell>
        </row>
        <row r="24">
          <cell r="D24">
            <v>228680</v>
          </cell>
          <cell r="R24">
            <v>22508</v>
          </cell>
        </row>
        <row r="29">
          <cell r="D29">
            <v>0</v>
          </cell>
          <cell r="R29">
            <v>0</v>
          </cell>
        </row>
        <row r="30">
          <cell r="D30">
            <v>1951</v>
          </cell>
          <cell r="R30">
            <v>0</v>
          </cell>
        </row>
        <row r="35">
          <cell r="D35">
            <v>2527</v>
          </cell>
          <cell r="R35">
            <v>2527</v>
          </cell>
        </row>
        <row r="36">
          <cell r="D36">
            <v>4131</v>
          </cell>
          <cell r="R36">
            <v>4131</v>
          </cell>
        </row>
        <row r="40">
          <cell r="D40">
            <v>55242</v>
          </cell>
          <cell r="R40">
            <v>25639</v>
          </cell>
        </row>
      </sheetData>
      <sheetData sheetId="4"/>
      <sheetData sheetId="5"/>
      <sheetData sheetId="6"/>
      <sheetData sheetId="7"/>
      <sheetData sheetId="8"/>
      <sheetData sheetId="9"/>
      <sheetData sheetId="10"/>
      <sheetData sheetId="11"/>
      <sheetData sheetId="12"/>
      <sheetData sheetId="13">
        <row r="9">
          <cell r="F9">
            <v>0</v>
          </cell>
          <cell r="G9">
            <v>279</v>
          </cell>
          <cell r="H9">
            <v>276</v>
          </cell>
          <cell r="I9">
            <v>2266</v>
          </cell>
        </row>
        <row r="10">
          <cell r="F10">
            <v>0</v>
          </cell>
          <cell r="G10">
            <v>1</v>
          </cell>
          <cell r="H10">
            <v>0</v>
          </cell>
          <cell r="I10">
            <v>1</v>
          </cell>
        </row>
        <row r="11">
          <cell r="F11">
            <v>5</v>
          </cell>
          <cell r="G11">
            <v>380</v>
          </cell>
          <cell r="H11">
            <v>320</v>
          </cell>
          <cell r="I11">
            <v>926</v>
          </cell>
        </row>
        <row r="12">
          <cell r="F12">
            <v>0</v>
          </cell>
          <cell r="G12">
            <v>0</v>
          </cell>
          <cell r="H12">
            <v>0</v>
          </cell>
          <cell r="I12">
            <v>0</v>
          </cell>
        </row>
        <row r="13">
          <cell r="F13">
            <v>3</v>
          </cell>
          <cell r="G13">
            <v>45</v>
          </cell>
          <cell r="H13">
            <v>138</v>
          </cell>
          <cell r="I13">
            <v>313</v>
          </cell>
        </row>
        <row r="14">
          <cell r="F14">
            <v>1</v>
          </cell>
          <cell r="G14">
            <v>43</v>
          </cell>
          <cell r="H14">
            <v>199</v>
          </cell>
          <cell r="I14">
            <v>344</v>
          </cell>
        </row>
        <row r="15">
          <cell r="F15">
            <v>0</v>
          </cell>
          <cell r="G15">
            <v>1</v>
          </cell>
          <cell r="H15">
            <v>1</v>
          </cell>
          <cell r="I15">
            <v>2</v>
          </cell>
        </row>
        <row r="16">
          <cell r="I16">
            <v>0</v>
          </cell>
        </row>
        <row r="17">
          <cell r="F17">
            <v>0</v>
          </cell>
          <cell r="G17">
            <v>68</v>
          </cell>
          <cell r="H17">
            <v>57</v>
          </cell>
          <cell r="I17">
            <v>163</v>
          </cell>
        </row>
        <row r="24">
          <cell r="E24">
            <v>15424</v>
          </cell>
          <cell r="H24">
            <v>15675</v>
          </cell>
        </row>
        <row r="25">
          <cell r="E25">
            <v>123</v>
          </cell>
          <cell r="H25">
            <v>26</v>
          </cell>
        </row>
        <row r="26">
          <cell r="E26">
            <v>29728</v>
          </cell>
          <cell r="H26">
            <v>13811</v>
          </cell>
        </row>
        <row r="27">
          <cell r="E27">
            <v>0</v>
          </cell>
          <cell r="H27">
            <v>0</v>
          </cell>
        </row>
        <row r="28">
          <cell r="E28">
            <v>5203</v>
          </cell>
          <cell r="H28">
            <v>8874</v>
          </cell>
        </row>
        <row r="29">
          <cell r="E29">
            <v>3785</v>
          </cell>
          <cell r="H29">
            <v>13000</v>
          </cell>
        </row>
        <row r="30">
          <cell r="E30">
            <v>502</v>
          </cell>
          <cell r="H30">
            <v>114</v>
          </cell>
        </row>
        <row r="31">
          <cell r="E31">
            <v>0</v>
          </cell>
          <cell r="H31">
            <v>0</v>
          </cell>
        </row>
        <row r="34">
          <cell r="E34">
            <v>3035</v>
          </cell>
          <cell r="H34">
            <v>3454</v>
          </cell>
        </row>
        <row r="51">
          <cell r="F51">
            <v>20</v>
          </cell>
          <cell r="G51">
            <v>5</v>
          </cell>
          <cell r="H51">
            <v>20</v>
          </cell>
          <cell r="I51">
            <v>145</v>
          </cell>
        </row>
        <row r="52">
          <cell r="F52">
            <v>0</v>
          </cell>
          <cell r="G52">
            <v>0</v>
          </cell>
          <cell r="H52">
            <v>0</v>
          </cell>
          <cell r="I52">
            <v>0</v>
          </cell>
        </row>
        <row r="53">
          <cell r="F53">
            <v>9</v>
          </cell>
          <cell r="G53">
            <v>8</v>
          </cell>
          <cell r="H53">
            <v>36</v>
          </cell>
          <cell r="I53">
            <v>107</v>
          </cell>
        </row>
        <row r="54">
          <cell r="F54">
            <v>0</v>
          </cell>
          <cell r="G54">
            <v>0</v>
          </cell>
          <cell r="H54">
            <v>0</v>
          </cell>
          <cell r="I54">
            <v>0</v>
          </cell>
        </row>
        <row r="55">
          <cell r="F55">
            <v>10</v>
          </cell>
          <cell r="G55">
            <v>15</v>
          </cell>
          <cell r="H55">
            <v>79</v>
          </cell>
          <cell r="I55">
            <v>138</v>
          </cell>
        </row>
        <row r="56">
          <cell r="F56">
            <v>13</v>
          </cell>
          <cell r="G56">
            <v>10</v>
          </cell>
          <cell r="H56">
            <v>37</v>
          </cell>
          <cell r="I56">
            <v>74</v>
          </cell>
        </row>
        <row r="57">
          <cell r="F57">
            <v>0</v>
          </cell>
          <cell r="G57">
            <v>0</v>
          </cell>
          <cell r="H57">
            <v>0</v>
          </cell>
          <cell r="I57">
            <v>0</v>
          </cell>
        </row>
        <row r="58">
          <cell r="F58">
            <v>0</v>
          </cell>
          <cell r="G58">
            <v>3</v>
          </cell>
          <cell r="H58">
            <v>11</v>
          </cell>
          <cell r="I58">
            <v>21</v>
          </cell>
        </row>
        <row r="59">
          <cell r="F59">
            <v>0</v>
          </cell>
          <cell r="G59">
            <v>20</v>
          </cell>
          <cell r="H59">
            <v>115</v>
          </cell>
          <cell r="I59">
            <v>192</v>
          </cell>
        </row>
        <row r="66">
          <cell r="E66">
            <v>2605</v>
          </cell>
          <cell r="H66">
            <v>1525</v>
          </cell>
        </row>
        <row r="67">
          <cell r="E67">
            <v>0</v>
          </cell>
          <cell r="H67">
            <v>0</v>
          </cell>
        </row>
        <row r="68">
          <cell r="E68">
            <v>2305</v>
          </cell>
          <cell r="H68">
            <v>2479</v>
          </cell>
        </row>
        <row r="69">
          <cell r="E69">
            <v>0</v>
          </cell>
          <cell r="H69">
            <v>0</v>
          </cell>
        </row>
        <row r="70">
          <cell r="E70">
            <v>3036</v>
          </cell>
          <cell r="H70">
            <v>5410</v>
          </cell>
        </row>
        <row r="71">
          <cell r="E71">
            <v>3016</v>
          </cell>
          <cell r="H71">
            <v>2962</v>
          </cell>
        </row>
        <row r="72">
          <cell r="E72">
            <v>0</v>
          </cell>
          <cell r="H72">
            <v>0</v>
          </cell>
        </row>
        <row r="73">
          <cell r="E73">
            <v>0</v>
          </cell>
          <cell r="H73">
            <v>0</v>
          </cell>
        </row>
        <row r="74">
          <cell r="E74">
            <v>286</v>
          </cell>
          <cell r="H74">
            <v>1443</v>
          </cell>
        </row>
        <row r="75">
          <cell r="E75">
            <v>0</v>
          </cell>
          <cell r="H75">
            <v>57</v>
          </cell>
        </row>
        <row r="76">
          <cell r="E76">
            <v>747</v>
          </cell>
          <cell r="H76">
            <v>8993</v>
          </cell>
        </row>
      </sheetData>
      <sheetData sheetId="14">
        <row r="5">
          <cell r="F5">
            <v>47.630592902799208</v>
          </cell>
        </row>
        <row r="6">
          <cell r="D6">
            <v>4003</v>
          </cell>
          <cell r="E6">
            <v>1810</v>
          </cell>
          <cell r="F6">
            <v>45.216087934049462</v>
          </cell>
        </row>
        <row r="7">
          <cell r="D7">
            <v>534</v>
          </cell>
          <cell r="E7">
            <v>351</v>
          </cell>
          <cell r="F7">
            <v>65.730337078651687</v>
          </cell>
        </row>
      </sheetData>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103199</v>
          </cell>
          <cell r="R12">
            <v>3494</v>
          </cell>
        </row>
        <row r="13">
          <cell r="D13">
            <v>0</v>
          </cell>
          <cell r="R13">
            <v>0</v>
          </cell>
        </row>
        <row r="14">
          <cell r="D14">
            <v>0</v>
          </cell>
          <cell r="R14">
            <v>0</v>
          </cell>
        </row>
        <row r="17">
          <cell r="D17">
            <v>9576</v>
          </cell>
          <cell r="R17">
            <v>135</v>
          </cell>
        </row>
        <row r="20">
          <cell r="D20">
            <v>0</v>
          </cell>
          <cell r="R20">
            <v>0</v>
          </cell>
        </row>
        <row r="24">
          <cell r="D24">
            <v>49671</v>
          </cell>
          <cell r="R24">
            <v>545</v>
          </cell>
        </row>
        <row r="29">
          <cell r="D29">
            <v>0</v>
          </cell>
          <cell r="R29">
            <v>0</v>
          </cell>
        </row>
        <row r="30">
          <cell r="D30">
            <v>86888</v>
          </cell>
          <cell r="R30">
            <v>3881</v>
          </cell>
        </row>
        <row r="35">
          <cell r="D35">
            <v>1571</v>
          </cell>
          <cell r="R35">
            <v>1571</v>
          </cell>
        </row>
        <row r="36">
          <cell r="D36">
            <v>2347</v>
          </cell>
          <cell r="R36">
            <v>2347</v>
          </cell>
        </row>
        <row r="40">
          <cell r="D40">
            <v>5443</v>
          </cell>
          <cell r="R40">
            <v>492</v>
          </cell>
        </row>
      </sheetData>
      <sheetData sheetId="4"/>
      <sheetData sheetId="5"/>
      <sheetData sheetId="6"/>
      <sheetData sheetId="7"/>
      <sheetData sheetId="8"/>
      <sheetData sheetId="9"/>
      <sheetData sheetId="10"/>
      <sheetData sheetId="11"/>
      <sheetData sheetId="12"/>
      <sheetData sheetId="13"/>
      <sheetData sheetId="14">
        <row r="9">
          <cell r="D9">
            <v>376</v>
          </cell>
          <cell r="F9">
            <v>8</v>
          </cell>
          <cell r="G9">
            <v>6</v>
          </cell>
          <cell r="H9">
            <v>362</v>
          </cell>
          <cell r="I9">
            <v>604</v>
          </cell>
        </row>
        <row r="10">
          <cell r="D10">
            <v>0</v>
          </cell>
          <cell r="F10">
            <v>0</v>
          </cell>
          <cell r="G10">
            <v>0</v>
          </cell>
          <cell r="H10">
            <v>0</v>
          </cell>
          <cell r="I10">
            <v>0</v>
          </cell>
        </row>
        <row r="11">
          <cell r="D11">
            <v>0</v>
          </cell>
          <cell r="F11">
            <v>0</v>
          </cell>
          <cell r="G11">
            <v>0</v>
          </cell>
          <cell r="H11">
            <v>0</v>
          </cell>
          <cell r="I11">
            <v>0</v>
          </cell>
        </row>
        <row r="12">
          <cell r="D12">
            <v>57</v>
          </cell>
          <cell r="F12">
            <v>2</v>
          </cell>
          <cell r="G12">
            <v>0</v>
          </cell>
          <cell r="H12">
            <v>55</v>
          </cell>
          <cell r="I12">
            <v>63</v>
          </cell>
        </row>
        <row r="13">
          <cell r="D13">
            <v>0</v>
          </cell>
          <cell r="F13">
            <v>0</v>
          </cell>
          <cell r="G13">
            <v>0</v>
          </cell>
          <cell r="H13">
            <v>0</v>
          </cell>
          <cell r="I13">
            <v>0</v>
          </cell>
        </row>
        <row r="14">
          <cell r="D14">
            <v>71</v>
          </cell>
          <cell r="F14">
            <v>0</v>
          </cell>
          <cell r="G14">
            <v>1</v>
          </cell>
          <cell r="H14">
            <v>70</v>
          </cell>
          <cell r="I14">
            <v>99</v>
          </cell>
        </row>
        <row r="15">
          <cell r="D15">
            <v>277</v>
          </cell>
          <cell r="F15">
            <v>8</v>
          </cell>
          <cell r="G15">
            <v>29</v>
          </cell>
          <cell r="H15">
            <v>240</v>
          </cell>
          <cell r="I15">
            <v>295</v>
          </cell>
        </row>
        <row r="16">
          <cell r="F16">
            <v>0</v>
          </cell>
          <cell r="G16">
            <v>0</v>
          </cell>
          <cell r="H16">
            <v>0</v>
          </cell>
          <cell r="I16">
            <v>0</v>
          </cell>
        </row>
        <row r="17">
          <cell r="D17">
            <v>0</v>
          </cell>
          <cell r="I17">
            <v>0</v>
          </cell>
        </row>
        <row r="18">
          <cell r="I18">
            <v>0</v>
          </cell>
        </row>
        <row r="19">
          <cell r="D19">
            <v>59</v>
          </cell>
          <cell r="F19">
            <v>0</v>
          </cell>
          <cell r="G19">
            <v>0</v>
          </cell>
          <cell r="H19">
            <v>59</v>
          </cell>
          <cell r="I19">
            <v>99</v>
          </cell>
        </row>
        <row r="26">
          <cell r="D26">
            <v>20786</v>
          </cell>
          <cell r="E26">
            <v>2517</v>
          </cell>
          <cell r="H26">
            <v>18269</v>
          </cell>
        </row>
        <row r="27">
          <cell r="D27">
            <v>0</v>
          </cell>
          <cell r="E27">
            <v>0</v>
          </cell>
          <cell r="H27">
            <v>0</v>
          </cell>
        </row>
        <row r="28">
          <cell r="D28">
            <v>0</v>
          </cell>
          <cell r="E28">
            <v>0</v>
          </cell>
          <cell r="H28">
            <v>0</v>
          </cell>
        </row>
        <row r="29">
          <cell r="D29">
            <v>2636</v>
          </cell>
          <cell r="E29">
            <v>166</v>
          </cell>
          <cell r="H29">
            <v>2470</v>
          </cell>
        </row>
        <row r="30">
          <cell r="D30">
            <v>0</v>
          </cell>
          <cell r="E30">
            <v>0</v>
          </cell>
          <cell r="H30">
            <v>0</v>
          </cell>
        </row>
        <row r="31">
          <cell r="D31">
            <v>10673</v>
          </cell>
          <cell r="E31">
            <v>337</v>
          </cell>
          <cell r="H31">
            <v>10336</v>
          </cell>
        </row>
        <row r="32">
          <cell r="D32">
            <v>31068</v>
          </cell>
          <cell r="E32">
            <v>10885</v>
          </cell>
          <cell r="H32">
            <v>20183</v>
          </cell>
        </row>
        <row r="33">
          <cell r="E33">
            <v>0</v>
          </cell>
          <cell r="H33">
            <v>0</v>
          </cell>
        </row>
        <row r="34">
          <cell r="D34">
            <v>0</v>
          </cell>
        </row>
        <row r="36">
          <cell r="D36">
            <v>1274</v>
          </cell>
          <cell r="E36">
            <v>0</v>
          </cell>
          <cell r="H36">
            <v>1274</v>
          </cell>
        </row>
        <row r="53">
          <cell r="D53">
            <v>15</v>
          </cell>
          <cell r="F53">
            <v>0</v>
          </cell>
          <cell r="G53">
            <v>0</v>
          </cell>
          <cell r="H53">
            <v>15</v>
          </cell>
          <cell r="I53">
            <v>62</v>
          </cell>
        </row>
        <row r="54">
          <cell r="D54">
            <v>0</v>
          </cell>
          <cell r="F54">
            <v>0</v>
          </cell>
          <cell r="G54">
            <v>0</v>
          </cell>
          <cell r="H54">
            <v>0</v>
          </cell>
          <cell r="I54">
            <v>0</v>
          </cell>
        </row>
        <row r="55">
          <cell r="D55">
            <v>0</v>
          </cell>
          <cell r="F55">
            <v>0</v>
          </cell>
          <cell r="G55">
            <v>0</v>
          </cell>
          <cell r="H55">
            <v>0</v>
          </cell>
          <cell r="I55">
            <v>0</v>
          </cell>
        </row>
        <row r="56">
          <cell r="D56">
            <v>0</v>
          </cell>
          <cell r="F56">
            <v>0</v>
          </cell>
          <cell r="G56">
            <v>0</v>
          </cell>
          <cell r="H56">
            <v>0</v>
          </cell>
          <cell r="I56">
            <v>1</v>
          </cell>
        </row>
        <row r="57">
          <cell r="D57">
            <v>0</v>
          </cell>
          <cell r="F57">
            <v>0</v>
          </cell>
          <cell r="G57">
            <v>0</v>
          </cell>
          <cell r="H57">
            <v>0</v>
          </cell>
          <cell r="I57">
            <v>0</v>
          </cell>
        </row>
        <row r="58">
          <cell r="D58">
            <v>0</v>
          </cell>
          <cell r="F58">
            <v>0</v>
          </cell>
          <cell r="G58">
            <v>0</v>
          </cell>
          <cell r="H58">
            <v>0</v>
          </cell>
          <cell r="I58">
            <v>6</v>
          </cell>
        </row>
        <row r="59">
          <cell r="D59">
            <v>15</v>
          </cell>
          <cell r="F59">
            <v>0</v>
          </cell>
          <cell r="G59">
            <v>0</v>
          </cell>
          <cell r="H59">
            <v>15</v>
          </cell>
          <cell r="I59">
            <v>57</v>
          </cell>
        </row>
        <row r="60">
          <cell r="F60">
            <v>0</v>
          </cell>
          <cell r="G60">
            <v>0</v>
          </cell>
          <cell r="H60">
            <v>0</v>
          </cell>
          <cell r="I60">
            <v>0</v>
          </cell>
        </row>
        <row r="61">
          <cell r="D61">
            <v>10</v>
          </cell>
          <cell r="F61">
            <v>0</v>
          </cell>
          <cell r="G61">
            <v>0</v>
          </cell>
          <cell r="H61">
            <v>10</v>
          </cell>
          <cell r="I61">
            <v>12</v>
          </cell>
        </row>
        <row r="62">
          <cell r="F62">
            <v>0</v>
          </cell>
          <cell r="G62">
            <v>0</v>
          </cell>
          <cell r="H62">
            <v>10</v>
          </cell>
          <cell r="I62">
            <v>12</v>
          </cell>
        </row>
        <row r="63">
          <cell r="D63">
            <v>8</v>
          </cell>
          <cell r="F63">
            <v>0</v>
          </cell>
          <cell r="G63">
            <v>0</v>
          </cell>
          <cell r="H63">
            <v>8</v>
          </cell>
          <cell r="I63">
            <v>15</v>
          </cell>
        </row>
        <row r="70">
          <cell r="D70">
            <v>335</v>
          </cell>
          <cell r="E70">
            <v>0</v>
          </cell>
          <cell r="H70">
            <v>335</v>
          </cell>
        </row>
        <row r="71">
          <cell r="D71">
            <v>0</v>
          </cell>
          <cell r="E71">
            <v>0</v>
          </cell>
          <cell r="H71">
            <v>0</v>
          </cell>
        </row>
        <row r="72">
          <cell r="D72">
            <v>0</v>
          </cell>
          <cell r="E72">
            <v>0</v>
          </cell>
          <cell r="H72">
            <v>0</v>
          </cell>
        </row>
        <row r="73">
          <cell r="D73">
            <v>0</v>
          </cell>
          <cell r="E73">
            <v>0</v>
          </cell>
          <cell r="H73">
            <v>0</v>
          </cell>
        </row>
        <row r="74">
          <cell r="D74">
            <v>0</v>
          </cell>
          <cell r="E74">
            <v>0</v>
          </cell>
          <cell r="H74">
            <v>0</v>
          </cell>
        </row>
        <row r="75">
          <cell r="D75">
            <v>0</v>
          </cell>
          <cell r="E75">
            <v>0</v>
          </cell>
          <cell r="H75">
            <v>0</v>
          </cell>
        </row>
        <row r="76">
          <cell r="D76">
            <v>633</v>
          </cell>
          <cell r="E76">
            <v>0</v>
          </cell>
          <cell r="H76">
            <v>633</v>
          </cell>
        </row>
        <row r="77">
          <cell r="E77">
            <v>0</v>
          </cell>
          <cell r="H77">
            <v>0</v>
          </cell>
        </row>
        <row r="78">
          <cell r="D78">
            <v>1100</v>
          </cell>
          <cell r="E78">
            <v>0</v>
          </cell>
          <cell r="H78">
            <v>1100</v>
          </cell>
        </row>
        <row r="79">
          <cell r="E79">
            <v>0</v>
          </cell>
          <cell r="H79">
            <v>440</v>
          </cell>
        </row>
        <row r="80">
          <cell r="D80">
            <v>93</v>
          </cell>
          <cell r="E80">
            <v>0</v>
          </cell>
          <cell r="H80">
            <v>93</v>
          </cell>
        </row>
        <row r="97">
          <cell r="D97">
            <v>391</v>
          </cell>
        </row>
        <row r="98">
          <cell r="D98">
            <v>0</v>
          </cell>
        </row>
        <row r="99">
          <cell r="D99">
            <v>0</v>
          </cell>
        </row>
        <row r="100">
          <cell r="D100">
            <v>57</v>
          </cell>
        </row>
        <row r="101">
          <cell r="D101">
            <v>0</v>
          </cell>
        </row>
        <row r="102">
          <cell r="D102">
            <v>71</v>
          </cell>
        </row>
        <row r="103">
          <cell r="D103">
            <v>292</v>
          </cell>
        </row>
        <row r="105">
          <cell r="D105">
            <v>10</v>
          </cell>
        </row>
        <row r="107">
          <cell r="D107">
            <v>67</v>
          </cell>
        </row>
        <row r="114">
          <cell r="D114">
            <v>21121</v>
          </cell>
        </row>
        <row r="115">
          <cell r="D115">
            <v>0</v>
          </cell>
        </row>
        <row r="116">
          <cell r="D116">
            <v>0</v>
          </cell>
        </row>
        <row r="117">
          <cell r="D117">
            <v>2636</v>
          </cell>
        </row>
        <row r="118">
          <cell r="D118">
            <v>0</v>
          </cell>
        </row>
        <row r="119">
          <cell r="D119">
            <v>10673</v>
          </cell>
        </row>
        <row r="120">
          <cell r="D120">
            <v>31701</v>
          </cell>
        </row>
        <row r="122">
          <cell r="D122">
            <v>1100</v>
          </cell>
        </row>
        <row r="124">
          <cell r="D124">
            <v>1367</v>
          </cell>
        </row>
      </sheetData>
      <sheetData sheetId="15">
        <row r="5">
          <cell r="F5">
            <v>62.923976608187132</v>
          </cell>
        </row>
        <row r="6">
          <cell r="D6">
            <v>768</v>
          </cell>
          <cell r="E6">
            <v>510</v>
          </cell>
          <cell r="F6">
            <v>66.40625</v>
          </cell>
        </row>
        <row r="7">
          <cell r="D7">
            <v>87</v>
          </cell>
          <cell r="E7">
            <v>28</v>
          </cell>
          <cell r="F7">
            <v>32.183908045977013</v>
          </cell>
        </row>
      </sheetData>
      <sheetData sheetId="16"/>
      <sheetData sheetId="17"/>
      <sheetData sheetId="18"/>
      <sheetData sheetId="19"/>
      <sheetData sheetId="20"/>
      <sheetData sheetId="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64396</v>
          </cell>
          <cell r="R12">
            <v>3226</v>
          </cell>
        </row>
        <row r="14">
          <cell r="D14">
            <v>0</v>
          </cell>
          <cell r="R14">
            <v>0</v>
          </cell>
        </row>
        <row r="17">
          <cell r="D17">
            <v>47415</v>
          </cell>
          <cell r="R17">
            <v>1524</v>
          </cell>
        </row>
        <row r="20">
          <cell r="D20">
            <v>0</v>
          </cell>
          <cell r="R20">
            <v>0</v>
          </cell>
        </row>
        <row r="24">
          <cell r="D24">
            <v>35111</v>
          </cell>
          <cell r="R24">
            <v>2552</v>
          </cell>
        </row>
        <row r="29">
          <cell r="D29">
            <v>1910</v>
          </cell>
          <cell r="R29">
            <v>686</v>
          </cell>
        </row>
        <row r="30">
          <cell r="D30">
            <v>4777</v>
          </cell>
          <cell r="R30">
            <v>732</v>
          </cell>
        </row>
        <row r="35">
          <cell r="D35">
            <v>442</v>
          </cell>
          <cell r="R35">
            <v>442</v>
          </cell>
        </row>
        <row r="36">
          <cell r="D36">
            <v>698</v>
          </cell>
          <cell r="R36">
            <v>698</v>
          </cell>
        </row>
        <row r="40">
          <cell r="D40">
            <v>8070</v>
          </cell>
          <cell r="R40">
            <v>2223</v>
          </cell>
        </row>
      </sheetData>
      <sheetData sheetId="4"/>
      <sheetData sheetId="5"/>
      <sheetData sheetId="6"/>
      <sheetData sheetId="7"/>
      <sheetData sheetId="8"/>
      <sheetData sheetId="9"/>
      <sheetData sheetId="10"/>
      <sheetData sheetId="11"/>
      <sheetData sheetId="12"/>
      <sheetData sheetId="13">
        <row r="9">
          <cell r="F9">
            <v>1</v>
          </cell>
          <cell r="G9">
            <v>5</v>
          </cell>
          <cell r="H9">
            <v>423</v>
          </cell>
          <cell r="I9">
            <v>429</v>
          </cell>
        </row>
        <row r="12">
          <cell r="F12">
            <v>6</v>
          </cell>
          <cell r="G12">
            <v>16</v>
          </cell>
          <cell r="H12">
            <v>68</v>
          </cell>
          <cell r="I12">
            <v>220</v>
          </cell>
        </row>
        <row r="14">
          <cell r="F14">
            <v>4</v>
          </cell>
          <cell r="G14">
            <v>3</v>
          </cell>
          <cell r="H14">
            <v>11</v>
          </cell>
          <cell r="I14">
            <v>88</v>
          </cell>
        </row>
        <row r="15">
          <cell r="F15">
            <v>3</v>
          </cell>
          <cell r="G15">
            <v>5</v>
          </cell>
          <cell r="H15">
            <v>7</v>
          </cell>
          <cell r="I15">
            <v>18</v>
          </cell>
        </row>
        <row r="17">
          <cell r="F17">
            <v>59</v>
          </cell>
          <cell r="G17">
            <v>0</v>
          </cell>
          <cell r="H17">
            <v>0</v>
          </cell>
          <cell r="I17">
            <v>59</v>
          </cell>
        </row>
        <row r="24">
          <cell r="E24">
            <v>1012</v>
          </cell>
          <cell r="H24">
            <v>51995</v>
          </cell>
        </row>
        <row r="25">
          <cell r="E25">
            <v>0</v>
          </cell>
        </row>
        <row r="26">
          <cell r="E26">
            <v>0</v>
          </cell>
        </row>
        <row r="27">
          <cell r="E27">
            <v>2348</v>
          </cell>
          <cell r="H27">
            <v>7550</v>
          </cell>
        </row>
        <row r="28">
          <cell r="E28">
            <v>0</v>
          </cell>
        </row>
        <row r="29">
          <cell r="E29">
            <v>839</v>
          </cell>
          <cell r="H29">
            <v>1535</v>
          </cell>
        </row>
        <row r="30">
          <cell r="E30">
            <v>2166</v>
          </cell>
          <cell r="H30">
            <v>1620</v>
          </cell>
        </row>
        <row r="31">
          <cell r="E31">
            <v>424</v>
          </cell>
          <cell r="H31">
            <v>741</v>
          </cell>
        </row>
        <row r="34">
          <cell r="E34">
            <v>5847</v>
          </cell>
          <cell r="H34">
            <v>0</v>
          </cell>
        </row>
        <row r="51">
          <cell r="F51">
            <v>29</v>
          </cell>
          <cell r="G51">
            <v>1</v>
          </cell>
          <cell r="H51">
            <v>5</v>
          </cell>
          <cell r="I51">
            <v>35</v>
          </cell>
        </row>
        <row r="54">
          <cell r="F54">
            <v>4</v>
          </cell>
          <cell r="G54">
            <v>0</v>
          </cell>
          <cell r="H54">
            <v>3</v>
          </cell>
          <cell r="I54">
            <v>10</v>
          </cell>
        </row>
        <row r="56">
          <cell r="F56">
            <v>1</v>
          </cell>
          <cell r="G56">
            <v>0</v>
          </cell>
          <cell r="H56">
            <v>4</v>
          </cell>
          <cell r="I56">
            <v>9</v>
          </cell>
        </row>
        <row r="57">
          <cell r="F57">
            <v>12</v>
          </cell>
          <cell r="G57">
            <v>0</v>
          </cell>
          <cell r="H57">
            <v>0</v>
          </cell>
          <cell r="I57">
            <v>12</v>
          </cell>
        </row>
        <row r="58">
          <cell r="F58">
            <v>1</v>
          </cell>
          <cell r="G58">
            <v>2</v>
          </cell>
          <cell r="H58">
            <v>2</v>
          </cell>
          <cell r="I58">
            <v>5</v>
          </cell>
        </row>
        <row r="59">
          <cell r="F59">
            <v>22</v>
          </cell>
          <cell r="G59">
            <v>0</v>
          </cell>
          <cell r="H59">
            <v>0</v>
          </cell>
          <cell r="I59">
            <v>22</v>
          </cell>
        </row>
        <row r="66">
          <cell r="E66">
            <v>2774</v>
          </cell>
          <cell r="H66">
            <v>413</v>
          </cell>
        </row>
        <row r="67">
          <cell r="E67">
            <v>0</v>
          </cell>
        </row>
        <row r="68">
          <cell r="E68">
            <v>0</v>
          </cell>
        </row>
        <row r="69">
          <cell r="E69">
            <v>810</v>
          </cell>
          <cell r="H69">
            <v>258</v>
          </cell>
        </row>
        <row r="70">
          <cell r="E70">
            <v>0</v>
          </cell>
        </row>
        <row r="71">
          <cell r="E71">
            <v>136</v>
          </cell>
          <cell r="H71">
            <v>603</v>
          </cell>
        </row>
        <row r="72">
          <cell r="E72">
            <v>1418</v>
          </cell>
          <cell r="H72">
            <v>0</v>
          </cell>
        </row>
        <row r="73">
          <cell r="E73">
            <v>686</v>
          </cell>
          <cell r="H73">
            <v>0</v>
          </cell>
        </row>
        <row r="74">
          <cell r="E74">
            <v>792</v>
          </cell>
          <cell r="H74">
            <v>201</v>
          </cell>
        </row>
        <row r="75">
          <cell r="E75">
            <v>308</v>
          </cell>
          <cell r="H75">
            <v>124</v>
          </cell>
        </row>
        <row r="76">
          <cell r="E76">
            <v>2223</v>
          </cell>
          <cell r="H76">
            <v>0</v>
          </cell>
        </row>
      </sheetData>
      <sheetData sheetId="14">
        <row r="5">
          <cell r="F5">
            <v>76.80355160932298</v>
          </cell>
        </row>
        <row r="6">
          <cell r="D6">
            <v>808</v>
          </cell>
          <cell r="E6">
            <v>608</v>
          </cell>
          <cell r="F6">
            <v>75.247524752475243</v>
          </cell>
        </row>
        <row r="7">
          <cell r="D7">
            <v>93</v>
          </cell>
          <cell r="E7">
            <v>84</v>
          </cell>
          <cell r="F7">
            <v>90.322580645161295</v>
          </cell>
        </row>
      </sheetData>
      <sheetData sheetId="15"/>
      <sheetData sheetId="16"/>
      <sheetData sheetId="17"/>
      <sheetData sheetId="18"/>
      <sheetData sheetId="1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64104</v>
          </cell>
          <cell r="R12">
            <v>3323</v>
          </cell>
        </row>
        <row r="13">
          <cell r="D13">
            <v>0</v>
          </cell>
          <cell r="R13">
            <v>0</v>
          </cell>
        </row>
        <row r="14">
          <cell r="D14">
            <v>0</v>
          </cell>
          <cell r="R14">
            <v>0</v>
          </cell>
        </row>
        <row r="17">
          <cell r="D17">
            <v>46768</v>
          </cell>
          <cell r="R17">
            <v>1586</v>
          </cell>
        </row>
        <row r="20">
          <cell r="D20">
            <v>0</v>
          </cell>
          <cell r="R20">
            <v>0</v>
          </cell>
        </row>
        <row r="24">
          <cell r="D24">
            <v>34855</v>
          </cell>
          <cell r="R24">
            <v>2622</v>
          </cell>
        </row>
        <row r="29">
          <cell r="D29">
            <v>2298</v>
          </cell>
          <cell r="R29">
            <v>879</v>
          </cell>
        </row>
        <row r="30">
          <cell r="D30">
            <v>6696</v>
          </cell>
          <cell r="R30">
            <v>939</v>
          </cell>
        </row>
        <row r="35">
          <cell r="D35">
            <v>431</v>
          </cell>
          <cell r="R35">
            <v>431</v>
          </cell>
        </row>
        <row r="36">
          <cell r="D36">
            <v>733</v>
          </cell>
          <cell r="R36">
            <v>733</v>
          </cell>
        </row>
        <row r="40">
          <cell r="D40">
            <v>7599</v>
          </cell>
          <cell r="R40">
            <v>2228</v>
          </cell>
        </row>
      </sheetData>
      <sheetData sheetId="4"/>
      <sheetData sheetId="5"/>
      <sheetData sheetId="6"/>
      <sheetData sheetId="7"/>
      <sheetData sheetId="8"/>
      <sheetData sheetId="9"/>
      <sheetData sheetId="10"/>
      <sheetData sheetId="11"/>
      <sheetData sheetId="12"/>
      <sheetData sheetId="13">
        <row r="9">
          <cell r="F9">
            <v>1</v>
          </cell>
          <cell r="G9">
            <v>4</v>
          </cell>
          <cell r="H9">
            <v>423</v>
          </cell>
          <cell r="I9">
            <v>428</v>
          </cell>
        </row>
        <row r="10">
          <cell r="F10">
            <v>0</v>
          </cell>
          <cell r="G10">
            <v>0</v>
          </cell>
          <cell r="H10">
            <v>0</v>
          </cell>
          <cell r="I10">
            <v>0</v>
          </cell>
        </row>
        <row r="11">
          <cell r="F11">
            <v>0</v>
          </cell>
          <cell r="G11">
            <v>0</v>
          </cell>
          <cell r="H11">
            <v>0</v>
          </cell>
          <cell r="I11">
            <v>0</v>
          </cell>
        </row>
        <row r="12">
          <cell r="F12">
            <v>4</v>
          </cell>
          <cell r="G12">
            <v>22</v>
          </cell>
          <cell r="H12">
            <v>57</v>
          </cell>
          <cell r="I12">
            <v>215</v>
          </cell>
        </row>
        <row r="13">
          <cell r="F13">
            <v>0</v>
          </cell>
          <cell r="G13">
            <v>0</v>
          </cell>
          <cell r="H13">
            <v>0</v>
          </cell>
          <cell r="I13">
            <v>0</v>
          </cell>
        </row>
        <row r="14">
          <cell r="F14">
            <v>3</v>
          </cell>
          <cell r="G14">
            <v>5</v>
          </cell>
          <cell r="H14">
            <v>8</v>
          </cell>
          <cell r="I14">
            <v>88</v>
          </cell>
        </row>
        <row r="15">
          <cell r="F15">
            <v>4</v>
          </cell>
          <cell r="G15">
            <v>9</v>
          </cell>
          <cell r="H15">
            <v>9</v>
          </cell>
          <cell r="I15">
            <v>25</v>
          </cell>
        </row>
        <row r="16">
          <cell r="F16">
            <v>4</v>
          </cell>
          <cell r="G16">
            <v>1</v>
          </cell>
          <cell r="H16">
            <v>6</v>
          </cell>
          <cell r="I16">
            <v>11</v>
          </cell>
        </row>
        <row r="17">
          <cell r="I17">
            <v>0</v>
          </cell>
        </row>
        <row r="18">
          <cell r="I18">
            <v>0</v>
          </cell>
        </row>
        <row r="19">
          <cell r="F19">
            <v>59</v>
          </cell>
          <cell r="G19">
            <v>0</v>
          </cell>
          <cell r="H19">
            <v>0</v>
          </cell>
          <cell r="I19">
            <v>59</v>
          </cell>
        </row>
        <row r="26">
          <cell r="E26">
            <v>739</v>
          </cell>
          <cell r="H26">
            <v>51373</v>
          </cell>
        </row>
        <row r="27">
          <cell r="E27">
            <v>0</v>
          </cell>
          <cell r="H27">
            <v>0</v>
          </cell>
        </row>
        <row r="28">
          <cell r="E28">
            <v>0</v>
          </cell>
          <cell r="H28">
            <v>0</v>
          </cell>
        </row>
        <row r="29">
          <cell r="E29">
            <v>2589</v>
          </cell>
          <cell r="H29">
            <v>6553</v>
          </cell>
        </row>
        <row r="30">
          <cell r="E30">
            <v>0</v>
          </cell>
          <cell r="H30">
            <v>0</v>
          </cell>
        </row>
        <row r="31">
          <cell r="E31">
            <v>1038</v>
          </cell>
          <cell r="H31">
            <v>1096</v>
          </cell>
        </row>
        <row r="32">
          <cell r="E32">
            <v>2759</v>
          </cell>
          <cell r="H32">
            <v>1745</v>
          </cell>
        </row>
        <row r="33">
          <cell r="E33">
            <v>490</v>
          </cell>
          <cell r="H33">
            <v>866</v>
          </cell>
        </row>
        <row r="36">
          <cell r="E36">
            <v>5371</v>
          </cell>
          <cell r="H36">
            <v>0</v>
          </cell>
        </row>
        <row r="53">
          <cell r="F53">
            <v>27</v>
          </cell>
          <cell r="G53">
            <v>2</v>
          </cell>
          <cell r="H53">
            <v>4</v>
          </cell>
          <cell r="I53">
            <v>33</v>
          </cell>
        </row>
        <row r="54">
          <cell r="F54">
            <v>0</v>
          </cell>
          <cell r="G54">
            <v>0</v>
          </cell>
          <cell r="H54">
            <v>0</v>
          </cell>
          <cell r="I54">
            <v>0</v>
          </cell>
        </row>
        <row r="55">
          <cell r="F55">
            <v>0</v>
          </cell>
          <cell r="G55">
            <v>0</v>
          </cell>
          <cell r="H55">
            <v>0</v>
          </cell>
          <cell r="I55">
            <v>0</v>
          </cell>
        </row>
        <row r="56">
          <cell r="F56">
            <v>5</v>
          </cell>
          <cell r="G56">
            <v>1</v>
          </cell>
          <cell r="H56">
            <v>3</v>
          </cell>
          <cell r="I56">
            <v>10</v>
          </cell>
        </row>
        <row r="57">
          <cell r="F57">
            <v>0</v>
          </cell>
          <cell r="G57">
            <v>0</v>
          </cell>
          <cell r="H57">
            <v>0</v>
          </cell>
          <cell r="I57">
            <v>0</v>
          </cell>
        </row>
        <row r="58">
          <cell r="F58">
            <v>0</v>
          </cell>
          <cell r="G58">
            <v>1</v>
          </cell>
          <cell r="H58">
            <v>4</v>
          </cell>
          <cell r="I58">
            <v>9</v>
          </cell>
        </row>
        <row r="59">
          <cell r="F59">
            <v>13</v>
          </cell>
          <cell r="G59">
            <v>1</v>
          </cell>
          <cell r="H59">
            <v>0</v>
          </cell>
          <cell r="I59">
            <v>14</v>
          </cell>
        </row>
        <row r="60">
          <cell r="F60">
            <v>11</v>
          </cell>
          <cell r="G60">
            <v>1</v>
          </cell>
          <cell r="H60">
            <v>0</v>
          </cell>
          <cell r="I60">
            <v>12</v>
          </cell>
        </row>
        <row r="61">
          <cell r="F61">
            <v>1</v>
          </cell>
          <cell r="G61">
            <v>2</v>
          </cell>
          <cell r="H61">
            <v>2</v>
          </cell>
          <cell r="I61">
            <v>5</v>
          </cell>
        </row>
        <row r="62">
          <cell r="F62">
            <v>1</v>
          </cell>
          <cell r="G62">
            <v>2</v>
          </cell>
          <cell r="H62">
            <v>2</v>
          </cell>
          <cell r="I62">
            <v>5</v>
          </cell>
        </row>
        <row r="63">
          <cell r="F63">
            <v>22</v>
          </cell>
          <cell r="G63">
            <v>0</v>
          </cell>
          <cell r="H63">
            <v>0</v>
          </cell>
          <cell r="I63">
            <v>22</v>
          </cell>
        </row>
        <row r="70">
          <cell r="E70">
            <v>2969</v>
          </cell>
          <cell r="H70">
            <v>354</v>
          </cell>
        </row>
        <row r="71">
          <cell r="E71">
            <v>0</v>
          </cell>
          <cell r="H71">
            <v>0</v>
          </cell>
        </row>
        <row r="72">
          <cell r="E72">
            <v>0</v>
          </cell>
          <cell r="H72">
            <v>0</v>
          </cell>
        </row>
        <row r="73">
          <cell r="E73">
            <v>1025</v>
          </cell>
          <cell r="H73">
            <v>267</v>
          </cell>
        </row>
        <row r="74">
          <cell r="E74">
            <v>0</v>
          </cell>
          <cell r="H74">
            <v>0</v>
          </cell>
        </row>
        <row r="75">
          <cell r="E75">
            <v>178</v>
          </cell>
          <cell r="H75">
            <v>696</v>
          </cell>
        </row>
        <row r="76">
          <cell r="E76">
            <v>1818</v>
          </cell>
          <cell r="H76">
            <v>0</v>
          </cell>
        </row>
        <row r="77">
          <cell r="E77">
            <v>879</v>
          </cell>
          <cell r="H77">
            <v>0</v>
          </cell>
        </row>
        <row r="78">
          <cell r="E78">
            <v>823</v>
          </cell>
          <cell r="H78">
            <v>198</v>
          </cell>
        </row>
        <row r="79">
          <cell r="E79">
            <v>316</v>
          </cell>
          <cell r="H79">
            <v>115</v>
          </cell>
        </row>
        <row r="80">
          <cell r="E80">
            <v>2228</v>
          </cell>
          <cell r="H80">
            <v>0</v>
          </cell>
        </row>
      </sheetData>
      <sheetData sheetId="14">
        <row r="5">
          <cell r="F5">
            <v>76.940133037694011</v>
          </cell>
        </row>
        <row r="6">
          <cell r="D6">
            <v>809</v>
          </cell>
          <cell r="E6">
            <v>606</v>
          </cell>
          <cell r="F6">
            <v>74.90729295426452</v>
          </cell>
        </row>
        <row r="7">
          <cell r="D7">
            <v>93</v>
          </cell>
          <cell r="E7">
            <v>88</v>
          </cell>
          <cell r="F7">
            <v>94.623655913978496</v>
          </cell>
        </row>
      </sheetData>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64576</v>
          </cell>
          <cell r="R12">
            <v>3311</v>
          </cell>
        </row>
        <row r="14">
          <cell r="D14">
            <v>0</v>
          </cell>
          <cell r="R14">
            <v>0</v>
          </cell>
        </row>
        <row r="17">
          <cell r="D17">
            <v>45629</v>
          </cell>
          <cell r="R17">
            <v>1471</v>
          </cell>
        </row>
        <row r="20">
          <cell r="D20">
            <v>0</v>
          </cell>
          <cell r="R20">
            <v>0</v>
          </cell>
        </row>
        <row r="24">
          <cell r="D24">
            <v>34659</v>
          </cell>
          <cell r="R24">
            <v>2743</v>
          </cell>
        </row>
        <row r="29">
          <cell r="D29">
            <v>2868</v>
          </cell>
          <cell r="R29">
            <v>1174</v>
          </cell>
        </row>
        <row r="30">
          <cell r="D30">
            <v>8691</v>
          </cell>
          <cell r="R30">
            <v>1374</v>
          </cell>
        </row>
        <row r="35">
          <cell r="D35">
            <v>471</v>
          </cell>
          <cell r="R35">
            <v>471</v>
          </cell>
        </row>
        <row r="36">
          <cell r="D36">
            <v>729</v>
          </cell>
          <cell r="R36">
            <v>729</v>
          </cell>
        </row>
        <row r="40">
          <cell r="D40">
            <v>7309</v>
          </cell>
          <cell r="R40">
            <v>2227</v>
          </cell>
        </row>
      </sheetData>
      <sheetData sheetId="4"/>
      <sheetData sheetId="5"/>
      <sheetData sheetId="6"/>
      <sheetData sheetId="7"/>
      <sheetData sheetId="8"/>
      <sheetData sheetId="9"/>
      <sheetData sheetId="10"/>
      <sheetData sheetId="11"/>
      <sheetData sheetId="12"/>
      <sheetData sheetId="13"/>
      <sheetData sheetId="14">
        <row r="9">
          <cell r="F9">
            <v>2</v>
          </cell>
          <cell r="G9">
            <v>2</v>
          </cell>
          <cell r="H9">
            <v>423</v>
          </cell>
          <cell r="I9">
            <v>427</v>
          </cell>
        </row>
        <row r="10">
          <cell r="F10">
            <v>0</v>
          </cell>
          <cell r="G10">
            <v>0</v>
          </cell>
          <cell r="H10">
            <v>0</v>
          </cell>
          <cell r="I10">
            <v>0</v>
          </cell>
        </row>
        <row r="11">
          <cell r="F11">
            <v>0</v>
          </cell>
          <cell r="G11">
            <v>0</v>
          </cell>
          <cell r="H11">
            <v>0</v>
          </cell>
          <cell r="I11">
            <v>0</v>
          </cell>
        </row>
        <row r="12">
          <cell r="F12">
            <v>6</v>
          </cell>
          <cell r="G12">
            <v>25</v>
          </cell>
          <cell r="H12">
            <v>49</v>
          </cell>
          <cell r="I12">
            <v>209</v>
          </cell>
        </row>
        <row r="13">
          <cell r="F13">
            <v>0</v>
          </cell>
          <cell r="G13">
            <v>0</v>
          </cell>
          <cell r="H13">
            <v>0</v>
          </cell>
          <cell r="I13">
            <v>0</v>
          </cell>
        </row>
        <row r="14">
          <cell r="F14">
            <v>4</v>
          </cell>
          <cell r="G14">
            <v>5</v>
          </cell>
          <cell r="H14">
            <v>7</v>
          </cell>
          <cell r="I14">
            <v>88</v>
          </cell>
        </row>
        <row r="15">
          <cell r="F15">
            <v>2</v>
          </cell>
          <cell r="G15">
            <v>18</v>
          </cell>
          <cell r="H15">
            <v>8</v>
          </cell>
          <cell r="I15">
            <v>32</v>
          </cell>
        </row>
        <row r="16">
          <cell r="F16">
            <v>2</v>
          </cell>
          <cell r="G16">
            <v>5</v>
          </cell>
          <cell r="H16">
            <v>7</v>
          </cell>
          <cell r="I16">
            <v>14</v>
          </cell>
        </row>
        <row r="17">
          <cell r="I17">
            <v>0</v>
          </cell>
        </row>
        <row r="18">
          <cell r="I18">
            <v>0</v>
          </cell>
        </row>
        <row r="19">
          <cell r="F19">
            <v>59</v>
          </cell>
          <cell r="G19">
            <v>0</v>
          </cell>
          <cell r="H19">
            <v>0</v>
          </cell>
          <cell r="I19">
            <v>59</v>
          </cell>
        </row>
        <row r="26">
          <cell r="E26">
            <v>691</v>
          </cell>
          <cell r="H26">
            <v>51032</v>
          </cell>
        </row>
        <row r="27">
          <cell r="E27">
            <v>0</v>
          </cell>
          <cell r="H27">
            <v>0</v>
          </cell>
        </row>
        <row r="28">
          <cell r="E28">
            <v>0</v>
          </cell>
          <cell r="H28">
            <v>0</v>
          </cell>
        </row>
        <row r="29">
          <cell r="E29">
            <v>3292</v>
          </cell>
          <cell r="H29">
            <v>5469</v>
          </cell>
        </row>
        <row r="30">
          <cell r="E30">
            <v>0</v>
          </cell>
          <cell r="H30">
            <v>0</v>
          </cell>
        </row>
        <row r="31">
          <cell r="E31">
            <v>1405</v>
          </cell>
          <cell r="H31">
            <v>960</v>
          </cell>
        </row>
        <row r="32">
          <cell r="E32">
            <v>2504</v>
          </cell>
          <cell r="H32">
            <v>2897</v>
          </cell>
        </row>
        <row r="33">
          <cell r="E33">
            <v>544</v>
          </cell>
          <cell r="H33">
            <v>1054</v>
          </cell>
        </row>
        <row r="36">
          <cell r="E36">
            <v>5082</v>
          </cell>
          <cell r="H36">
            <v>0</v>
          </cell>
        </row>
        <row r="53">
          <cell r="F53">
            <v>22</v>
          </cell>
          <cell r="G53">
            <v>3</v>
          </cell>
          <cell r="H53">
            <v>6</v>
          </cell>
          <cell r="I53">
            <v>31</v>
          </cell>
        </row>
        <row r="54">
          <cell r="F54">
            <v>0</v>
          </cell>
          <cell r="G54">
            <v>0</v>
          </cell>
          <cell r="H54">
            <v>0</v>
          </cell>
          <cell r="I54">
            <v>0</v>
          </cell>
        </row>
        <row r="55">
          <cell r="F55">
            <v>0</v>
          </cell>
          <cell r="G55">
            <v>0</v>
          </cell>
          <cell r="H55">
            <v>0</v>
          </cell>
          <cell r="I55">
            <v>0</v>
          </cell>
        </row>
        <row r="56">
          <cell r="F56">
            <v>4</v>
          </cell>
          <cell r="G56">
            <v>0</v>
          </cell>
          <cell r="H56">
            <v>3</v>
          </cell>
          <cell r="I56">
            <v>8</v>
          </cell>
        </row>
        <row r="57">
          <cell r="F57">
            <v>0</v>
          </cell>
          <cell r="G57">
            <v>0</v>
          </cell>
          <cell r="H57">
            <v>0</v>
          </cell>
          <cell r="I57">
            <v>0</v>
          </cell>
        </row>
        <row r="58">
          <cell r="F58">
            <v>1</v>
          </cell>
          <cell r="G58">
            <v>0</v>
          </cell>
          <cell r="H58">
            <v>4</v>
          </cell>
          <cell r="I58">
            <v>9</v>
          </cell>
        </row>
        <row r="59">
          <cell r="F59">
            <v>18</v>
          </cell>
          <cell r="G59">
            <v>0</v>
          </cell>
          <cell r="H59">
            <v>2</v>
          </cell>
          <cell r="I59">
            <v>20</v>
          </cell>
        </row>
        <row r="60">
          <cell r="F60">
            <v>15</v>
          </cell>
          <cell r="G60">
            <v>0</v>
          </cell>
          <cell r="H60">
            <v>1</v>
          </cell>
          <cell r="I60">
            <v>16</v>
          </cell>
        </row>
        <row r="61">
          <cell r="F61">
            <v>1</v>
          </cell>
          <cell r="G61">
            <v>2</v>
          </cell>
          <cell r="H61">
            <v>2</v>
          </cell>
          <cell r="I61">
            <v>5</v>
          </cell>
        </row>
        <row r="62">
          <cell r="F62">
            <v>1</v>
          </cell>
          <cell r="G62">
            <v>2</v>
          </cell>
          <cell r="H62">
            <v>2</v>
          </cell>
          <cell r="I62">
            <v>5</v>
          </cell>
        </row>
        <row r="63">
          <cell r="F63">
            <v>22</v>
          </cell>
          <cell r="G63">
            <v>0</v>
          </cell>
          <cell r="H63">
            <v>0</v>
          </cell>
          <cell r="I63">
            <v>22</v>
          </cell>
        </row>
        <row r="70">
          <cell r="E70">
            <v>2830</v>
          </cell>
          <cell r="H70">
            <v>481</v>
          </cell>
        </row>
        <row r="71">
          <cell r="E71">
            <v>0</v>
          </cell>
          <cell r="H71">
            <v>0</v>
          </cell>
        </row>
        <row r="72">
          <cell r="E72">
            <v>0</v>
          </cell>
          <cell r="H72">
            <v>0</v>
          </cell>
        </row>
        <row r="73">
          <cell r="E73">
            <v>922</v>
          </cell>
          <cell r="H73">
            <v>261</v>
          </cell>
        </row>
        <row r="74">
          <cell r="E74">
            <v>0</v>
          </cell>
          <cell r="H74">
            <v>0</v>
          </cell>
        </row>
        <row r="75">
          <cell r="E75">
            <v>228</v>
          </cell>
          <cell r="H75">
            <v>740</v>
          </cell>
        </row>
        <row r="76">
          <cell r="E76">
            <v>2323</v>
          </cell>
          <cell r="H76">
            <v>225</v>
          </cell>
        </row>
        <row r="77">
          <cell r="E77">
            <v>1016</v>
          </cell>
          <cell r="H77">
            <v>109</v>
          </cell>
        </row>
        <row r="78">
          <cell r="E78">
            <v>844</v>
          </cell>
          <cell r="H78">
            <v>168</v>
          </cell>
        </row>
        <row r="79">
          <cell r="E79">
            <v>343</v>
          </cell>
          <cell r="H79">
            <v>84</v>
          </cell>
        </row>
        <row r="80">
          <cell r="E80">
            <v>2227</v>
          </cell>
          <cell r="H80">
            <v>0</v>
          </cell>
        </row>
      </sheetData>
      <sheetData sheetId="15">
        <row r="5">
          <cell r="F5">
            <v>77.212389380530979</v>
          </cell>
        </row>
        <row r="6">
          <cell r="D6">
            <v>807</v>
          </cell>
          <cell r="E6">
            <v>608</v>
          </cell>
          <cell r="F6">
            <v>75.340768277571257</v>
          </cell>
        </row>
        <row r="7">
          <cell r="D7">
            <v>97</v>
          </cell>
          <cell r="E7">
            <v>90</v>
          </cell>
          <cell r="F7">
            <v>92.783505154639172</v>
          </cell>
        </row>
      </sheetData>
      <sheetData sheetId="16"/>
      <sheetData sheetId="17"/>
      <sheetData sheetId="18"/>
      <sheetData sheetId="19"/>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SKL2015_TH"/>
    </sheetNames>
    <sheetDataSet>
      <sheetData sheetId="0"/>
      <sheetData sheetId="1"/>
      <sheetData sheetId="2"/>
      <sheetData sheetId="3">
        <row r="12">
          <cell r="D12">
            <v>65370</v>
          </cell>
          <cell r="R12">
            <v>3434</v>
          </cell>
        </row>
        <row r="14">
          <cell r="D14">
            <v>0</v>
          </cell>
          <cell r="R14">
            <v>0</v>
          </cell>
        </row>
        <row r="17">
          <cell r="D17">
            <v>45394</v>
          </cell>
          <cell r="R17">
            <v>1487</v>
          </cell>
        </row>
        <row r="20">
          <cell r="D20">
            <v>0</v>
          </cell>
          <cell r="R20">
            <v>0</v>
          </cell>
        </row>
        <row r="24">
          <cell r="D24">
            <v>34121</v>
          </cell>
          <cell r="R24">
            <v>2807</v>
          </cell>
        </row>
        <row r="29">
          <cell r="D29">
            <v>3498</v>
          </cell>
          <cell r="R29">
            <v>1298</v>
          </cell>
        </row>
        <row r="30">
          <cell r="D30">
            <v>10608</v>
          </cell>
          <cell r="R30">
            <v>1657</v>
          </cell>
        </row>
        <row r="35">
          <cell r="D35">
            <v>483</v>
          </cell>
          <cell r="R35">
            <v>483</v>
          </cell>
        </row>
        <row r="36">
          <cell r="D36">
            <v>744</v>
          </cell>
          <cell r="R36">
            <v>744</v>
          </cell>
        </row>
        <row r="40">
          <cell r="D40">
            <v>7062</v>
          </cell>
          <cell r="R40">
            <v>2258</v>
          </cell>
        </row>
      </sheetData>
      <sheetData sheetId="4"/>
      <sheetData sheetId="5"/>
      <sheetData sheetId="6"/>
      <sheetData sheetId="7"/>
      <sheetData sheetId="8"/>
      <sheetData sheetId="9"/>
      <sheetData sheetId="10"/>
      <sheetData sheetId="11"/>
      <sheetData sheetId="12"/>
      <sheetData sheetId="13"/>
      <sheetData sheetId="14">
        <row r="9">
          <cell r="F9">
            <v>2</v>
          </cell>
          <cell r="G9">
            <v>3</v>
          </cell>
          <cell r="H9">
            <v>416</v>
          </cell>
          <cell r="I9">
            <v>421</v>
          </cell>
        </row>
        <row r="10">
          <cell r="F10">
            <v>0</v>
          </cell>
          <cell r="G10">
            <v>0</v>
          </cell>
          <cell r="H10">
            <v>0</v>
          </cell>
          <cell r="I10">
            <v>0</v>
          </cell>
        </row>
        <row r="11">
          <cell r="F11">
            <v>0</v>
          </cell>
          <cell r="G11">
            <v>0</v>
          </cell>
          <cell r="H11">
            <v>0</v>
          </cell>
          <cell r="I11">
            <v>0</v>
          </cell>
        </row>
        <row r="12">
          <cell r="F12">
            <v>8</v>
          </cell>
          <cell r="G12">
            <v>20</v>
          </cell>
          <cell r="H12">
            <v>48</v>
          </cell>
          <cell r="I12">
            <v>202</v>
          </cell>
        </row>
        <row r="13">
          <cell r="F13">
            <v>0</v>
          </cell>
          <cell r="G13">
            <v>0</v>
          </cell>
          <cell r="H13">
            <v>0</v>
          </cell>
          <cell r="I13">
            <v>0</v>
          </cell>
        </row>
        <row r="14">
          <cell r="F14">
            <v>5</v>
          </cell>
          <cell r="G14">
            <v>6</v>
          </cell>
          <cell r="H14">
            <v>7</v>
          </cell>
          <cell r="I14">
            <v>89</v>
          </cell>
        </row>
        <row r="15">
          <cell r="F15">
            <v>2</v>
          </cell>
          <cell r="G15">
            <v>22</v>
          </cell>
          <cell r="H15">
            <v>13</v>
          </cell>
          <cell r="I15">
            <v>39</v>
          </cell>
        </row>
        <row r="16">
          <cell r="F16">
            <v>2</v>
          </cell>
          <cell r="G16">
            <v>8</v>
          </cell>
          <cell r="H16">
            <v>9</v>
          </cell>
          <cell r="I16">
            <v>19</v>
          </cell>
        </row>
        <row r="17">
          <cell r="I17">
            <v>0</v>
          </cell>
        </row>
        <row r="18">
          <cell r="I18">
            <v>0</v>
          </cell>
        </row>
        <row r="19">
          <cell r="F19">
            <v>59</v>
          </cell>
          <cell r="G19">
            <v>0</v>
          </cell>
          <cell r="H19">
            <v>0</v>
          </cell>
          <cell r="I19">
            <v>59</v>
          </cell>
        </row>
        <row r="26">
          <cell r="E26">
            <v>1050</v>
          </cell>
          <cell r="H26">
            <v>51297</v>
          </cell>
        </row>
        <row r="27">
          <cell r="E27">
            <v>0</v>
          </cell>
          <cell r="H27">
            <v>0</v>
          </cell>
        </row>
        <row r="28">
          <cell r="E28">
            <v>0</v>
          </cell>
          <cell r="H28">
            <v>0</v>
          </cell>
        </row>
        <row r="29">
          <cell r="E29">
            <v>2898</v>
          </cell>
          <cell r="H29">
            <v>5974</v>
          </cell>
        </row>
        <row r="30">
          <cell r="E30">
            <v>0</v>
          </cell>
          <cell r="H30">
            <v>0</v>
          </cell>
        </row>
        <row r="31">
          <cell r="E31">
            <v>1395</v>
          </cell>
          <cell r="H31">
            <v>853</v>
          </cell>
        </row>
        <row r="32">
          <cell r="E32">
            <v>3852</v>
          </cell>
          <cell r="H32">
            <v>2274</v>
          </cell>
        </row>
        <row r="33">
          <cell r="E33">
            <v>941</v>
          </cell>
          <cell r="H33">
            <v>1046</v>
          </cell>
        </row>
        <row r="36">
          <cell r="E36">
            <v>4804</v>
          </cell>
          <cell r="H36">
            <v>0</v>
          </cell>
        </row>
        <row r="53">
          <cell r="F53">
            <v>22</v>
          </cell>
          <cell r="G53">
            <v>4</v>
          </cell>
          <cell r="H53">
            <v>4</v>
          </cell>
          <cell r="I53">
            <v>30</v>
          </cell>
        </row>
        <row r="54">
          <cell r="F54">
            <v>0</v>
          </cell>
          <cell r="G54">
            <v>0</v>
          </cell>
          <cell r="H54">
            <v>0</v>
          </cell>
          <cell r="I54">
            <v>0</v>
          </cell>
        </row>
        <row r="55">
          <cell r="F55">
            <v>0</v>
          </cell>
          <cell r="G55">
            <v>0</v>
          </cell>
          <cell r="H55">
            <v>0</v>
          </cell>
          <cell r="I55">
            <v>0</v>
          </cell>
        </row>
        <row r="56">
          <cell r="F56">
            <v>4</v>
          </cell>
          <cell r="G56">
            <v>0</v>
          </cell>
          <cell r="H56">
            <v>3</v>
          </cell>
          <cell r="I56">
            <v>8</v>
          </cell>
        </row>
        <row r="57">
          <cell r="F57">
            <v>0</v>
          </cell>
          <cell r="G57">
            <v>0</v>
          </cell>
          <cell r="H57">
            <v>0</v>
          </cell>
          <cell r="I57">
            <v>0</v>
          </cell>
        </row>
        <row r="58">
          <cell r="F58">
            <v>1</v>
          </cell>
          <cell r="G58">
            <v>0</v>
          </cell>
          <cell r="H58">
            <v>4</v>
          </cell>
          <cell r="I58">
            <v>9</v>
          </cell>
        </row>
        <row r="59">
          <cell r="F59">
            <v>17</v>
          </cell>
          <cell r="G59">
            <v>1</v>
          </cell>
          <cell r="H59">
            <v>2</v>
          </cell>
          <cell r="I59">
            <v>20</v>
          </cell>
        </row>
        <row r="60">
          <cell r="F60">
            <v>14</v>
          </cell>
          <cell r="G60">
            <v>1</v>
          </cell>
          <cell r="H60">
            <v>1</v>
          </cell>
          <cell r="I60">
            <v>16</v>
          </cell>
        </row>
        <row r="61">
          <cell r="F61">
            <v>1</v>
          </cell>
          <cell r="G61">
            <v>2</v>
          </cell>
          <cell r="H61">
            <v>2</v>
          </cell>
          <cell r="I61">
            <v>5</v>
          </cell>
        </row>
        <row r="62">
          <cell r="F62">
            <v>1</v>
          </cell>
          <cell r="G62">
            <v>2</v>
          </cell>
          <cell r="H62">
            <v>2</v>
          </cell>
          <cell r="I62">
            <v>5</v>
          </cell>
        </row>
        <row r="63">
          <cell r="F63">
            <v>22</v>
          </cell>
          <cell r="G63">
            <v>0</v>
          </cell>
          <cell r="H63">
            <v>0</v>
          </cell>
          <cell r="I63">
            <v>22</v>
          </cell>
        </row>
        <row r="70">
          <cell r="E70">
            <v>3031</v>
          </cell>
          <cell r="H70">
            <v>380</v>
          </cell>
        </row>
        <row r="71">
          <cell r="E71">
            <v>0</v>
          </cell>
          <cell r="H71">
            <v>0</v>
          </cell>
        </row>
        <row r="72">
          <cell r="E72">
            <v>0</v>
          </cell>
          <cell r="H72">
            <v>0</v>
          </cell>
        </row>
        <row r="73">
          <cell r="E73">
            <v>933</v>
          </cell>
          <cell r="H73">
            <v>157</v>
          </cell>
        </row>
        <row r="74">
          <cell r="E74">
            <v>0</v>
          </cell>
          <cell r="H74">
            <v>0</v>
          </cell>
        </row>
        <row r="75">
          <cell r="E75">
            <v>241</v>
          </cell>
          <cell r="H75">
            <v>774</v>
          </cell>
        </row>
        <row r="76">
          <cell r="E76">
            <v>2620</v>
          </cell>
          <cell r="H76">
            <v>258</v>
          </cell>
        </row>
        <row r="77">
          <cell r="E77">
            <v>1193</v>
          </cell>
          <cell r="H77">
            <v>90</v>
          </cell>
        </row>
        <row r="78">
          <cell r="E78">
            <v>832</v>
          </cell>
          <cell r="H78">
            <v>301</v>
          </cell>
        </row>
        <row r="79">
          <cell r="E79">
            <v>263</v>
          </cell>
          <cell r="H79">
            <v>111</v>
          </cell>
        </row>
        <row r="80">
          <cell r="E80">
            <v>2258</v>
          </cell>
          <cell r="H80">
            <v>0</v>
          </cell>
        </row>
      </sheetData>
      <sheetData sheetId="15">
        <row r="5">
          <cell r="F5">
            <v>77.616926503340764</v>
          </cell>
        </row>
        <row r="6">
          <cell r="D6">
            <v>804</v>
          </cell>
          <cell r="E6">
            <v>608</v>
          </cell>
          <cell r="F6">
            <v>75.621890547263675</v>
          </cell>
        </row>
        <row r="7">
          <cell r="D7">
            <v>94</v>
          </cell>
          <cell r="E7">
            <v>89</v>
          </cell>
          <cell r="F7">
            <v>94.680851063829792</v>
          </cell>
        </row>
      </sheetData>
      <sheetData sheetId="16"/>
      <sheetData sheetId="17"/>
      <sheetData sheetId="18"/>
      <sheetData sheetId="19"/>
      <sheetData sheetId="20"/>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66703</v>
          </cell>
          <cell r="R12">
            <v>3570</v>
          </cell>
        </row>
        <row r="13">
          <cell r="D13">
            <v>0</v>
          </cell>
          <cell r="R13">
            <v>0</v>
          </cell>
        </row>
        <row r="14">
          <cell r="D14">
            <v>0</v>
          </cell>
          <cell r="R14">
            <v>0</v>
          </cell>
        </row>
        <row r="17">
          <cell r="D17">
            <v>44905</v>
          </cell>
          <cell r="R17">
            <v>1500</v>
          </cell>
        </row>
        <row r="20">
          <cell r="D20">
            <v>0</v>
          </cell>
          <cell r="R20">
            <v>0</v>
          </cell>
        </row>
        <row r="24">
          <cell r="D24">
            <v>33044</v>
          </cell>
          <cell r="R24">
            <v>2813</v>
          </cell>
        </row>
        <row r="29">
          <cell r="D29">
            <v>4550</v>
          </cell>
          <cell r="R29">
            <v>1503</v>
          </cell>
        </row>
        <row r="30">
          <cell r="D30">
            <v>13303</v>
          </cell>
          <cell r="R30">
            <v>2039</v>
          </cell>
        </row>
        <row r="35">
          <cell r="D35">
            <v>513</v>
          </cell>
          <cell r="R35">
            <v>513</v>
          </cell>
        </row>
        <row r="36">
          <cell r="D36">
            <v>723</v>
          </cell>
          <cell r="R36">
            <v>723</v>
          </cell>
        </row>
        <row r="40">
          <cell r="D40">
            <v>6754</v>
          </cell>
          <cell r="R40">
            <v>2221</v>
          </cell>
        </row>
      </sheetData>
      <sheetData sheetId="4"/>
      <sheetData sheetId="5"/>
      <sheetData sheetId="6"/>
      <sheetData sheetId="7"/>
      <sheetData sheetId="8"/>
      <sheetData sheetId="9"/>
      <sheetData sheetId="10"/>
      <sheetData sheetId="11"/>
      <sheetData sheetId="12"/>
      <sheetData sheetId="13"/>
      <sheetData sheetId="14">
        <row r="9">
          <cell r="D9">
            <v>413</v>
          </cell>
          <cell r="F9">
            <v>2</v>
          </cell>
          <cell r="G9">
            <v>3</v>
          </cell>
          <cell r="H9">
            <v>408</v>
          </cell>
          <cell r="I9">
            <v>413</v>
          </cell>
        </row>
        <row r="10">
          <cell r="D10">
            <v>0</v>
          </cell>
          <cell r="F10">
            <v>0</v>
          </cell>
          <cell r="G10">
            <v>0</v>
          </cell>
          <cell r="H10">
            <v>0</v>
          </cell>
          <cell r="I10">
            <v>0</v>
          </cell>
        </row>
        <row r="11">
          <cell r="D11">
            <v>0</v>
          </cell>
          <cell r="F11">
            <v>0</v>
          </cell>
          <cell r="G11">
            <v>0</v>
          </cell>
          <cell r="H11">
            <v>0</v>
          </cell>
          <cell r="I11">
            <v>0</v>
          </cell>
        </row>
        <row r="12">
          <cell r="D12">
            <v>66</v>
          </cell>
          <cell r="F12">
            <v>8</v>
          </cell>
          <cell r="G12">
            <v>18</v>
          </cell>
          <cell r="H12">
            <v>40</v>
          </cell>
          <cell r="I12">
            <v>193</v>
          </cell>
        </row>
        <row r="13">
          <cell r="D13">
            <v>0</v>
          </cell>
          <cell r="F13">
            <v>0</v>
          </cell>
          <cell r="G13">
            <v>0</v>
          </cell>
          <cell r="H13">
            <v>0</v>
          </cell>
          <cell r="I13">
            <v>0</v>
          </cell>
        </row>
        <row r="14">
          <cell r="D14">
            <v>17</v>
          </cell>
          <cell r="F14">
            <v>5</v>
          </cell>
          <cell r="G14">
            <v>6</v>
          </cell>
          <cell r="H14">
            <v>6</v>
          </cell>
          <cell r="I14">
            <v>88</v>
          </cell>
        </row>
        <row r="15">
          <cell r="D15">
            <v>42</v>
          </cell>
          <cell r="F15">
            <v>2</v>
          </cell>
          <cell r="G15">
            <v>26</v>
          </cell>
          <cell r="H15">
            <v>14</v>
          </cell>
          <cell r="I15">
            <v>47</v>
          </cell>
        </row>
        <row r="16">
          <cell r="F16">
            <v>2</v>
          </cell>
          <cell r="G16">
            <v>9</v>
          </cell>
          <cell r="H16">
            <v>12</v>
          </cell>
          <cell r="I16">
            <v>23</v>
          </cell>
        </row>
        <row r="17">
          <cell r="D17">
            <v>0</v>
          </cell>
          <cell r="I17">
            <v>0</v>
          </cell>
        </row>
        <row r="18">
          <cell r="I18">
            <v>0</v>
          </cell>
        </row>
        <row r="19">
          <cell r="D19">
            <v>56</v>
          </cell>
          <cell r="F19">
            <v>56</v>
          </cell>
          <cell r="G19">
            <v>0</v>
          </cell>
          <cell r="H19">
            <v>0</v>
          </cell>
          <cell r="I19">
            <v>56</v>
          </cell>
        </row>
        <row r="26">
          <cell r="D26">
            <v>55772</v>
          </cell>
          <cell r="E26">
            <v>854</v>
          </cell>
          <cell r="H26">
            <v>54918</v>
          </cell>
        </row>
        <row r="27">
          <cell r="D27">
            <v>0</v>
          </cell>
          <cell r="E27">
            <v>0</v>
          </cell>
          <cell r="H27">
            <v>0</v>
          </cell>
        </row>
        <row r="28">
          <cell r="D28">
            <v>0</v>
          </cell>
          <cell r="E28">
            <v>0</v>
          </cell>
          <cell r="H28">
            <v>0</v>
          </cell>
        </row>
        <row r="29">
          <cell r="D29">
            <v>8117</v>
          </cell>
          <cell r="E29">
            <v>3331</v>
          </cell>
          <cell r="H29">
            <v>4786</v>
          </cell>
        </row>
        <row r="30">
          <cell r="D30">
            <v>0</v>
          </cell>
          <cell r="E30">
            <v>0</v>
          </cell>
          <cell r="H30">
            <v>0</v>
          </cell>
        </row>
        <row r="31">
          <cell r="D31">
            <v>2346</v>
          </cell>
          <cell r="E31">
            <v>1564</v>
          </cell>
          <cell r="H31">
            <v>782</v>
          </cell>
        </row>
        <row r="32">
          <cell r="D32">
            <v>7430</v>
          </cell>
          <cell r="E32">
            <v>5023</v>
          </cell>
          <cell r="H32">
            <v>2407</v>
          </cell>
        </row>
        <row r="33">
          <cell r="E33">
            <v>927</v>
          </cell>
          <cell r="H33">
            <v>1815</v>
          </cell>
        </row>
        <row r="34">
          <cell r="D34">
            <v>0</v>
          </cell>
        </row>
        <row r="36">
          <cell r="D36">
            <v>4533</v>
          </cell>
          <cell r="E36">
            <v>4533</v>
          </cell>
          <cell r="H36">
            <v>0</v>
          </cell>
        </row>
        <row r="53">
          <cell r="D53">
            <v>30</v>
          </cell>
          <cell r="F53">
            <v>23</v>
          </cell>
          <cell r="G53">
            <v>3</v>
          </cell>
          <cell r="H53">
            <v>4</v>
          </cell>
          <cell r="I53">
            <v>30</v>
          </cell>
        </row>
        <row r="54">
          <cell r="D54">
            <v>0</v>
          </cell>
          <cell r="F54">
            <v>0</v>
          </cell>
          <cell r="G54">
            <v>0</v>
          </cell>
          <cell r="H54">
            <v>0</v>
          </cell>
          <cell r="I54">
            <v>0</v>
          </cell>
        </row>
        <row r="55">
          <cell r="D55">
            <v>0</v>
          </cell>
          <cell r="F55">
            <v>0</v>
          </cell>
          <cell r="G55">
            <v>0</v>
          </cell>
          <cell r="H55">
            <v>0</v>
          </cell>
          <cell r="I55">
            <v>0</v>
          </cell>
        </row>
        <row r="56">
          <cell r="D56">
            <v>7</v>
          </cell>
          <cell r="F56">
            <v>4</v>
          </cell>
          <cell r="G56">
            <v>0</v>
          </cell>
          <cell r="H56">
            <v>3</v>
          </cell>
          <cell r="I56">
            <v>8</v>
          </cell>
        </row>
        <row r="57">
          <cell r="D57">
            <v>0</v>
          </cell>
          <cell r="F57">
            <v>0</v>
          </cell>
          <cell r="G57">
            <v>0</v>
          </cell>
          <cell r="H57">
            <v>0</v>
          </cell>
          <cell r="I57">
            <v>0</v>
          </cell>
        </row>
        <row r="58">
          <cell r="D58">
            <v>5</v>
          </cell>
          <cell r="F58">
            <v>1</v>
          </cell>
          <cell r="G58">
            <v>0</v>
          </cell>
          <cell r="H58">
            <v>4</v>
          </cell>
          <cell r="I58">
            <v>11</v>
          </cell>
        </row>
        <row r="59">
          <cell r="D59">
            <v>21</v>
          </cell>
          <cell r="F59">
            <v>19</v>
          </cell>
          <cell r="G59">
            <v>0</v>
          </cell>
          <cell r="H59">
            <v>2</v>
          </cell>
          <cell r="I59">
            <v>22</v>
          </cell>
        </row>
        <row r="60">
          <cell r="F60">
            <v>16</v>
          </cell>
          <cell r="G60">
            <v>0</v>
          </cell>
          <cell r="H60">
            <v>1</v>
          </cell>
          <cell r="I60">
            <v>17</v>
          </cell>
        </row>
        <row r="61">
          <cell r="D61">
            <v>5</v>
          </cell>
          <cell r="F61">
            <v>1</v>
          </cell>
          <cell r="G61">
            <v>2</v>
          </cell>
          <cell r="H61">
            <v>2</v>
          </cell>
          <cell r="I61">
            <v>5</v>
          </cell>
        </row>
        <row r="62">
          <cell r="F62">
            <v>1</v>
          </cell>
          <cell r="G62">
            <v>2</v>
          </cell>
          <cell r="H62">
            <v>2</v>
          </cell>
          <cell r="I62">
            <v>5</v>
          </cell>
        </row>
        <row r="63">
          <cell r="D63">
            <v>24</v>
          </cell>
          <cell r="F63">
            <v>24</v>
          </cell>
          <cell r="G63">
            <v>0</v>
          </cell>
          <cell r="H63">
            <v>0</v>
          </cell>
          <cell r="I63">
            <v>24</v>
          </cell>
        </row>
        <row r="70">
          <cell r="D70">
            <v>3570</v>
          </cell>
          <cell r="E70">
            <v>3179</v>
          </cell>
          <cell r="H70">
            <v>391</v>
          </cell>
        </row>
        <row r="71">
          <cell r="D71">
            <v>0</v>
          </cell>
          <cell r="E71">
            <v>0</v>
          </cell>
          <cell r="H71">
            <v>0</v>
          </cell>
        </row>
        <row r="72">
          <cell r="D72">
            <v>0</v>
          </cell>
          <cell r="E72">
            <v>0</v>
          </cell>
          <cell r="H72">
            <v>0</v>
          </cell>
        </row>
        <row r="73">
          <cell r="D73">
            <v>1200</v>
          </cell>
          <cell r="E73">
            <v>955</v>
          </cell>
          <cell r="H73">
            <v>245</v>
          </cell>
        </row>
        <row r="74">
          <cell r="D74">
            <v>0</v>
          </cell>
          <cell r="E74">
            <v>0</v>
          </cell>
          <cell r="H74">
            <v>0</v>
          </cell>
        </row>
        <row r="75">
          <cell r="D75">
            <v>1095</v>
          </cell>
          <cell r="E75">
            <v>254</v>
          </cell>
          <cell r="H75">
            <v>841</v>
          </cell>
        </row>
        <row r="76">
          <cell r="D76">
            <v>3248</v>
          </cell>
          <cell r="E76">
            <v>3122</v>
          </cell>
          <cell r="H76">
            <v>126</v>
          </cell>
        </row>
        <row r="77">
          <cell r="E77">
            <v>1394</v>
          </cell>
          <cell r="H77">
            <v>36</v>
          </cell>
        </row>
        <row r="78">
          <cell r="D78">
            <v>1014</v>
          </cell>
          <cell r="E78">
            <v>832</v>
          </cell>
          <cell r="H78">
            <v>182</v>
          </cell>
        </row>
        <row r="79">
          <cell r="E79">
            <v>350</v>
          </cell>
          <cell r="H79">
            <v>163</v>
          </cell>
        </row>
        <row r="80">
          <cell r="D80">
            <v>2221</v>
          </cell>
          <cell r="E80">
            <v>2221</v>
          </cell>
          <cell r="H80">
            <v>0</v>
          </cell>
        </row>
        <row r="97">
          <cell r="D97">
            <v>443</v>
          </cell>
        </row>
        <row r="98">
          <cell r="D98">
            <v>0</v>
          </cell>
        </row>
        <row r="99">
          <cell r="D99">
            <v>0</v>
          </cell>
        </row>
        <row r="100">
          <cell r="D100">
            <v>73</v>
          </cell>
        </row>
        <row r="101">
          <cell r="D101">
            <v>0</v>
          </cell>
        </row>
        <row r="102">
          <cell r="D102">
            <v>22</v>
          </cell>
        </row>
        <row r="103">
          <cell r="D103">
            <v>63</v>
          </cell>
        </row>
        <row r="105">
          <cell r="D105">
            <v>5</v>
          </cell>
        </row>
        <row r="107">
          <cell r="D107">
            <v>80</v>
          </cell>
        </row>
        <row r="114">
          <cell r="D114">
            <v>59342</v>
          </cell>
        </row>
        <row r="115">
          <cell r="D115">
            <v>0</v>
          </cell>
        </row>
        <row r="116">
          <cell r="D116">
            <v>0</v>
          </cell>
        </row>
        <row r="117">
          <cell r="D117">
            <v>9317</v>
          </cell>
        </row>
        <row r="118">
          <cell r="D118">
            <v>0</v>
          </cell>
        </row>
        <row r="119">
          <cell r="D119">
            <v>3441</v>
          </cell>
        </row>
        <row r="120">
          <cell r="D120">
            <v>10678</v>
          </cell>
        </row>
        <row r="122">
          <cell r="D122">
            <v>1014</v>
          </cell>
        </row>
        <row r="124">
          <cell r="D124">
            <v>6754</v>
          </cell>
        </row>
      </sheetData>
      <sheetData sheetId="15">
        <row r="5">
          <cell r="F5">
            <v>76.82789651293588</v>
          </cell>
        </row>
        <row r="6">
          <cell r="D6">
            <v>791</v>
          </cell>
          <cell r="E6">
            <v>591</v>
          </cell>
          <cell r="F6">
            <v>74.715549936788875</v>
          </cell>
        </row>
        <row r="7">
          <cell r="D7">
            <v>98</v>
          </cell>
          <cell r="E7">
            <v>92</v>
          </cell>
          <cell r="F7">
            <v>93.877551020408163</v>
          </cell>
        </row>
      </sheetData>
      <sheetData sheetId="16"/>
      <sheetData sheetId="17"/>
      <sheetData sheetId="18"/>
      <sheetData sheetId="19"/>
      <sheetData sheetId="20"/>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205643</v>
          </cell>
          <cell r="R12">
            <v>5109</v>
          </cell>
        </row>
        <row r="13">
          <cell r="D13">
            <v>16171</v>
          </cell>
          <cell r="R13">
            <v>480</v>
          </cell>
        </row>
        <row r="14">
          <cell r="D14">
            <v>24085</v>
          </cell>
          <cell r="R14">
            <v>53</v>
          </cell>
        </row>
        <row r="17">
          <cell r="D17">
            <v>2435</v>
          </cell>
          <cell r="R17">
            <v>0</v>
          </cell>
        </row>
        <row r="20">
          <cell r="D20">
            <v>81530</v>
          </cell>
          <cell r="R20">
            <v>5160</v>
          </cell>
        </row>
        <row r="24">
          <cell r="D24">
            <v>123185</v>
          </cell>
          <cell r="R24">
            <v>12955</v>
          </cell>
        </row>
        <row r="29">
          <cell r="D29">
            <v>3265</v>
          </cell>
          <cell r="R29">
            <v>1051</v>
          </cell>
        </row>
        <row r="30">
          <cell r="D30">
            <v>66577</v>
          </cell>
          <cell r="R30">
            <v>1464</v>
          </cell>
        </row>
        <row r="35">
          <cell r="D35">
            <v>1518</v>
          </cell>
          <cell r="R35">
            <v>1518</v>
          </cell>
        </row>
        <row r="36">
          <cell r="D36">
            <v>2745</v>
          </cell>
          <cell r="R36">
            <v>2745</v>
          </cell>
        </row>
        <row r="40">
          <cell r="D40">
            <v>24696</v>
          </cell>
          <cell r="R40">
            <v>4015</v>
          </cell>
        </row>
      </sheetData>
      <sheetData sheetId="4"/>
      <sheetData sheetId="5"/>
      <sheetData sheetId="6"/>
      <sheetData sheetId="7"/>
      <sheetData sheetId="8"/>
      <sheetData sheetId="9"/>
      <sheetData sheetId="10"/>
      <sheetData sheetId="11"/>
      <sheetData sheetId="12"/>
      <sheetData sheetId="13">
        <row r="9">
          <cell r="F9">
            <v>6</v>
          </cell>
          <cell r="H9">
            <v>358</v>
          </cell>
          <cell r="I9">
            <v>1127</v>
          </cell>
        </row>
        <row r="10">
          <cell r="F10">
            <v>3</v>
          </cell>
          <cell r="H10">
            <v>106</v>
          </cell>
          <cell r="I10">
            <v>118</v>
          </cell>
        </row>
        <row r="11">
          <cell r="F11">
            <v>6</v>
          </cell>
          <cell r="H11">
            <v>218</v>
          </cell>
          <cell r="I11">
            <v>251</v>
          </cell>
        </row>
        <row r="12">
          <cell r="H12">
            <v>18</v>
          </cell>
          <cell r="I12">
            <v>20</v>
          </cell>
        </row>
        <row r="13">
          <cell r="F13">
            <v>4</v>
          </cell>
          <cell r="H13">
            <v>220</v>
          </cell>
          <cell r="I13">
            <v>250</v>
          </cell>
        </row>
        <row r="14">
          <cell r="F14">
            <v>4</v>
          </cell>
          <cell r="H14">
            <v>215</v>
          </cell>
          <cell r="I14">
            <v>221</v>
          </cell>
        </row>
        <row r="15">
          <cell r="F15">
            <v>11</v>
          </cell>
          <cell r="H15">
            <v>80</v>
          </cell>
          <cell r="I15">
            <v>91</v>
          </cell>
        </row>
        <row r="17">
          <cell r="F17">
            <v>60</v>
          </cell>
          <cell r="H17">
            <v>76</v>
          </cell>
          <cell r="I17">
            <v>213</v>
          </cell>
        </row>
        <row r="24">
          <cell r="E24">
            <v>1565</v>
          </cell>
          <cell r="H24">
            <v>43161</v>
          </cell>
        </row>
        <row r="25">
          <cell r="E25">
            <v>515</v>
          </cell>
          <cell r="H25">
            <v>8199</v>
          </cell>
        </row>
        <row r="26">
          <cell r="E26">
            <v>983</v>
          </cell>
          <cell r="H26">
            <v>11170</v>
          </cell>
        </row>
        <row r="27">
          <cell r="E27">
            <v>0</v>
          </cell>
          <cell r="H27">
            <v>1153</v>
          </cell>
        </row>
        <row r="28">
          <cell r="E28">
            <v>1157</v>
          </cell>
          <cell r="H28">
            <v>36079</v>
          </cell>
        </row>
        <row r="29">
          <cell r="E29">
            <v>933</v>
          </cell>
          <cell r="H29">
            <v>57571</v>
          </cell>
        </row>
        <row r="30">
          <cell r="E30">
            <v>6550</v>
          </cell>
          <cell r="H30">
            <v>38436</v>
          </cell>
        </row>
        <row r="31">
          <cell r="E31">
            <v>420</v>
          </cell>
          <cell r="H31">
            <v>1131</v>
          </cell>
        </row>
        <row r="34">
          <cell r="E34">
            <v>6432</v>
          </cell>
          <cell r="H34">
            <v>3670</v>
          </cell>
        </row>
        <row r="51">
          <cell r="I51">
            <v>48</v>
          </cell>
        </row>
        <row r="52">
          <cell r="I52">
            <v>13</v>
          </cell>
        </row>
        <row r="53">
          <cell r="I53">
            <v>2</v>
          </cell>
        </row>
        <row r="55">
          <cell r="I55">
            <v>27</v>
          </cell>
        </row>
        <row r="56">
          <cell r="I56">
            <v>43</v>
          </cell>
        </row>
        <row r="57">
          <cell r="I57">
            <v>18</v>
          </cell>
        </row>
        <row r="58">
          <cell r="I58">
            <v>10</v>
          </cell>
        </row>
        <row r="59">
          <cell r="I59">
            <v>33</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sheetData>
      <sheetData sheetId="14">
        <row r="6">
          <cell r="D6">
            <v>1699</v>
          </cell>
          <cell r="E6">
            <v>847</v>
          </cell>
          <cell r="F6">
            <v>49.852854620364923</v>
          </cell>
        </row>
        <row r="7">
          <cell r="D7">
            <v>144</v>
          </cell>
          <cell r="F7">
            <v>0</v>
          </cell>
        </row>
      </sheetData>
      <sheetData sheetId="15"/>
      <sheetData sheetId="16"/>
      <sheetData sheetId="17"/>
      <sheetData sheetId="18"/>
      <sheetData sheetId="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row r="12">
          <cell r="D12">
            <v>204624</v>
          </cell>
          <cell r="R12">
            <v>5419</v>
          </cell>
        </row>
        <row r="13">
          <cell r="D13">
            <v>15091</v>
          </cell>
          <cell r="R13">
            <v>478</v>
          </cell>
        </row>
        <row r="14">
          <cell r="D14">
            <v>22841</v>
          </cell>
          <cell r="R14">
            <v>38</v>
          </cell>
        </row>
        <row r="17">
          <cell r="D17">
            <v>3472</v>
          </cell>
          <cell r="R17">
            <v>0</v>
          </cell>
        </row>
        <row r="20">
          <cell r="D20">
            <v>77375</v>
          </cell>
          <cell r="R20">
            <v>5423</v>
          </cell>
        </row>
        <row r="24">
          <cell r="D24">
            <v>122582</v>
          </cell>
          <cell r="R24">
            <v>12975</v>
          </cell>
        </row>
        <row r="29">
          <cell r="D29">
            <v>3334</v>
          </cell>
          <cell r="R29">
            <v>1135</v>
          </cell>
        </row>
        <row r="30">
          <cell r="D30">
            <v>67701</v>
          </cell>
          <cell r="R30">
            <v>1532</v>
          </cell>
        </row>
        <row r="35">
          <cell r="D35">
            <v>1488</v>
          </cell>
          <cell r="R35">
            <v>1488</v>
          </cell>
        </row>
        <row r="36">
          <cell r="D36">
            <v>2724</v>
          </cell>
          <cell r="R36">
            <v>2724</v>
          </cell>
        </row>
        <row r="40">
          <cell r="D40">
            <v>24419</v>
          </cell>
          <cell r="R40">
            <v>4014</v>
          </cell>
        </row>
      </sheetData>
      <sheetData sheetId="2"/>
      <sheetData sheetId="3"/>
      <sheetData sheetId="4"/>
      <sheetData sheetId="5"/>
      <sheetData sheetId="6"/>
      <sheetData sheetId="7"/>
      <sheetData sheetId="8"/>
      <sheetData sheetId="9"/>
      <sheetData sheetId="10"/>
      <sheetData sheetId="11">
        <row r="9">
          <cell r="F9">
            <v>6</v>
          </cell>
          <cell r="H9">
            <v>419</v>
          </cell>
          <cell r="I9">
            <v>1115</v>
          </cell>
        </row>
        <row r="10">
          <cell r="F10">
            <v>3</v>
          </cell>
          <cell r="H10">
            <v>110</v>
          </cell>
          <cell r="I10">
            <v>120</v>
          </cell>
        </row>
        <row r="11">
          <cell r="F11">
            <v>6</v>
          </cell>
          <cell r="H11">
            <v>219</v>
          </cell>
          <cell r="I11">
            <v>245</v>
          </cell>
        </row>
        <row r="12">
          <cell r="F12">
            <v>0</v>
          </cell>
          <cell r="H12">
            <v>22</v>
          </cell>
          <cell r="I12">
            <v>22</v>
          </cell>
        </row>
        <row r="13">
          <cell r="F13">
            <v>4</v>
          </cell>
          <cell r="H13">
            <v>224</v>
          </cell>
          <cell r="I13">
            <v>248</v>
          </cell>
        </row>
        <row r="14">
          <cell r="F14">
            <v>4</v>
          </cell>
          <cell r="H14">
            <v>214</v>
          </cell>
          <cell r="I14">
            <v>220</v>
          </cell>
        </row>
        <row r="15">
          <cell r="F15">
            <v>13</v>
          </cell>
          <cell r="H15">
            <v>81</v>
          </cell>
          <cell r="I15">
            <v>94</v>
          </cell>
        </row>
        <row r="16">
          <cell r="F16">
            <v>2</v>
          </cell>
          <cell r="H16">
            <v>9</v>
          </cell>
          <cell r="I16">
            <v>11</v>
          </cell>
        </row>
        <row r="17">
          <cell r="I17">
            <v>0</v>
          </cell>
        </row>
        <row r="19">
          <cell r="F19">
            <v>62</v>
          </cell>
          <cell r="H19">
            <v>81</v>
          </cell>
          <cell r="I19">
            <v>212</v>
          </cell>
        </row>
        <row r="26">
          <cell r="E26">
            <v>1533</v>
          </cell>
          <cell r="H26">
            <v>50041</v>
          </cell>
        </row>
        <row r="27">
          <cell r="E27">
            <v>506</v>
          </cell>
          <cell r="H27">
            <v>7708</v>
          </cell>
        </row>
        <row r="28">
          <cell r="E28">
            <v>931</v>
          </cell>
          <cell r="H28">
            <v>10878</v>
          </cell>
        </row>
        <row r="29">
          <cell r="E29">
            <v>0</v>
          </cell>
          <cell r="H29">
            <v>1814</v>
          </cell>
        </row>
        <row r="30">
          <cell r="E30">
            <v>959</v>
          </cell>
          <cell r="H30">
            <v>34805</v>
          </cell>
        </row>
        <row r="31">
          <cell r="E31">
            <v>548</v>
          </cell>
          <cell r="H31">
            <v>57534</v>
          </cell>
        </row>
        <row r="32">
          <cell r="E32">
            <v>8196</v>
          </cell>
          <cell r="H32">
            <v>38164</v>
          </cell>
        </row>
        <row r="33">
          <cell r="E33">
            <v>407</v>
          </cell>
          <cell r="H33">
            <v>922</v>
          </cell>
        </row>
        <row r="36">
          <cell r="E36">
            <v>6559</v>
          </cell>
          <cell r="H36">
            <v>3884</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sheetData>
      <sheetData sheetId="12">
        <row r="6">
          <cell r="D6">
            <v>1690</v>
          </cell>
          <cell r="E6">
            <v>917</v>
          </cell>
          <cell r="F6">
            <v>54.260355029585796</v>
          </cell>
        </row>
        <row r="7">
          <cell r="D7">
            <v>148</v>
          </cell>
          <cell r="F7">
            <v>0</v>
          </cell>
        </row>
      </sheetData>
      <sheetData sheetId="13"/>
      <sheetData sheetId="14"/>
      <sheetData sheetId="15"/>
      <sheetData sheetId="16"/>
      <sheetData sheetId="1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206987</v>
          </cell>
          <cell r="R12">
            <v>5706</v>
          </cell>
        </row>
        <row r="13">
          <cell r="D13">
            <v>14810</v>
          </cell>
          <cell r="R13">
            <v>471</v>
          </cell>
        </row>
        <row r="14">
          <cell r="D14">
            <v>22095</v>
          </cell>
          <cell r="R14">
            <v>34</v>
          </cell>
        </row>
        <row r="17">
          <cell r="D17">
            <v>4569</v>
          </cell>
          <cell r="R17">
            <v>0</v>
          </cell>
        </row>
        <row r="20">
          <cell r="D20">
            <v>72602</v>
          </cell>
          <cell r="R20">
            <v>5239</v>
          </cell>
        </row>
        <row r="24">
          <cell r="D24">
            <v>123370</v>
          </cell>
          <cell r="R24">
            <v>13381</v>
          </cell>
        </row>
        <row r="29">
          <cell r="D29">
            <v>3541</v>
          </cell>
          <cell r="R29">
            <v>1145</v>
          </cell>
        </row>
        <row r="30">
          <cell r="D30">
            <v>67241</v>
          </cell>
          <cell r="R30">
            <v>1668</v>
          </cell>
        </row>
        <row r="35">
          <cell r="D35">
            <v>1487</v>
          </cell>
          <cell r="R35">
            <v>1487</v>
          </cell>
        </row>
        <row r="36">
          <cell r="D36">
            <v>2713</v>
          </cell>
          <cell r="R36">
            <v>2713</v>
          </cell>
        </row>
        <row r="40">
          <cell r="D40">
            <v>24015</v>
          </cell>
          <cell r="R40">
            <v>4114</v>
          </cell>
        </row>
      </sheetData>
      <sheetData sheetId="4"/>
      <sheetData sheetId="5"/>
      <sheetData sheetId="6"/>
      <sheetData sheetId="7"/>
      <sheetData sheetId="8"/>
      <sheetData sheetId="9"/>
      <sheetData sheetId="10"/>
      <sheetData sheetId="11"/>
      <sheetData sheetId="12"/>
      <sheetData sheetId="13"/>
      <sheetData sheetId="14">
        <row r="9">
          <cell r="F9">
            <v>6</v>
          </cell>
          <cell r="H9">
            <v>452</v>
          </cell>
          <cell r="I9">
            <v>1115</v>
          </cell>
        </row>
        <row r="10">
          <cell r="F10">
            <v>3</v>
          </cell>
          <cell r="H10">
            <v>107</v>
          </cell>
          <cell r="I10">
            <v>117</v>
          </cell>
        </row>
        <row r="11">
          <cell r="F11">
            <v>6</v>
          </cell>
          <cell r="H11">
            <v>213</v>
          </cell>
          <cell r="I11">
            <v>237</v>
          </cell>
        </row>
        <row r="12">
          <cell r="F12">
            <v>0</v>
          </cell>
          <cell r="H12">
            <v>19</v>
          </cell>
          <cell r="I12">
            <v>19</v>
          </cell>
        </row>
        <row r="13">
          <cell r="F13">
            <v>4</v>
          </cell>
          <cell r="H13">
            <v>216</v>
          </cell>
          <cell r="I13">
            <v>239</v>
          </cell>
        </row>
        <row r="14">
          <cell r="F14">
            <v>4</v>
          </cell>
          <cell r="H14">
            <v>213</v>
          </cell>
          <cell r="I14">
            <v>220</v>
          </cell>
        </row>
        <row r="15">
          <cell r="F15">
            <v>13</v>
          </cell>
          <cell r="H15">
            <v>82</v>
          </cell>
          <cell r="I15">
            <v>95</v>
          </cell>
        </row>
        <row r="16">
          <cell r="F16">
            <v>1</v>
          </cell>
          <cell r="H16">
            <v>11</v>
          </cell>
          <cell r="I16">
            <v>12</v>
          </cell>
        </row>
        <row r="17">
          <cell r="I17">
            <v>0</v>
          </cell>
        </row>
        <row r="18">
          <cell r="I18">
            <v>0</v>
          </cell>
        </row>
        <row r="19">
          <cell r="F19">
            <v>62</v>
          </cell>
          <cell r="H19">
            <v>89</v>
          </cell>
          <cell r="I19">
            <v>213</v>
          </cell>
        </row>
        <row r="26">
          <cell r="E26">
            <v>1571</v>
          </cell>
          <cell r="H26">
            <v>54053</v>
          </cell>
        </row>
        <row r="27">
          <cell r="E27">
            <v>428</v>
          </cell>
          <cell r="H27">
            <v>7767</v>
          </cell>
        </row>
        <row r="28">
          <cell r="E28">
            <v>962</v>
          </cell>
          <cell r="H28">
            <v>10932</v>
          </cell>
        </row>
        <row r="29">
          <cell r="E29">
            <v>0</v>
          </cell>
          <cell r="H29">
            <v>2562</v>
          </cell>
        </row>
        <row r="30">
          <cell r="E30">
            <v>891</v>
          </cell>
          <cell r="H30">
            <v>33722</v>
          </cell>
        </row>
        <row r="31">
          <cell r="E31">
            <v>583</v>
          </cell>
          <cell r="H31">
            <v>58762</v>
          </cell>
        </row>
        <row r="32">
          <cell r="E32">
            <v>8129</v>
          </cell>
          <cell r="H32">
            <v>39037</v>
          </cell>
        </row>
        <row r="33">
          <cell r="E33">
            <v>191</v>
          </cell>
          <cell r="H33">
            <v>1254</v>
          </cell>
        </row>
        <row r="36">
          <cell r="E36">
            <v>6521</v>
          </cell>
          <cell r="H36">
            <v>4232</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sheetData>
      <sheetData sheetId="15">
        <row r="6">
          <cell r="D6">
            <v>1688</v>
          </cell>
          <cell r="E6">
            <v>958</v>
          </cell>
          <cell r="F6">
            <v>56.753554502369667</v>
          </cell>
        </row>
        <row r="7">
          <cell r="D7">
            <v>151</v>
          </cell>
          <cell r="F7">
            <v>0</v>
          </cell>
        </row>
      </sheetData>
      <sheetData sheetId="16"/>
      <sheetData sheetId="17"/>
      <sheetData sheetId="18"/>
      <sheetData sheetId="19"/>
      <sheetData sheetId="20"/>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209038</v>
          </cell>
          <cell r="R12">
            <v>5954</v>
          </cell>
        </row>
        <row r="13">
          <cell r="D13">
            <v>14797</v>
          </cell>
          <cell r="R13">
            <v>511</v>
          </cell>
        </row>
        <row r="14">
          <cell r="D14">
            <v>22427</v>
          </cell>
          <cell r="R14">
            <v>37</v>
          </cell>
        </row>
        <row r="17">
          <cell r="D17">
            <v>5802</v>
          </cell>
          <cell r="R17">
            <v>0</v>
          </cell>
        </row>
        <row r="20">
          <cell r="D20">
            <v>69301</v>
          </cell>
          <cell r="R20">
            <v>5266</v>
          </cell>
        </row>
        <row r="24">
          <cell r="D24">
            <v>124570</v>
          </cell>
          <cell r="R24">
            <v>13561</v>
          </cell>
        </row>
        <row r="29">
          <cell r="D29">
            <v>3767</v>
          </cell>
          <cell r="R29">
            <v>1206</v>
          </cell>
        </row>
        <row r="30">
          <cell r="D30">
            <v>67347</v>
          </cell>
          <cell r="R30">
            <v>1737</v>
          </cell>
        </row>
        <row r="35">
          <cell r="D35">
            <v>1468</v>
          </cell>
          <cell r="R35">
            <v>1468</v>
          </cell>
        </row>
        <row r="36">
          <cell r="D36">
            <v>2736</v>
          </cell>
          <cell r="R36">
            <v>2736</v>
          </cell>
        </row>
        <row r="40">
          <cell r="D40">
            <v>23254</v>
          </cell>
          <cell r="R40">
            <v>4018</v>
          </cell>
        </row>
      </sheetData>
      <sheetData sheetId="4"/>
      <sheetData sheetId="5"/>
      <sheetData sheetId="6"/>
      <sheetData sheetId="7"/>
      <sheetData sheetId="8"/>
      <sheetData sheetId="9"/>
      <sheetData sheetId="10"/>
      <sheetData sheetId="11"/>
      <sheetData sheetId="12"/>
      <sheetData sheetId="13"/>
      <sheetData sheetId="14">
        <row r="9">
          <cell r="F9">
            <v>8</v>
          </cell>
          <cell r="H9">
            <v>501</v>
          </cell>
          <cell r="I9">
            <v>1104</v>
          </cell>
        </row>
        <row r="10">
          <cell r="F10">
            <v>4</v>
          </cell>
          <cell r="H10">
            <v>108</v>
          </cell>
          <cell r="I10">
            <v>117</v>
          </cell>
        </row>
        <row r="11">
          <cell r="F11">
            <v>7</v>
          </cell>
          <cell r="H11">
            <v>198</v>
          </cell>
          <cell r="I11">
            <v>220</v>
          </cell>
        </row>
        <row r="12">
          <cell r="F12">
            <v>0</v>
          </cell>
          <cell r="H12">
            <v>19</v>
          </cell>
          <cell r="I12">
            <v>19</v>
          </cell>
        </row>
        <row r="13">
          <cell r="F13">
            <v>5</v>
          </cell>
          <cell r="H13">
            <v>212</v>
          </cell>
          <cell r="I13">
            <v>235</v>
          </cell>
        </row>
        <row r="14">
          <cell r="F14">
            <v>5</v>
          </cell>
          <cell r="H14">
            <v>214</v>
          </cell>
          <cell r="I14">
            <v>221</v>
          </cell>
        </row>
        <row r="15">
          <cell r="F15">
            <v>14</v>
          </cell>
          <cell r="H15">
            <v>82</v>
          </cell>
          <cell r="I15">
            <v>97</v>
          </cell>
        </row>
        <row r="16">
          <cell r="F16">
            <v>1</v>
          </cell>
          <cell r="H16">
            <v>11</v>
          </cell>
          <cell r="I16">
            <v>12</v>
          </cell>
        </row>
        <row r="17">
          <cell r="I17">
            <v>0</v>
          </cell>
        </row>
        <row r="18">
          <cell r="I18">
            <v>0</v>
          </cell>
        </row>
        <row r="19">
          <cell r="F19">
            <v>62</v>
          </cell>
          <cell r="H19">
            <v>94</v>
          </cell>
          <cell r="I19">
            <v>212</v>
          </cell>
        </row>
        <row r="26">
          <cell r="E26">
            <v>2332</v>
          </cell>
          <cell r="H26">
            <v>53597</v>
          </cell>
        </row>
        <row r="27">
          <cell r="E27">
            <v>508</v>
          </cell>
          <cell r="H27">
            <v>7737</v>
          </cell>
        </row>
        <row r="28">
          <cell r="E28">
            <v>1036</v>
          </cell>
          <cell r="H28">
            <v>11397</v>
          </cell>
        </row>
        <row r="29">
          <cell r="E29">
            <v>0</v>
          </cell>
          <cell r="H29">
            <v>3509</v>
          </cell>
        </row>
        <row r="30">
          <cell r="E30">
            <v>972</v>
          </cell>
          <cell r="H30">
            <v>32435</v>
          </cell>
        </row>
        <row r="31">
          <cell r="E31">
            <v>1230</v>
          </cell>
          <cell r="H31">
            <v>59158</v>
          </cell>
        </row>
        <row r="32">
          <cell r="E32">
            <v>8455</v>
          </cell>
          <cell r="H32">
            <v>38651</v>
          </cell>
        </row>
        <row r="33">
          <cell r="E33">
            <v>192</v>
          </cell>
          <cell r="H33">
            <v>1359</v>
          </cell>
        </row>
        <row r="36">
          <cell r="E36">
            <v>6491</v>
          </cell>
          <cell r="H36">
            <v>4118</v>
          </cell>
        </row>
      </sheetData>
      <sheetData sheetId="15">
        <row r="6">
          <cell r="D6">
            <v>1673</v>
          </cell>
          <cell r="E6">
            <v>955</v>
          </cell>
          <cell r="F6">
            <v>57.083084279737001</v>
          </cell>
        </row>
        <row r="7">
          <cell r="D7">
            <v>150</v>
          </cell>
          <cell r="F7">
            <v>0</v>
          </cell>
        </row>
      </sheetData>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417020</v>
          </cell>
          <cell r="R12">
            <v>15492</v>
          </cell>
        </row>
        <row r="13">
          <cell r="D13">
            <v>613</v>
          </cell>
          <cell r="R13">
            <v>0</v>
          </cell>
        </row>
        <row r="14">
          <cell r="D14">
            <v>204974</v>
          </cell>
          <cell r="R14">
            <v>13155</v>
          </cell>
        </row>
        <row r="17">
          <cell r="D17">
            <v>0</v>
          </cell>
          <cell r="R17">
            <v>0</v>
          </cell>
        </row>
        <row r="20">
          <cell r="D20">
            <v>261869</v>
          </cell>
          <cell r="R20">
            <v>52262</v>
          </cell>
        </row>
        <row r="24">
          <cell r="D24">
            <v>222309</v>
          </cell>
          <cell r="R24">
            <v>21733</v>
          </cell>
        </row>
        <row r="29">
          <cell r="D29">
            <v>0</v>
          </cell>
          <cell r="R29">
            <v>0</v>
          </cell>
        </row>
        <row r="30">
          <cell r="D30">
            <v>1941</v>
          </cell>
          <cell r="R30">
            <v>0</v>
          </cell>
        </row>
        <row r="35">
          <cell r="D35">
            <v>2494</v>
          </cell>
          <cell r="R35">
            <v>2494</v>
          </cell>
        </row>
        <row r="36">
          <cell r="D36">
            <v>4146</v>
          </cell>
          <cell r="R36">
            <v>4146</v>
          </cell>
        </row>
        <row r="40">
          <cell r="D40">
            <v>54373</v>
          </cell>
          <cell r="R40">
            <v>25194</v>
          </cell>
        </row>
      </sheetData>
      <sheetData sheetId="4"/>
      <sheetData sheetId="5"/>
      <sheetData sheetId="6"/>
      <sheetData sheetId="7"/>
      <sheetData sheetId="8"/>
      <sheetData sheetId="9"/>
      <sheetData sheetId="10"/>
      <sheetData sheetId="11"/>
      <sheetData sheetId="12"/>
      <sheetData sheetId="13">
        <row r="9">
          <cell r="F9">
            <v>0</v>
          </cell>
          <cell r="G9">
            <v>330</v>
          </cell>
          <cell r="H9">
            <v>176</v>
          </cell>
          <cell r="I9">
            <v>2260</v>
          </cell>
        </row>
        <row r="10">
          <cell r="F10">
            <v>0</v>
          </cell>
          <cell r="G10">
            <v>1</v>
          </cell>
          <cell r="H10">
            <v>0</v>
          </cell>
          <cell r="I10">
            <v>1</v>
          </cell>
        </row>
        <row r="11">
          <cell r="F11">
            <v>10</v>
          </cell>
          <cell r="G11">
            <v>387</v>
          </cell>
          <cell r="H11">
            <v>329</v>
          </cell>
          <cell r="I11">
            <v>916</v>
          </cell>
        </row>
        <row r="12">
          <cell r="F12">
            <v>0</v>
          </cell>
          <cell r="G12">
            <v>0</v>
          </cell>
          <cell r="H12">
            <v>0</v>
          </cell>
          <cell r="I12">
            <v>0</v>
          </cell>
        </row>
        <row r="13">
          <cell r="F13">
            <v>3</v>
          </cell>
          <cell r="G13">
            <v>60</v>
          </cell>
          <cell r="H13">
            <v>138</v>
          </cell>
          <cell r="I13">
            <v>320</v>
          </cell>
        </row>
        <row r="14">
          <cell r="F14">
            <v>1</v>
          </cell>
          <cell r="G14">
            <v>65</v>
          </cell>
          <cell r="H14">
            <v>203</v>
          </cell>
          <cell r="I14">
            <v>348</v>
          </cell>
        </row>
        <row r="15">
          <cell r="F15">
            <v>0</v>
          </cell>
          <cell r="G15">
            <v>2</v>
          </cell>
          <cell r="H15">
            <v>0</v>
          </cell>
          <cell r="I15">
            <v>2</v>
          </cell>
        </row>
        <row r="16">
          <cell r="F16">
            <v>0</v>
          </cell>
          <cell r="G16">
            <v>0</v>
          </cell>
          <cell r="H16">
            <v>0</v>
          </cell>
          <cell r="I16">
            <v>0</v>
          </cell>
        </row>
        <row r="17">
          <cell r="I17">
            <v>0</v>
          </cell>
        </row>
        <row r="18">
          <cell r="I18">
            <v>0</v>
          </cell>
        </row>
        <row r="19">
          <cell r="F19">
            <v>0</v>
          </cell>
          <cell r="G19">
            <v>79</v>
          </cell>
          <cell r="H19">
            <v>57</v>
          </cell>
          <cell r="I19">
            <v>163</v>
          </cell>
        </row>
        <row r="26">
          <cell r="E26">
            <v>20455</v>
          </cell>
          <cell r="H26">
            <v>13557</v>
          </cell>
        </row>
        <row r="27">
          <cell r="E27">
            <v>123</v>
          </cell>
          <cell r="H27">
            <v>0</v>
          </cell>
        </row>
        <row r="28">
          <cell r="E28">
            <v>32928</v>
          </cell>
          <cell r="H28">
            <v>15934</v>
          </cell>
        </row>
        <row r="29">
          <cell r="E29">
            <v>0</v>
          </cell>
          <cell r="H29">
            <v>0</v>
          </cell>
        </row>
        <row r="30">
          <cell r="E30">
            <v>6448</v>
          </cell>
          <cell r="H30">
            <v>9347</v>
          </cell>
        </row>
        <row r="31">
          <cell r="E31">
            <v>5183</v>
          </cell>
          <cell r="H31">
            <v>15799</v>
          </cell>
        </row>
        <row r="32">
          <cell r="E32">
            <v>690</v>
          </cell>
          <cell r="H32">
            <v>122</v>
          </cell>
        </row>
        <row r="33">
          <cell r="E33">
            <v>0</v>
          </cell>
          <cell r="H33">
            <v>0</v>
          </cell>
        </row>
        <row r="36">
          <cell r="E36">
            <v>3786</v>
          </cell>
          <cell r="H36">
            <v>3477</v>
          </cell>
        </row>
        <row r="53">
          <cell r="F53">
            <v>23</v>
          </cell>
          <cell r="G53">
            <v>9</v>
          </cell>
          <cell r="H53">
            <v>17</v>
          </cell>
          <cell r="I53">
            <v>146</v>
          </cell>
        </row>
        <row r="54">
          <cell r="F54">
            <v>0</v>
          </cell>
          <cell r="G54">
            <v>0</v>
          </cell>
          <cell r="H54">
            <v>0</v>
          </cell>
          <cell r="I54">
            <v>0</v>
          </cell>
        </row>
        <row r="55">
          <cell r="F55">
            <v>9</v>
          </cell>
          <cell r="G55">
            <v>12</v>
          </cell>
          <cell r="H55">
            <v>40</v>
          </cell>
          <cell r="I55">
            <v>107</v>
          </cell>
        </row>
        <row r="56">
          <cell r="F56">
            <v>0</v>
          </cell>
          <cell r="G56">
            <v>0</v>
          </cell>
          <cell r="H56">
            <v>0</v>
          </cell>
          <cell r="I56">
            <v>0</v>
          </cell>
        </row>
        <row r="57">
          <cell r="F57">
            <v>13</v>
          </cell>
          <cell r="G57">
            <v>13</v>
          </cell>
          <cell r="H57">
            <v>79</v>
          </cell>
          <cell r="I57">
            <v>138</v>
          </cell>
        </row>
        <row r="58">
          <cell r="F58">
            <v>18</v>
          </cell>
          <cell r="G58">
            <v>8</v>
          </cell>
          <cell r="H58">
            <v>37</v>
          </cell>
          <cell r="I58">
            <v>74</v>
          </cell>
        </row>
        <row r="59">
          <cell r="F59">
            <v>0</v>
          </cell>
          <cell r="G59">
            <v>0</v>
          </cell>
          <cell r="H59">
            <v>0</v>
          </cell>
          <cell r="I59">
            <v>0</v>
          </cell>
        </row>
        <row r="60">
          <cell r="F60">
            <v>0</v>
          </cell>
          <cell r="G60">
            <v>0</v>
          </cell>
          <cell r="H60">
            <v>0</v>
          </cell>
          <cell r="I60">
            <v>0</v>
          </cell>
        </row>
        <row r="61">
          <cell r="F61">
            <v>0</v>
          </cell>
          <cell r="G61">
            <v>2</v>
          </cell>
          <cell r="H61">
            <v>15</v>
          </cell>
          <cell r="I61">
            <v>21</v>
          </cell>
        </row>
        <row r="62">
          <cell r="F62">
            <v>0</v>
          </cell>
          <cell r="G62">
            <v>0</v>
          </cell>
          <cell r="H62">
            <v>1</v>
          </cell>
          <cell r="I62">
            <v>21</v>
          </cell>
        </row>
        <row r="63">
          <cell r="F63">
            <v>0</v>
          </cell>
          <cell r="G63">
            <v>19</v>
          </cell>
          <cell r="H63">
            <v>118</v>
          </cell>
          <cell r="I63">
            <v>192</v>
          </cell>
        </row>
        <row r="70">
          <cell r="E70">
            <v>2933</v>
          </cell>
          <cell r="H70">
            <v>1468</v>
          </cell>
        </row>
        <row r="71">
          <cell r="E71">
            <v>0</v>
          </cell>
          <cell r="H71">
            <v>0</v>
          </cell>
        </row>
        <row r="72">
          <cell r="E72">
            <v>2472</v>
          </cell>
          <cell r="H72">
            <v>3174</v>
          </cell>
        </row>
        <row r="73">
          <cell r="E73">
            <v>0</v>
          </cell>
          <cell r="H73">
            <v>0</v>
          </cell>
        </row>
        <row r="74">
          <cell r="E74">
            <v>3432</v>
          </cell>
          <cell r="H74">
            <v>5660</v>
          </cell>
        </row>
        <row r="75">
          <cell r="E75">
            <v>3504</v>
          </cell>
          <cell r="H75">
            <v>3142</v>
          </cell>
        </row>
        <row r="76">
          <cell r="E76">
            <v>0</v>
          </cell>
          <cell r="H76">
            <v>0</v>
          </cell>
        </row>
        <row r="77">
          <cell r="E77">
            <v>0</v>
          </cell>
          <cell r="H77">
            <v>0</v>
          </cell>
        </row>
        <row r="78">
          <cell r="E78">
            <v>247</v>
          </cell>
          <cell r="H78">
            <v>1978</v>
          </cell>
        </row>
        <row r="79">
          <cell r="E79">
            <v>0</v>
          </cell>
          <cell r="H79">
            <v>58</v>
          </cell>
        </row>
        <row r="80">
          <cell r="E80">
            <v>864</v>
          </cell>
          <cell r="H80">
            <v>8817</v>
          </cell>
        </row>
      </sheetData>
      <sheetData sheetId="14">
        <row r="5">
          <cell r="F5">
            <v>48.667107292355148</v>
          </cell>
        </row>
        <row r="6">
          <cell r="D6">
            <v>3996</v>
          </cell>
          <cell r="E6">
            <v>1836</v>
          </cell>
          <cell r="F6">
            <v>45.945945945945944</v>
          </cell>
        </row>
        <row r="7">
          <cell r="D7">
            <v>543</v>
          </cell>
          <cell r="E7">
            <v>373</v>
          </cell>
          <cell r="F7">
            <v>68.692449355432785</v>
          </cell>
        </row>
      </sheetData>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SKL2016_HE"/>
    </sheetNames>
    <sheetDataSet>
      <sheetData sheetId="0"/>
      <sheetData sheetId="1"/>
      <sheetData sheetId="2"/>
      <sheetData sheetId="3">
        <row r="12">
          <cell r="D12">
            <v>213753</v>
          </cell>
          <cell r="R12">
            <v>6215</v>
          </cell>
        </row>
        <row r="13">
          <cell r="D13">
            <v>14915</v>
          </cell>
          <cell r="R13">
            <v>563</v>
          </cell>
        </row>
        <row r="14">
          <cell r="D14">
            <v>23659</v>
          </cell>
          <cell r="R14">
            <v>45</v>
          </cell>
        </row>
        <row r="17">
          <cell r="D17">
            <v>6622</v>
          </cell>
          <cell r="R17">
            <v>0</v>
          </cell>
        </row>
        <row r="20">
          <cell r="D20">
            <v>66509</v>
          </cell>
          <cell r="R20">
            <v>5281</v>
          </cell>
        </row>
        <row r="24">
          <cell r="D24">
            <v>127642</v>
          </cell>
          <cell r="R24">
            <v>13931</v>
          </cell>
        </row>
        <row r="29">
          <cell r="D29">
            <v>4043</v>
          </cell>
          <cell r="R29">
            <v>1163</v>
          </cell>
        </row>
        <row r="30">
          <cell r="D30">
            <v>67944</v>
          </cell>
          <cell r="R30">
            <v>1785</v>
          </cell>
        </row>
        <row r="35">
          <cell r="D35">
            <v>1457</v>
          </cell>
          <cell r="R35">
            <v>1457</v>
          </cell>
        </row>
        <row r="36">
          <cell r="D36">
            <v>2700</v>
          </cell>
          <cell r="R36">
            <v>2700</v>
          </cell>
        </row>
        <row r="40">
          <cell r="D40">
            <v>22392</v>
          </cell>
          <cell r="R40">
            <v>3901</v>
          </cell>
        </row>
      </sheetData>
      <sheetData sheetId="4"/>
      <sheetData sheetId="5"/>
      <sheetData sheetId="6"/>
      <sheetData sheetId="7"/>
      <sheetData sheetId="8"/>
      <sheetData sheetId="9"/>
      <sheetData sheetId="10"/>
      <sheetData sheetId="11"/>
      <sheetData sheetId="12"/>
      <sheetData sheetId="13"/>
      <sheetData sheetId="14">
        <row r="9">
          <cell r="D9">
            <v>564</v>
          </cell>
          <cell r="F9">
            <v>12</v>
          </cell>
          <cell r="G9"/>
          <cell r="H9">
            <v>552</v>
          </cell>
          <cell r="I9">
            <v>1101</v>
          </cell>
        </row>
        <row r="10">
          <cell r="D10">
            <v>113</v>
          </cell>
          <cell r="F10">
            <v>5</v>
          </cell>
          <cell r="G10"/>
          <cell r="H10">
            <v>108</v>
          </cell>
          <cell r="I10">
            <v>116</v>
          </cell>
        </row>
        <row r="11">
          <cell r="D11">
            <v>201</v>
          </cell>
          <cell r="F11">
            <v>8</v>
          </cell>
          <cell r="G11"/>
          <cell r="H11">
            <v>193</v>
          </cell>
          <cell r="I11">
            <v>213</v>
          </cell>
        </row>
        <row r="12">
          <cell r="D12">
            <v>19</v>
          </cell>
          <cell r="F12">
            <v>0</v>
          </cell>
          <cell r="G12"/>
          <cell r="H12">
            <v>19</v>
          </cell>
          <cell r="I12">
            <v>19</v>
          </cell>
        </row>
        <row r="13">
          <cell r="D13">
            <v>206</v>
          </cell>
          <cell r="F13">
            <v>6</v>
          </cell>
          <cell r="G13"/>
          <cell r="H13">
            <v>200</v>
          </cell>
          <cell r="I13">
            <v>222</v>
          </cell>
        </row>
        <row r="14">
          <cell r="D14">
            <v>220</v>
          </cell>
          <cell r="F14">
            <v>6</v>
          </cell>
          <cell r="G14"/>
          <cell r="H14">
            <v>214</v>
          </cell>
          <cell r="I14">
            <v>221</v>
          </cell>
        </row>
        <row r="15">
          <cell r="D15">
            <v>98</v>
          </cell>
          <cell r="F15">
            <v>15</v>
          </cell>
          <cell r="G15"/>
          <cell r="H15">
            <v>83</v>
          </cell>
          <cell r="I15">
            <v>99</v>
          </cell>
        </row>
        <row r="16">
          <cell r="F16">
            <v>1</v>
          </cell>
          <cell r="G16"/>
          <cell r="H16">
            <v>13</v>
          </cell>
          <cell r="I16">
            <v>14</v>
          </cell>
        </row>
        <row r="17">
          <cell r="D17">
            <v>0</v>
          </cell>
          <cell r="I17">
            <v>0</v>
          </cell>
        </row>
        <row r="18">
          <cell r="I18">
            <v>0</v>
          </cell>
        </row>
        <row r="19">
          <cell r="D19">
            <v>157</v>
          </cell>
          <cell r="F19">
            <v>65</v>
          </cell>
          <cell r="G19"/>
          <cell r="H19">
            <v>92</v>
          </cell>
          <cell r="I19">
            <v>208</v>
          </cell>
        </row>
        <row r="26">
          <cell r="D26">
            <v>69700</v>
          </cell>
          <cell r="E26">
            <v>3170</v>
          </cell>
          <cell r="H26">
            <v>66530</v>
          </cell>
        </row>
        <row r="27">
          <cell r="D27">
            <v>8583</v>
          </cell>
          <cell r="E27">
            <v>769</v>
          </cell>
          <cell r="H27">
            <v>7814</v>
          </cell>
        </row>
        <row r="28">
          <cell r="D28">
            <v>13659</v>
          </cell>
          <cell r="E28">
            <v>1302</v>
          </cell>
          <cell r="H28">
            <v>12357</v>
          </cell>
        </row>
        <row r="29">
          <cell r="D29">
            <v>4425</v>
          </cell>
          <cell r="E29">
            <v>0</v>
          </cell>
          <cell r="H29">
            <v>4425</v>
          </cell>
        </row>
        <row r="30">
          <cell r="D30">
            <v>33493</v>
          </cell>
          <cell r="E30">
            <v>1239</v>
          </cell>
          <cell r="H30">
            <v>32254</v>
          </cell>
        </row>
        <row r="31">
          <cell r="D31">
            <v>64084</v>
          </cell>
          <cell r="E31">
            <v>1405</v>
          </cell>
          <cell r="H31">
            <v>62679</v>
          </cell>
        </row>
        <row r="32">
          <cell r="D32">
            <v>48972</v>
          </cell>
          <cell r="E32">
            <v>9118</v>
          </cell>
          <cell r="H32">
            <v>39854</v>
          </cell>
        </row>
        <row r="33">
          <cell r="E33">
            <v>190</v>
          </cell>
          <cell r="H33">
            <v>1544</v>
          </cell>
        </row>
        <row r="34">
          <cell r="D34">
            <v>0</v>
          </cell>
        </row>
        <row r="36">
          <cell r="D36">
            <v>10623</v>
          </cell>
          <cell r="E36">
            <v>6811</v>
          </cell>
          <cell r="H36">
            <v>3812</v>
          </cell>
        </row>
        <row r="53">
          <cell r="D53">
            <v>0</v>
          </cell>
          <cell r="F53"/>
          <cell r="G53"/>
          <cell r="H53"/>
          <cell r="I53"/>
        </row>
        <row r="54">
          <cell r="D54">
            <v>0</v>
          </cell>
          <cell r="F54"/>
          <cell r="G54"/>
          <cell r="H54"/>
          <cell r="I54"/>
        </row>
        <row r="55">
          <cell r="D55">
            <v>0</v>
          </cell>
          <cell r="F55"/>
          <cell r="G55"/>
          <cell r="H55"/>
          <cell r="I55"/>
        </row>
        <row r="56">
          <cell r="D56">
            <v>0</v>
          </cell>
          <cell r="F56"/>
          <cell r="G56"/>
          <cell r="H56"/>
          <cell r="I56"/>
        </row>
        <row r="57">
          <cell r="D57">
            <v>0</v>
          </cell>
          <cell r="F57"/>
          <cell r="G57"/>
          <cell r="H57"/>
          <cell r="I57"/>
        </row>
        <row r="58">
          <cell r="D58">
            <v>0</v>
          </cell>
          <cell r="F58"/>
          <cell r="G58"/>
          <cell r="H58"/>
          <cell r="I58"/>
        </row>
        <row r="59">
          <cell r="D59">
            <v>0</v>
          </cell>
          <cell r="F59"/>
          <cell r="G59"/>
          <cell r="H59"/>
          <cell r="I59"/>
        </row>
        <row r="60">
          <cell r="F60"/>
          <cell r="G60"/>
          <cell r="H60"/>
          <cell r="I60"/>
        </row>
        <row r="61">
          <cell r="D61">
            <v>0</v>
          </cell>
          <cell r="F61"/>
          <cell r="G61"/>
          <cell r="H61"/>
          <cell r="I61"/>
        </row>
        <row r="62">
          <cell r="F62"/>
          <cell r="G62"/>
          <cell r="H62"/>
          <cell r="I62"/>
        </row>
        <row r="63">
          <cell r="D63">
            <v>0</v>
          </cell>
          <cell r="F63"/>
          <cell r="G63"/>
          <cell r="H63"/>
          <cell r="I63"/>
        </row>
        <row r="70">
          <cell r="D70">
            <v>0</v>
          </cell>
          <cell r="E70"/>
          <cell r="H70"/>
        </row>
        <row r="71">
          <cell r="D71">
            <v>0</v>
          </cell>
          <cell r="E71"/>
          <cell r="H71"/>
        </row>
        <row r="72">
          <cell r="D72">
            <v>0</v>
          </cell>
          <cell r="E72"/>
          <cell r="H72"/>
        </row>
        <row r="73">
          <cell r="D73">
            <v>0</v>
          </cell>
          <cell r="E73"/>
          <cell r="H73"/>
        </row>
        <row r="74">
          <cell r="D74">
            <v>0</v>
          </cell>
          <cell r="E74"/>
          <cell r="H74"/>
        </row>
        <row r="75">
          <cell r="D75">
            <v>0</v>
          </cell>
          <cell r="E75"/>
          <cell r="H75"/>
        </row>
        <row r="76">
          <cell r="D76">
            <v>0</v>
          </cell>
          <cell r="E76"/>
          <cell r="H76"/>
        </row>
        <row r="77">
          <cell r="E77"/>
          <cell r="H77"/>
        </row>
        <row r="78">
          <cell r="D78">
            <v>0</v>
          </cell>
          <cell r="E78"/>
          <cell r="H78"/>
        </row>
        <row r="79">
          <cell r="E79"/>
          <cell r="H79"/>
        </row>
        <row r="80">
          <cell r="D80">
            <v>0</v>
          </cell>
          <cell r="E80"/>
          <cell r="H80"/>
        </row>
        <row r="97">
          <cell r="D97">
            <v>564</v>
          </cell>
        </row>
        <row r="98">
          <cell r="D98">
            <v>113</v>
          </cell>
        </row>
        <row r="99">
          <cell r="D99">
            <v>201</v>
          </cell>
        </row>
        <row r="100">
          <cell r="D100">
            <v>19</v>
          </cell>
        </row>
        <row r="101">
          <cell r="D101">
            <v>206</v>
          </cell>
        </row>
        <row r="102">
          <cell r="D102">
            <v>220</v>
          </cell>
        </row>
        <row r="103">
          <cell r="D103">
            <v>98</v>
          </cell>
        </row>
        <row r="105">
          <cell r="D105">
            <v>0</v>
          </cell>
        </row>
        <row r="107">
          <cell r="D107">
            <v>157</v>
          </cell>
        </row>
        <row r="114">
          <cell r="D114">
            <v>69700</v>
          </cell>
        </row>
        <row r="115">
          <cell r="D115">
            <v>8583</v>
          </cell>
        </row>
        <row r="116">
          <cell r="D116">
            <v>13659</v>
          </cell>
        </row>
        <row r="117">
          <cell r="D117">
            <v>4425</v>
          </cell>
        </row>
        <row r="118">
          <cell r="D118">
            <v>33493</v>
          </cell>
        </row>
        <row r="119">
          <cell r="D119">
            <v>64084</v>
          </cell>
        </row>
        <row r="120">
          <cell r="D120">
            <v>48972</v>
          </cell>
        </row>
        <row r="122">
          <cell r="D122">
            <v>0</v>
          </cell>
        </row>
        <row r="124">
          <cell r="D124">
            <v>10623</v>
          </cell>
        </row>
      </sheetData>
      <sheetData sheetId="15">
        <row r="6">
          <cell r="D6">
            <v>1672</v>
          </cell>
          <cell r="E6">
            <v>1071</v>
          </cell>
          <cell r="F6">
            <v>64.055023923444978</v>
          </cell>
        </row>
        <row r="7">
          <cell r="D7">
            <v>149</v>
          </cell>
          <cell r="E7"/>
          <cell r="F7">
            <v>0</v>
          </cell>
        </row>
      </sheetData>
      <sheetData sheetId="16"/>
      <sheetData sheetId="17"/>
      <sheetData sheetId="18"/>
      <sheetData sheetId="19"/>
      <sheetData sheetId="20"/>
      <sheetData sheetId="2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289846</v>
          </cell>
          <cell r="R12">
            <v>1928</v>
          </cell>
        </row>
        <row r="13">
          <cell r="D13">
            <v>0</v>
          </cell>
          <cell r="R13">
            <v>0</v>
          </cell>
        </row>
        <row r="14">
          <cell r="D14">
            <v>66544</v>
          </cell>
          <cell r="R14">
            <v>2465</v>
          </cell>
        </row>
        <row r="17">
          <cell r="D17">
            <v>23262</v>
          </cell>
          <cell r="R17">
            <v>2003</v>
          </cell>
        </row>
        <row r="20">
          <cell r="D20">
            <v>160100</v>
          </cell>
          <cell r="R20">
            <v>7206</v>
          </cell>
        </row>
        <row r="24">
          <cell r="D24">
            <v>159743</v>
          </cell>
          <cell r="R24">
            <v>15502</v>
          </cell>
        </row>
        <row r="29">
          <cell r="D29">
            <v>1176</v>
          </cell>
          <cell r="R29">
            <v>740</v>
          </cell>
        </row>
        <row r="30">
          <cell r="D30">
            <v>42546</v>
          </cell>
          <cell r="R30">
            <v>2555</v>
          </cell>
        </row>
        <row r="35">
          <cell r="D35">
            <v>2173</v>
          </cell>
          <cell r="R35">
            <v>2173</v>
          </cell>
        </row>
        <row r="36">
          <cell r="D36">
            <v>3583</v>
          </cell>
          <cell r="R36">
            <v>3583</v>
          </cell>
        </row>
        <row r="40">
          <cell r="D40">
            <v>33294</v>
          </cell>
          <cell r="R40">
            <v>5067</v>
          </cell>
        </row>
      </sheetData>
      <sheetData sheetId="4"/>
      <sheetData sheetId="5"/>
      <sheetData sheetId="6"/>
      <sheetData sheetId="7"/>
      <sheetData sheetId="8"/>
      <sheetData sheetId="9"/>
      <sheetData sheetId="10"/>
      <sheetData sheetId="11"/>
      <sheetData sheetId="12"/>
      <sheetData sheetId="13">
        <row r="9">
          <cell r="F9">
            <v>2</v>
          </cell>
          <cell r="G9">
            <v>10</v>
          </cell>
          <cell r="H9">
            <v>663</v>
          </cell>
          <cell r="I9">
            <v>1748</v>
          </cell>
        </row>
        <row r="10">
          <cell r="F10">
            <v>0</v>
          </cell>
          <cell r="G10">
            <v>0</v>
          </cell>
          <cell r="H10">
            <v>0</v>
          </cell>
          <cell r="I10">
            <v>0</v>
          </cell>
        </row>
        <row r="11">
          <cell r="F11">
            <v>20</v>
          </cell>
          <cell r="G11">
            <v>74</v>
          </cell>
          <cell r="H11">
            <v>281</v>
          </cell>
          <cell r="I11">
            <v>468</v>
          </cell>
        </row>
        <row r="12">
          <cell r="F12">
            <v>1</v>
          </cell>
          <cell r="G12">
            <v>135</v>
          </cell>
          <cell r="H12">
            <v>44</v>
          </cell>
          <cell r="I12">
            <v>205</v>
          </cell>
        </row>
        <row r="13">
          <cell r="F13">
            <v>12</v>
          </cell>
          <cell r="G13">
            <v>45</v>
          </cell>
          <cell r="H13">
            <v>273</v>
          </cell>
          <cell r="I13">
            <v>469</v>
          </cell>
        </row>
        <row r="14">
          <cell r="F14">
            <v>6</v>
          </cell>
          <cell r="G14">
            <v>9</v>
          </cell>
          <cell r="H14">
            <v>193</v>
          </cell>
          <cell r="I14">
            <v>256</v>
          </cell>
        </row>
        <row r="15">
          <cell r="F15">
            <v>24</v>
          </cell>
          <cell r="G15">
            <v>8</v>
          </cell>
          <cell r="H15">
            <v>34</v>
          </cell>
          <cell r="I15">
            <v>66</v>
          </cell>
        </row>
        <row r="16">
          <cell r="I16">
            <v>0</v>
          </cell>
        </row>
        <row r="17">
          <cell r="F17">
            <v>49</v>
          </cell>
          <cell r="G17">
            <v>7</v>
          </cell>
          <cell r="H17">
            <v>93</v>
          </cell>
          <cell r="I17">
            <v>276</v>
          </cell>
        </row>
        <row r="24">
          <cell r="E24">
            <v>2250</v>
          </cell>
          <cell r="H24">
            <v>59161</v>
          </cell>
        </row>
        <row r="25">
          <cell r="E25">
            <v>0</v>
          </cell>
          <cell r="H25">
            <v>0</v>
          </cell>
        </row>
        <row r="26">
          <cell r="E26">
            <v>13563</v>
          </cell>
          <cell r="H26">
            <v>21835</v>
          </cell>
        </row>
        <row r="27">
          <cell r="E27">
            <v>14698</v>
          </cell>
          <cell r="H27">
            <v>2895</v>
          </cell>
        </row>
        <row r="28">
          <cell r="E28">
            <v>15258</v>
          </cell>
          <cell r="H28">
            <v>45266</v>
          </cell>
        </row>
        <row r="29">
          <cell r="E29">
            <v>6264</v>
          </cell>
          <cell r="H29">
            <v>57087</v>
          </cell>
        </row>
        <row r="30">
          <cell r="E30">
            <v>26125</v>
          </cell>
          <cell r="H30">
            <v>12714</v>
          </cell>
        </row>
        <row r="31">
          <cell r="E31">
            <v>388</v>
          </cell>
          <cell r="H31">
            <v>0</v>
          </cell>
        </row>
        <row r="34">
          <cell r="E34">
            <v>5201</v>
          </cell>
          <cell r="H34">
            <v>5730</v>
          </cell>
        </row>
        <row r="51">
          <cell r="F51">
            <v>0</v>
          </cell>
          <cell r="G51">
            <v>0</v>
          </cell>
          <cell r="H51">
            <v>0</v>
          </cell>
          <cell r="I51">
            <v>33</v>
          </cell>
        </row>
        <row r="52">
          <cell r="F52">
            <v>0</v>
          </cell>
          <cell r="G52">
            <v>0</v>
          </cell>
          <cell r="H52">
            <v>0</v>
          </cell>
          <cell r="I52">
            <v>0</v>
          </cell>
        </row>
        <row r="53">
          <cell r="F53">
            <v>0</v>
          </cell>
          <cell r="G53">
            <v>0</v>
          </cell>
          <cell r="H53">
            <v>0</v>
          </cell>
          <cell r="I53">
            <v>20</v>
          </cell>
        </row>
        <row r="54">
          <cell r="F54">
            <v>0</v>
          </cell>
          <cell r="G54">
            <v>0</v>
          </cell>
          <cell r="H54">
            <v>0</v>
          </cell>
          <cell r="I54">
            <v>11</v>
          </cell>
        </row>
        <row r="55">
          <cell r="F55">
            <v>0</v>
          </cell>
          <cell r="G55">
            <v>0</v>
          </cell>
          <cell r="H55">
            <v>0</v>
          </cell>
          <cell r="I55">
            <v>29</v>
          </cell>
        </row>
        <row r="56">
          <cell r="F56">
            <v>0</v>
          </cell>
          <cell r="G56">
            <v>0</v>
          </cell>
          <cell r="H56">
            <v>0</v>
          </cell>
          <cell r="I56">
            <v>38</v>
          </cell>
        </row>
        <row r="57">
          <cell r="F57">
            <v>0</v>
          </cell>
          <cell r="G57">
            <v>0</v>
          </cell>
          <cell r="H57">
            <v>0</v>
          </cell>
          <cell r="I57">
            <v>11</v>
          </cell>
        </row>
        <row r="58">
          <cell r="F58">
            <v>0</v>
          </cell>
          <cell r="G58">
            <v>0</v>
          </cell>
          <cell r="H58">
            <v>0</v>
          </cell>
          <cell r="I58">
            <v>20</v>
          </cell>
        </row>
        <row r="59">
          <cell r="F59">
            <v>0</v>
          </cell>
          <cell r="G59">
            <v>0</v>
          </cell>
          <cell r="H59">
            <v>0</v>
          </cell>
          <cell r="I59">
            <v>58</v>
          </cell>
        </row>
        <row r="66">
          <cell r="E66">
            <v>0</v>
          </cell>
          <cell r="H66">
            <v>0</v>
          </cell>
        </row>
        <row r="67">
          <cell r="E67">
            <v>0</v>
          </cell>
          <cell r="H67">
            <v>0</v>
          </cell>
        </row>
        <row r="68">
          <cell r="E68">
            <v>0</v>
          </cell>
          <cell r="H68">
            <v>0</v>
          </cell>
        </row>
        <row r="69">
          <cell r="E69">
            <v>0</v>
          </cell>
          <cell r="H69">
            <v>0</v>
          </cell>
        </row>
        <row r="70">
          <cell r="E70">
            <v>0</v>
          </cell>
          <cell r="H70">
            <v>0</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0</v>
          </cell>
        </row>
      </sheetData>
      <sheetData sheetId="14">
        <row r="6">
          <cell r="D6">
            <v>2840</v>
          </cell>
          <cell r="E6">
            <v>1458</v>
          </cell>
          <cell r="F6">
            <v>51.338028169014088</v>
          </cell>
        </row>
        <row r="7">
          <cell r="D7">
            <v>171</v>
          </cell>
          <cell r="E7">
            <v>0</v>
          </cell>
          <cell r="F7">
            <v>0</v>
          </cell>
        </row>
      </sheetData>
      <sheetData sheetId="15"/>
      <sheetData sheetId="16"/>
      <sheetData sheetId="17"/>
      <sheetData sheetId="18"/>
      <sheetData sheetId="1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286215</v>
          </cell>
          <cell r="R12">
            <v>2073</v>
          </cell>
        </row>
        <row r="13">
          <cell r="D13">
            <v>0</v>
          </cell>
          <cell r="R13">
            <v>0</v>
          </cell>
        </row>
        <row r="14">
          <cell r="D14">
            <v>57408</v>
          </cell>
          <cell r="R14">
            <v>1885</v>
          </cell>
        </row>
        <row r="17">
          <cell r="D17">
            <v>38093</v>
          </cell>
          <cell r="R17">
            <v>3178</v>
          </cell>
        </row>
        <row r="20">
          <cell r="D20">
            <v>141205</v>
          </cell>
          <cell r="R20">
            <v>6019</v>
          </cell>
        </row>
        <row r="24">
          <cell r="D24">
            <v>155761</v>
          </cell>
          <cell r="R24">
            <v>15377</v>
          </cell>
        </row>
        <row r="29">
          <cell r="D29">
            <v>1155</v>
          </cell>
          <cell r="R29">
            <v>740</v>
          </cell>
        </row>
        <row r="30">
          <cell r="D30">
            <v>48396</v>
          </cell>
          <cell r="R30">
            <v>2960</v>
          </cell>
        </row>
        <row r="35">
          <cell r="D35">
            <v>2217</v>
          </cell>
          <cell r="R35">
            <v>2217</v>
          </cell>
        </row>
        <row r="36">
          <cell r="D36">
            <v>3649</v>
          </cell>
          <cell r="R36">
            <v>3649</v>
          </cell>
        </row>
        <row r="40">
          <cell r="D40">
            <v>31304</v>
          </cell>
          <cell r="R40">
            <v>5042</v>
          </cell>
        </row>
      </sheetData>
      <sheetData sheetId="4"/>
      <sheetData sheetId="5"/>
      <sheetData sheetId="6"/>
      <sheetData sheetId="7"/>
      <sheetData sheetId="8"/>
      <sheetData sheetId="9"/>
      <sheetData sheetId="10"/>
      <sheetData sheetId="11"/>
      <sheetData sheetId="12"/>
      <sheetData sheetId="13">
        <row r="9">
          <cell r="F9">
            <v>5</v>
          </cell>
          <cell r="G9">
            <v>9</v>
          </cell>
          <cell r="H9">
            <v>762</v>
          </cell>
          <cell r="I9">
            <v>1726</v>
          </cell>
        </row>
        <row r="10">
          <cell r="F10">
            <v>0</v>
          </cell>
          <cell r="G10">
            <v>0</v>
          </cell>
          <cell r="H10">
            <v>0</v>
          </cell>
          <cell r="I10">
            <v>0</v>
          </cell>
        </row>
        <row r="11">
          <cell r="F11">
            <v>23</v>
          </cell>
          <cell r="G11">
            <v>71</v>
          </cell>
          <cell r="H11">
            <v>280</v>
          </cell>
          <cell r="I11">
            <v>462</v>
          </cell>
        </row>
        <row r="12">
          <cell r="F12">
            <v>1</v>
          </cell>
          <cell r="G12">
            <v>164</v>
          </cell>
          <cell r="H12">
            <v>43</v>
          </cell>
          <cell r="I12">
            <v>222</v>
          </cell>
        </row>
        <row r="13">
          <cell r="F13">
            <v>16</v>
          </cell>
          <cell r="G13">
            <v>39</v>
          </cell>
          <cell r="H13">
            <v>278</v>
          </cell>
          <cell r="I13">
            <v>466</v>
          </cell>
        </row>
        <row r="14">
          <cell r="F14">
            <v>8</v>
          </cell>
          <cell r="G14">
            <v>7</v>
          </cell>
          <cell r="H14">
            <v>208</v>
          </cell>
          <cell r="I14">
            <v>256</v>
          </cell>
        </row>
        <row r="15">
          <cell r="F15">
            <v>24</v>
          </cell>
          <cell r="G15">
            <v>8</v>
          </cell>
          <cell r="H15">
            <v>39</v>
          </cell>
          <cell r="I15">
            <v>71</v>
          </cell>
        </row>
        <row r="16">
          <cell r="F16">
            <v>1</v>
          </cell>
          <cell r="G16">
            <v>0</v>
          </cell>
          <cell r="H16">
            <v>0</v>
          </cell>
          <cell r="I16">
            <v>1</v>
          </cell>
        </row>
        <row r="17">
          <cell r="I17">
            <v>0</v>
          </cell>
        </row>
        <row r="18">
          <cell r="I18">
            <v>0</v>
          </cell>
        </row>
        <row r="19">
          <cell r="F19">
            <v>49</v>
          </cell>
          <cell r="G19">
            <v>8</v>
          </cell>
          <cell r="H19">
            <v>90</v>
          </cell>
          <cell r="I19">
            <v>265</v>
          </cell>
        </row>
        <row r="26">
          <cell r="E26">
            <v>2530</v>
          </cell>
          <cell r="H26">
            <v>66980</v>
          </cell>
        </row>
        <row r="27">
          <cell r="E27">
            <v>0</v>
          </cell>
          <cell r="H27">
            <v>0</v>
          </cell>
        </row>
        <row r="28">
          <cell r="E28">
            <v>11930</v>
          </cell>
          <cell r="H28">
            <v>18625</v>
          </cell>
        </row>
        <row r="29">
          <cell r="E29">
            <v>25593</v>
          </cell>
          <cell r="H29">
            <v>3880</v>
          </cell>
        </row>
        <row r="30">
          <cell r="E30">
            <v>13294</v>
          </cell>
          <cell r="H30">
            <v>40713</v>
          </cell>
        </row>
        <row r="31">
          <cell r="E31">
            <v>5897</v>
          </cell>
          <cell r="H31">
            <v>59526</v>
          </cell>
        </row>
        <row r="32">
          <cell r="E32">
            <v>26144</v>
          </cell>
          <cell r="H32">
            <v>17358</v>
          </cell>
        </row>
        <row r="33">
          <cell r="E33">
            <v>367</v>
          </cell>
          <cell r="H33">
            <v>0</v>
          </cell>
        </row>
        <row r="36">
          <cell r="E36">
            <v>5297</v>
          </cell>
          <cell r="H36">
            <v>5424</v>
          </cell>
        </row>
        <row r="53">
          <cell r="F53">
            <v>0</v>
          </cell>
          <cell r="G53">
            <v>0</v>
          </cell>
          <cell r="H53">
            <v>0</v>
          </cell>
          <cell r="I53">
            <v>32</v>
          </cell>
        </row>
        <row r="54">
          <cell r="F54">
            <v>0</v>
          </cell>
          <cell r="G54">
            <v>0</v>
          </cell>
          <cell r="H54">
            <v>0</v>
          </cell>
          <cell r="I54">
            <v>0</v>
          </cell>
        </row>
        <row r="55">
          <cell r="F55">
            <v>0</v>
          </cell>
          <cell r="G55">
            <v>0</v>
          </cell>
          <cell r="H55">
            <v>0</v>
          </cell>
          <cell r="I55">
            <v>19</v>
          </cell>
        </row>
        <row r="56">
          <cell r="F56">
            <v>0</v>
          </cell>
          <cell r="G56">
            <v>0</v>
          </cell>
          <cell r="H56">
            <v>0</v>
          </cell>
          <cell r="I56">
            <v>16</v>
          </cell>
        </row>
        <row r="57">
          <cell r="F57">
            <v>0</v>
          </cell>
          <cell r="G57">
            <v>0</v>
          </cell>
          <cell r="H57">
            <v>0</v>
          </cell>
          <cell r="I57">
            <v>29</v>
          </cell>
        </row>
        <row r="58">
          <cell r="F58">
            <v>0</v>
          </cell>
          <cell r="G58">
            <v>0</v>
          </cell>
          <cell r="H58">
            <v>0</v>
          </cell>
          <cell r="I58">
            <v>38</v>
          </cell>
        </row>
        <row r="59">
          <cell r="F59">
            <v>0</v>
          </cell>
          <cell r="G59">
            <v>0</v>
          </cell>
          <cell r="H59">
            <v>0</v>
          </cell>
          <cell r="I59">
            <v>11</v>
          </cell>
        </row>
        <row r="60">
          <cell r="F60">
            <v>0</v>
          </cell>
          <cell r="G60">
            <v>0</v>
          </cell>
          <cell r="H60">
            <v>0</v>
          </cell>
          <cell r="I60">
            <v>0</v>
          </cell>
        </row>
        <row r="61">
          <cell r="F61">
            <v>0</v>
          </cell>
          <cell r="G61">
            <v>0</v>
          </cell>
          <cell r="H61">
            <v>0</v>
          </cell>
          <cell r="I61">
            <v>20</v>
          </cell>
        </row>
        <row r="62">
          <cell r="F62">
            <v>0</v>
          </cell>
          <cell r="G62">
            <v>0</v>
          </cell>
          <cell r="H62">
            <v>0</v>
          </cell>
          <cell r="I62">
            <v>0</v>
          </cell>
        </row>
        <row r="63">
          <cell r="F63">
            <v>0</v>
          </cell>
          <cell r="G63">
            <v>0</v>
          </cell>
          <cell r="H63">
            <v>0</v>
          </cell>
          <cell r="I63">
            <v>58</v>
          </cell>
        </row>
        <row r="70">
          <cell r="E70">
            <v>0</v>
          </cell>
          <cell r="H70">
            <v>0</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0</v>
          </cell>
        </row>
        <row r="77">
          <cell r="E77">
            <v>0</v>
          </cell>
          <cell r="H77">
            <v>0</v>
          </cell>
        </row>
        <row r="78">
          <cell r="E78">
            <v>0</v>
          </cell>
          <cell r="H78">
            <v>0</v>
          </cell>
        </row>
        <row r="79">
          <cell r="E79">
            <v>0</v>
          </cell>
          <cell r="H79">
            <v>0</v>
          </cell>
        </row>
        <row r="80">
          <cell r="E80">
            <v>0</v>
          </cell>
          <cell r="H80">
            <v>0</v>
          </cell>
        </row>
      </sheetData>
      <sheetData sheetId="14">
        <row r="6">
          <cell r="D6">
            <v>2802</v>
          </cell>
          <cell r="E6">
            <v>1580</v>
          </cell>
          <cell r="F6">
            <v>56.388294075660241</v>
          </cell>
        </row>
        <row r="7">
          <cell r="D7">
            <v>170</v>
          </cell>
          <cell r="E7">
            <v>0</v>
          </cell>
          <cell r="F7">
            <v>0</v>
          </cell>
        </row>
      </sheetData>
      <sheetData sheetId="15"/>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282988</v>
          </cell>
          <cell r="R12">
            <v>2183</v>
          </cell>
        </row>
        <row r="13">
          <cell r="D13">
            <v>0</v>
          </cell>
          <cell r="R13">
            <v>0</v>
          </cell>
        </row>
        <row r="14">
          <cell r="D14">
            <v>48518</v>
          </cell>
          <cell r="R14">
            <v>1367</v>
          </cell>
        </row>
        <row r="17">
          <cell r="D17">
            <v>55792</v>
          </cell>
          <cell r="R17">
            <v>4474</v>
          </cell>
        </row>
        <row r="20">
          <cell r="D20">
            <v>120653</v>
          </cell>
          <cell r="R20">
            <v>4815</v>
          </cell>
        </row>
        <row r="24">
          <cell r="D24">
            <v>153277</v>
          </cell>
          <cell r="R24">
            <v>15211</v>
          </cell>
        </row>
        <row r="29">
          <cell r="D29">
            <v>1088</v>
          </cell>
          <cell r="R29">
            <v>694</v>
          </cell>
        </row>
        <row r="30">
          <cell r="D30">
            <v>55218</v>
          </cell>
          <cell r="R30">
            <v>3308</v>
          </cell>
        </row>
        <row r="35">
          <cell r="D35">
            <v>2172</v>
          </cell>
          <cell r="R35">
            <v>2172</v>
          </cell>
        </row>
        <row r="36">
          <cell r="D36">
            <v>3576</v>
          </cell>
          <cell r="R36">
            <v>3576</v>
          </cell>
        </row>
        <row r="40">
          <cell r="D40">
            <v>29257</v>
          </cell>
          <cell r="R40">
            <v>5073</v>
          </cell>
        </row>
      </sheetData>
      <sheetData sheetId="4"/>
      <sheetData sheetId="5"/>
      <sheetData sheetId="6"/>
      <sheetData sheetId="7"/>
      <sheetData sheetId="8"/>
      <sheetData sheetId="9"/>
      <sheetData sheetId="10"/>
      <sheetData sheetId="11"/>
      <sheetData sheetId="12"/>
      <sheetData sheetId="13"/>
      <sheetData sheetId="14">
        <row r="9">
          <cell r="F9">
            <v>4</v>
          </cell>
          <cell r="G9">
            <v>9</v>
          </cell>
          <cell r="H9">
            <v>833</v>
          </cell>
          <cell r="I9">
            <v>1706</v>
          </cell>
        </row>
        <row r="10">
          <cell r="F10">
            <v>0</v>
          </cell>
          <cell r="G10">
            <v>0</v>
          </cell>
          <cell r="H10">
            <v>0</v>
          </cell>
          <cell r="I10">
            <v>0</v>
          </cell>
        </row>
        <row r="11">
          <cell r="F11">
            <v>14</v>
          </cell>
          <cell r="G11">
            <v>84</v>
          </cell>
          <cell r="H11">
            <v>261</v>
          </cell>
          <cell r="I11">
            <v>444</v>
          </cell>
        </row>
        <row r="12">
          <cell r="F12">
            <v>2</v>
          </cell>
          <cell r="G12">
            <v>195</v>
          </cell>
          <cell r="H12">
            <v>48</v>
          </cell>
          <cell r="I12">
            <v>257</v>
          </cell>
        </row>
        <row r="13">
          <cell r="F13">
            <v>10</v>
          </cell>
          <cell r="G13">
            <v>56</v>
          </cell>
          <cell r="H13">
            <v>261</v>
          </cell>
          <cell r="I13">
            <v>452</v>
          </cell>
        </row>
        <row r="14">
          <cell r="F14">
            <v>5</v>
          </cell>
          <cell r="G14">
            <v>14</v>
          </cell>
          <cell r="H14">
            <v>211</v>
          </cell>
          <cell r="I14">
            <v>256</v>
          </cell>
        </row>
        <row r="15">
          <cell r="F15">
            <v>31</v>
          </cell>
          <cell r="G15">
            <v>27</v>
          </cell>
          <cell r="H15">
            <v>23</v>
          </cell>
          <cell r="I15">
            <v>81</v>
          </cell>
        </row>
        <row r="16">
          <cell r="F16">
            <v>1</v>
          </cell>
          <cell r="G16">
            <v>0</v>
          </cell>
          <cell r="H16">
            <v>0</v>
          </cell>
          <cell r="I16">
            <v>1</v>
          </cell>
        </row>
        <row r="17">
          <cell r="I17">
            <v>0</v>
          </cell>
        </row>
        <row r="18">
          <cell r="I18">
            <v>0</v>
          </cell>
        </row>
        <row r="19">
          <cell r="F19">
            <v>49</v>
          </cell>
          <cell r="G19">
            <v>9</v>
          </cell>
          <cell r="H19">
            <v>80</v>
          </cell>
          <cell r="I19">
            <v>253</v>
          </cell>
        </row>
        <row r="26">
          <cell r="E26">
            <v>2255</v>
          </cell>
          <cell r="H26">
            <v>75024</v>
          </cell>
        </row>
        <row r="27">
          <cell r="E27">
            <v>0</v>
          </cell>
          <cell r="H27">
            <v>0</v>
          </cell>
        </row>
        <row r="28">
          <cell r="E28">
            <v>11061</v>
          </cell>
          <cell r="H28">
            <v>14993</v>
          </cell>
        </row>
        <row r="29">
          <cell r="E29">
            <v>38397</v>
          </cell>
          <cell r="H29">
            <v>5709</v>
          </cell>
        </row>
        <row r="30">
          <cell r="E30">
            <v>14066</v>
          </cell>
          <cell r="H30">
            <v>34539</v>
          </cell>
        </row>
        <row r="31">
          <cell r="E31">
            <v>7169</v>
          </cell>
          <cell r="H31">
            <v>64635</v>
          </cell>
        </row>
        <row r="32">
          <cell r="E32">
            <v>38023</v>
          </cell>
          <cell r="H32">
            <v>13223</v>
          </cell>
        </row>
        <row r="33">
          <cell r="E33">
            <v>394</v>
          </cell>
          <cell r="H33">
            <v>0</v>
          </cell>
        </row>
        <row r="36">
          <cell r="E36">
            <v>5636</v>
          </cell>
          <cell r="H36">
            <v>4972</v>
          </cell>
        </row>
        <row r="53">
          <cell r="F53">
            <v>0</v>
          </cell>
          <cell r="G53">
            <v>0</v>
          </cell>
          <cell r="H53">
            <v>0</v>
          </cell>
          <cell r="I53">
            <v>33</v>
          </cell>
        </row>
        <row r="54">
          <cell r="F54">
            <v>0</v>
          </cell>
          <cell r="G54">
            <v>0</v>
          </cell>
          <cell r="H54">
            <v>0</v>
          </cell>
          <cell r="I54">
            <v>0</v>
          </cell>
        </row>
        <row r="55">
          <cell r="F55">
            <v>0</v>
          </cell>
          <cell r="G55">
            <v>0</v>
          </cell>
          <cell r="H55">
            <v>0</v>
          </cell>
          <cell r="I55">
            <v>18</v>
          </cell>
        </row>
        <row r="56">
          <cell r="F56">
            <v>0</v>
          </cell>
          <cell r="G56">
            <v>0</v>
          </cell>
          <cell r="H56">
            <v>0</v>
          </cell>
          <cell r="I56">
            <v>19</v>
          </cell>
        </row>
        <row r="57">
          <cell r="F57">
            <v>0</v>
          </cell>
          <cell r="G57">
            <v>0</v>
          </cell>
          <cell r="H57">
            <v>0</v>
          </cell>
          <cell r="I57">
            <v>29</v>
          </cell>
        </row>
        <row r="58">
          <cell r="F58">
            <v>0</v>
          </cell>
          <cell r="G58">
            <v>0</v>
          </cell>
          <cell r="H58">
            <v>0</v>
          </cell>
          <cell r="I58">
            <v>38</v>
          </cell>
        </row>
        <row r="59">
          <cell r="F59">
            <v>0</v>
          </cell>
          <cell r="G59">
            <v>0</v>
          </cell>
          <cell r="H59">
            <v>0</v>
          </cell>
          <cell r="I59">
            <v>16</v>
          </cell>
        </row>
        <row r="60">
          <cell r="F60">
            <v>0</v>
          </cell>
          <cell r="G60">
            <v>0</v>
          </cell>
          <cell r="H60">
            <v>0</v>
          </cell>
          <cell r="I60">
            <v>5</v>
          </cell>
        </row>
        <row r="61">
          <cell r="F61">
            <v>0</v>
          </cell>
          <cell r="G61">
            <v>0</v>
          </cell>
          <cell r="H61">
            <v>0</v>
          </cell>
          <cell r="I61">
            <v>40</v>
          </cell>
        </row>
        <row r="62">
          <cell r="F62">
            <v>0</v>
          </cell>
          <cell r="G62">
            <v>0</v>
          </cell>
          <cell r="H62">
            <v>0</v>
          </cell>
          <cell r="I62">
            <v>20</v>
          </cell>
        </row>
        <row r="63">
          <cell r="F63">
            <v>0</v>
          </cell>
          <cell r="G63">
            <v>0</v>
          </cell>
          <cell r="H63">
            <v>0</v>
          </cell>
          <cell r="I63">
            <v>58</v>
          </cell>
        </row>
        <row r="70">
          <cell r="E70">
            <v>0</v>
          </cell>
          <cell r="H70">
            <v>0</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0</v>
          </cell>
        </row>
        <row r="77">
          <cell r="E77">
            <v>0</v>
          </cell>
          <cell r="H77">
            <v>0</v>
          </cell>
        </row>
        <row r="78">
          <cell r="E78">
            <v>0</v>
          </cell>
          <cell r="H78">
            <v>0</v>
          </cell>
        </row>
        <row r="79">
          <cell r="E79">
            <v>0</v>
          </cell>
          <cell r="H79">
            <v>0</v>
          </cell>
        </row>
        <row r="80">
          <cell r="E80">
            <v>0</v>
          </cell>
          <cell r="H80">
            <v>0</v>
          </cell>
        </row>
      </sheetData>
      <sheetData sheetId="15">
        <row r="6">
          <cell r="D6">
            <v>2754</v>
          </cell>
          <cell r="E6">
            <v>1647</v>
          </cell>
          <cell r="F6">
            <v>59.803921568627452</v>
          </cell>
        </row>
        <row r="7">
          <cell r="D7">
            <v>171</v>
          </cell>
          <cell r="E7">
            <v>0</v>
          </cell>
          <cell r="F7">
            <v>0</v>
          </cell>
        </row>
      </sheetData>
      <sheetData sheetId="16"/>
      <sheetData sheetId="17"/>
      <sheetData sheetId="18"/>
      <sheetData sheetId="19"/>
      <sheetData sheetId="20"/>
      <sheetData sheetId="2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SKL2015_NI"/>
    </sheetNames>
    <sheetDataSet>
      <sheetData sheetId="0"/>
      <sheetData sheetId="1"/>
      <sheetData sheetId="2"/>
      <sheetData sheetId="3">
        <row r="12">
          <cell r="D12">
            <v>280444</v>
          </cell>
          <cell r="R12">
            <v>2304</v>
          </cell>
        </row>
        <row r="13">
          <cell r="D13">
            <v>0</v>
          </cell>
          <cell r="R13">
            <v>0</v>
          </cell>
        </row>
        <row r="14">
          <cell r="D14">
            <v>40074</v>
          </cell>
          <cell r="R14">
            <v>894</v>
          </cell>
        </row>
        <row r="17">
          <cell r="D17">
            <v>74564</v>
          </cell>
          <cell r="R17">
            <v>5806</v>
          </cell>
        </row>
        <row r="20">
          <cell r="D20">
            <v>101236</v>
          </cell>
          <cell r="R20">
            <v>3773</v>
          </cell>
        </row>
        <row r="24">
          <cell r="D24">
            <v>152967</v>
          </cell>
          <cell r="R24">
            <v>14939</v>
          </cell>
        </row>
        <row r="29">
          <cell r="D29">
            <v>1087</v>
          </cell>
          <cell r="R29">
            <v>692</v>
          </cell>
        </row>
        <row r="30">
          <cell r="D30">
            <v>60572</v>
          </cell>
          <cell r="R30">
            <v>3511</v>
          </cell>
        </row>
        <row r="35">
          <cell r="D35">
            <v>2194</v>
          </cell>
          <cell r="R35">
            <v>2194</v>
          </cell>
        </row>
        <row r="36">
          <cell r="D36">
            <v>3498</v>
          </cell>
          <cell r="R36">
            <v>3498</v>
          </cell>
        </row>
        <row r="40">
          <cell r="D40">
            <v>26968</v>
          </cell>
          <cell r="R40">
            <v>5045</v>
          </cell>
        </row>
      </sheetData>
      <sheetData sheetId="4"/>
      <sheetData sheetId="5"/>
      <sheetData sheetId="6"/>
      <sheetData sheetId="7"/>
      <sheetData sheetId="8"/>
      <sheetData sheetId="9"/>
      <sheetData sheetId="10"/>
      <sheetData sheetId="11"/>
      <sheetData sheetId="12"/>
      <sheetData sheetId="13"/>
      <sheetData sheetId="14">
        <row r="9">
          <cell r="F9">
            <v>1</v>
          </cell>
          <cell r="G9">
            <v>17</v>
          </cell>
          <cell r="H9">
            <v>881</v>
          </cell>
          <cell r="I9">
            <v>1693</v>
          </cell>
        </row>
        <row r="10">
          <cell r="F10">
            <v>0</v>
          </cell>
          <cell r="G10">
            <v>0</v>
          </cell>
          <cell r="H10">
            <v>0</v>
          </cell>
          <cell r="I10">
            <v>0</v>
          </cell>
        </row>
        <row r="11">
          <cell r="F11">
            <v>8</v>
          </cell>
          <cell r="G11">
            <v>93</v>
          </cell>
          <cell r="H11">
            <v>224</v>
          </cell>
          <cell r="I11">
            <v>403</v>
          </cell>
        </row>
        <row r="12">
          <cell r="F12">
            <v>0</v>
          </cell>
          <cell r="G12">
            <v>247</v>
          </cell>
          <cell r="H12">
            <v>59</v>
          </cell>
          <cell r="I12">
            <v>329</v>
          </cell>
        </row>
        <row r="13">
          <cell r="F13">
            <v>6</v>
          </cell>
          <cell r="G13">
            <v>73</v>
          </cell>
          <cell r="H13">
            <v>236</v>
          </cell>
          <cell r="I13">
            <v>430</v>
          </cell>
        </row>
        <row r="14">
          <cell r="F14">
            <v>4</v>
          </cell>
          <cell r="G14">
            <v>21</v>
          </cell>
          <cell r="H14">
            <v>208</v>
          </cell>
          <cell r="I14">
            <v>256</v>
          </cell>
        </row>
        <row r="15">
          <cell r="F15">
            <v>37</v>
          </cell>
          <cell r="G15">
            <v>45</v>
          </cell>
          <cell r="H15">
            <v>5</v>
          </cell>
          <cell r="I15">
            <v>87</v>
          </cell>
        </row>
        <row r="16">
          <cell r="F16">
            <v>1</v>
          </cell>
          <cell r="G16">
            <v>0</v>
          </cell>
          <cell r="H16">
            <v>0</v>
          </cell>
          <cell r="I16">
            <v>1</v>
          </cell>
        </row>
        <row r="17">
          <cell r="I17">
            <v>0</v>
          </cell>
        </row>
        <row r="18">
          <cell r="I18">
            <v>0</v>
          </cell>
        </row>
        <row r="19">
          <cell r="F19">
            <v>50</v>
          </cell>
          <cell r="G19">
            <v>13</v>
          </cell>
          <cell r="H19">
            <v>70</v>
          </cell>
          <cell r="I19">
            <v>241</v>
          </cell>
        </row>
        <row r="26">
          <cell r="E26">
            <v>3867</v>
          </cell>
          <cell r="H26">
            <v>80871</v>
          </cell>
        </row>
        <row r="27">
          <cell r="E27">
            <v>0</v>
          </cell>
          <cell r="H27">
            <v>0</v>
          </cell>
        </row>
        <row r="28">
          <cell r="E28">
            <v>9710</v>
          </cell>
          <cell r="H28">
            <v>12075</v>
          </cell>
        </row>
        <row r="29">
          <cell r="E29">
            <v>50505</v>
          </cell>
          <cell r="H29">
            <v>6257</v>
          </cell>
        </row>
        <row r="30">
          <cell r="E30">
            <v>14192</v>
          </cell>
          <cell r="H30">
            <v>27384</v>
          </cell>
        </row>
        <row r="31">
          <cell r="E31">
            <v>10136</v>
          </cell>
          <cell r="H31">
            <v>62476</v>
          </cell>
        </row>
        <row r="32">
          <cell r="E32">
            <v>53581</v>
          </cell>
          <cell r="H32">
            <v>2203</v>
          </cell>
        </row>
        <row r="33">
          <cell r="E33">
            <v>395</v>
          </cell>
          <cell r="H33">
            <v>0</v>
          </cell>
        </row>
        <row r="36">
          <cell r="E36">
            <v>6328</v>
          </cell>
          <cell r="H36">
            <v>3726</v>
          </cell>
        </row>
        <row r="53">
          <cell r="F53">
            <v>0</v>
          </cell>
          <cell r="G53">
            <v>0</v>
          </cell>
          <cell r="H53">
            <v>0</v>
          </cell>
          <cell r="I53">
            <v>35</v>
          </cell>
        </row>
        <row r="54">
          <cell r="F54">
            <v>0</v>
          </cell>
          <cell r="G54">
            <v>0</v>
          </cell>
          <cell r="H54">
            <v>0</v>
          </cell>
          <cell r="I54">
            <v>0</v>
          </cell>
        </row>
        <row r="55">
          <cell r="F55">
            <v>0</v>
          </cell>
          <cell r="G55">
            <v>0</v>
          </cell>
          <cell r="H55">
            <v>0</v>
          </cell>
          <cell r="I55">
            <v>18</v>
          </cell>
        </row>
        <row r="56">
          <cell r="F56">
            <v>0</v>
          </cell>
          <cell r="G56">
            <v>0</v>
          </cell>
          <cell r="H56">
            <v>0</v>
          </cell>
          <cell r="I56">
            <v>19</v>
          </cell>
        </row>
        <row r="57">
          <cell r="F57">
            <v>0</v>
          </cell>
          <cell r="G57">
            <v>0</v>
          </cell>
          <cell r="H57">
            <v>0</v>
          </cell>
          <cell r="I57">
            <v>29</v>
          </cell>
        </row>
        <row r="58">
          <cell r="F58">
            <v>0</v>
          </cell>
          <cell r="G58">
            <v>0</v>
          </cell>
          <cell r="H58">
            <v>0</v>
          </cell>
          <cell r="I58">
            <v>38</v>
          </cell>
        </row>
        <row r="59">
          <cell r="F59">
            <v>0</v>
          </cell>
          <cell r="G59">
            <v>0</v>
          </cell>
          <cell r="H59">
            <v>0</v>
          </cell>
          <cell r="I59">
            <v>17</v>
          </cell>
        </row>
        <row r="60">
          <cell r="F60">
            <v>0</v>
          </cell>
          <cell r="G60">
            <v>0</v>
          </cell>
          <cell r="H60">
            <v>0</v>
          </cell>
          <cell r="I60">
            <v>5</v>
          </cell>
        </row>
        <row r="61">
          <cell r="F61">
            <v>0</v>
          </cell>
          <cell r="G61">
            <v>0</v>
          </cell>
          <cell r="H61">
            <v>0</v>
          </cell>
          <cell r="I61">
            <v>20</v>
          </cell>
        </row>
        <row r="62">
          <cell r="F62">
            <v>0</v>
          </cell>
          <cell r="G62">
            <v>0</v>
          </cell>
          <cell r="H62">
            <v>0</v>
          </cell>
          <cell r="I62">
            <v>20</v>
          </cell>
        </row>
        <row r="63">
          <cell r="F63">
            <v>0</v>
          </cell>
          <cell r="G63">
            <v>0</v>
          </cell>
          <cell r="H63">
            <v>0</v>
          </cell>
          <cell r="I63">
            <v>53</v>
          </cell>
        </row>
        <row r="70">
          <cell r="E70">
            <v>0</v>
          </cell>
          <cell r="H70">
            <v>0</v>
          </cell>
        </row>
        <row r="71">
          <cell r="E71">
            <v>0</v>
          </cell>
          <cell r="H71">
            <v>0</v>
          </cell>
        </row>
        <row r="72">
          <cell r="E72">
            <v>0</v>
          </cell>
          <cell r="H72">
            <v>0</v>
          </cell>
        </row>
        <row r="73">
          <cell r="E73">
            <v>0</v>
          </cell>
          <cell r="H73">
            <v>0</v>
          </cell>
        </row>
        <row r="74">
          <cell r="E74">
            <v>0</v>
          </cell>
          <cell r="H74">
            <v>0</v>
          </cell>
        </row>
        <row r="75">
          <cell r="E75">
            <v>0</v>
          </cell>
          <cell r="H75">
            <v>0</v>
          </cell>
        </row>
        <row r="76">
          <cell r="E76">
            <v>0</v>
          </cell>
          <cell r="H76">
            <v>0</v>
          </cell>
        </row>
        <row r="77">
          <cell r="E77">
            <v>0</v>
          </cell>
          <cell r="H77">
            <v>0</v>
          </cell>
        </row>
        <row r="78">
          <cell r="E78">
            <v>0</v>
          </cell>
          <cell r="H78">
            <v>0</v>
          </cell>
        </row>
        <row r="79">
          <cell r="E79">
            <v>0</v>
          </cell>
          <cell r="H79">
            <v>0</v>
          </cell>
        </row>
        <row r="80">
          <cell r="E80">
            <v>0</v>
          </cell>
          <cell r="H80">
            <v>0</v>
          </cell>
        </row>
      </sheetData>
      <sheetData sheetId="15">
        <row r="6">
          <cell r="D6">
            <v>2702</v>
          </cell>
          <cell r="E6">
            <v>1675</v>
          </cell>
          <cell r="F6">
            <v>61.991117690599559</v>
          </cell>
        </row>
        <row r="7">
          <cell r="D7">
            <v>172</v>
          </cell>
          <cell r="E7">
            <v>0</v>
          </cell>
          <cell r="F7">
            <v>0</v>
          </cell>
        </row>
      </sheetData>
      <sheetData sheetId="16"/>
      <sheetData sheetId="17"/>
      <sheetData sheetId="18"/>
      <sheetData sheetId="19"/>
      <sheetData sheetId="20"/>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 val="SKL2016_NI"/>
    </sheetNames>
    <sheetDataSet>
      <sheetData sheetId="0"/>
      <sheetData sheetId="1"/>
      <sheetData sheetId="2"/>
      <sheetData sheetId="3">
        <row r="12">
          <cell r="D12">
            <v>282483</v>
          </cell>
          <cell r="R12">
            <v>2457</v>
          </cell>
        </row>
        <row r="13">
          <cell r="D13">
            <v>0</v>
          </cell>
          <cell r="R13">
            <v>0</v>
          </cell>
        </row>
        <row r="14">
          <cell r="D14">
            <v>33006</v>
          </cell>
          <cell r="R14">
            <v>524</v>
          </cell>
        </row>
        <row r="17">
          <cell r="D17">
            <v>93705</v>
          </cell>
          <cell r="R17">
            <v>7082</v>
          </cell>
        </row>
        <row r="20">
          <cell r="D20">
            <v>83869</v>
          </cell>
          <cell r="R20">
            <v>2590</v>
          </cell>
        </row>
        <row r="24">
          <cell r="D24">
            <v>155103</v>
          </cell>
          <cell r="R24">
            <v>14655</v>
          </cell>
        </row>
        <row r="29">
          <cell r="D29">
            <v>1073</v>
          </cell>
          <cell r="R29">
            <v>710</v>
          </cell>
        </row>
        <row r="30">
          <cell r="D30">
            <v>64468</v>
          </cell>
          <cell r="R30">
            <v>3436</v>
          </cell>
        </row>
        <row r="35">
          <cell r="D35">
            <v>2225</v>
          </cell>
          <cell r="R35">
            <v>2225</v>
          </cell>
        </row>
        <row r="36">
          <cell r="D36">
            <v>3497</v>
          </cell>
          <cell r="R36">
            <v>3497</v>
          </cell>
        </row>
        <row r="40">
          <cell r="D40">
            <v>25317</v>
          </cell>
          <cell r="R40">
            <v>5060</v>
          </cell>
        </row>
      </sheetData>
      <sheetData sheetId="4"/>
      <sheetData sheetId="5"/>
      <sheetData sheetId="6"/>
      <sheetData sheetId="7"/>
      <sheetData sheetId="8"/>
      <sheetData sheetId="9"/>
      <sheetData sheetId="10"/>
      <sheetData sheetId="11"/>
      <sheetData sheetId="12"/>
      <sheetData sheetId="13"/>
      <sheetData sheetId="14">
        <row r="9">
          <cell r="D9">
            <v>958</v>
          </cell>
          <cell r="F9">
            <v>5</v>
          </cell>
          <cell r="G9">
            <v>21</v>
          </cell>
          <cell r="H9">
            <v>932</v>
          </cell>
          <cell r="I9">
            <v>1674</v>
          </cell>
        </row>
        <row r="10">
          <cell r="D10">
            <v>0</v>
          </cell>
          <cell r="F10">
            <v>0</v>
          </cell>
          <cell r="G10">
            <v>0</v>
          </cell>
          <cell r="H10">
            <v>0</v>
          </cell>
          <cell r="I10">
            <v>0</v>
          </cell>
        </row>
        <row r="11">
          <cell r="D11">
            <v>224</v>
          </cell>
          <cell r="F11">
            <v>8</v>
          </cell>
          <cell r="G11">
            <v>58</v>
          </cell>
          <cell r="H11">
            <v>158</v>
          </cell>
          <cell r="I11">
            <v>268</v>
          </cell>
        </row>
        <row r="12">
          <cell r="D12">
            <v>359</v>
          </cell>
          <cell r="F12">
            <v>0</v>
          </cell>
          <cell r="G12">
            <v>267</v>
          </cell>
          <cell r="H12">
            <v>92</v>
          </cell>
          <cell r="I12">
            <v>395</v>
          </cell>
        </row>
        <row r="13">
          <cell r="D13">
            <v>217</v>
          </cell>
          <cell r="F13">
            <v>5</v>
          </cell>
          <cell r="G13">
            <v>44</v>
          </cell>
          <cell r="H13">
            <v>168</v>
          </cell>
          <cell r="I13">
            <v>293</v>
          </cell>
        </row>
        <row r="14">
          <cell r="D14">
            <v>239</v>
          </cell>
          <cell r="F14">
            <v>4</v>
          </cell>
          <cell r="G14">
            <v>24</v>
          </cell>
          <cell r="H14">
            <v>211</v>
          </cell>
          <cell r="I14">
            <v>256</v>
          </cell>
        </row>
        <row r="15">
          <cell r="D15">
            <v>91</v>
          </cell>
          <cell r="F15">
            <v>36</v>
          </cell>
          <cell r="G15">
            <v>51</v>
          </cell>
          <cell r="H15">
            <v>4</v>
          </cell>
          <cell r="I15">
            <v>91</v>
          </cell>
        </row>
        <row r="16">
          <cell r="F16">
            <v>1</v>
          </cell>
          <cell r="G16">
            <v>0</v>
          </cell>
          <cell r="H16">
            <v>0</v>
          </cell>
          <cell r="I16">
            <v>1</v>
          </cell>
        </row>
        <row r="17">
          <cell r="D17">
            <v>0</v>
          </cell>
          <cell r="I17">
            <v>0</v>
          </cell>
        </row>
        <row r="18">
          <cell r="I18">
            <v>0</v>
          </cell>
        </row>
        <row r="19">
          <cell r="D19">
            <v>135</v>
          </cell>
          <cell r="F19">
            <v>52</v>
          </cell>
          <cell r="G19">
            <v>13</v>
          </cell>
          <cell r="H19">
            <v>70</v>
          </cell>
          <cell r="I19">
            <v>230</v>
          </cell>
        </row>
        <row r="26">
          <cell r="D26">
            <v>94347</v>
          </cell>
          <cell r="E26">
            <v>5587</v>
          </cell>
          <cell r="H26">
            <v>88760</v>
          </cell>
        </row>
        <row r="27">
          <cell r="D27">
            <v>0</v>
          </cell>
          <cell r="E27">
            <v>0</v>
          </cell>
          <cell r="H27">
            <v>0</v>
          </cell>
        </row>
        <row r="28">
          <cell r="D28">
            <v>18031</v>
          </cell>
          <cell r="E28">
            <v>8431</v>
          </cell>
          <cell r="H28">
            <v>9600</v>
          </cell>
        </row>
        <row r="29">
          <cell r="D29">
            <v>72428</v>
          </cell>
          <cell r="E29">
            <v>64099</v>
          </cell>
          <cell r="H29">
            <v>8329</v>
          </cell>
        </row>
        <row r="30">
          <cell r="D30">
            <v>35341</v>
          </cell>
          <cell r="E30">
            <v>11374</v>
          </cell>
          <cell r="H30">
            <v>23967</v>
          </cell>
        </row>
        <row r="31">
          <cell r="D31">
            <v>77912</v>
          </cell>
          <cell r="E31">
            <v>12503</v>
          </cell>
          <cell r="H31">
            <v>65409</v>
          </cell>
        </row>
        <row r="32">
          <cell r="D32">
            <v>59469</v>
          </cell>
          <cell r="E32">
            <v>57963</v>
          </cell>
          <cell r="H32">
            <v>1506</v>
          </cell>
        </row>
        <row r="33">
          <cell r="E33">
            <v>363</v>
          </cell>
          <cell r="H33">
            <v>0</v>
          </cell>
        </row>
        <row r="34">
          <cell r="D34">
            <v>0</v>
          </cell>
        </row>
        <row r="36">
          <cell r="D36">
            <v>9977</v>
          </cell>
          <cell r="E36">
            <v>6410</v>
          </cell>
          <cell r="H36">
            <v>3567</v>
          </cell>
        </row>
        <row r="53">
          <cell r="D53">
            <v>0</v>
          </cell>
          <cell r="F53">
            <v>0</v>
          </cell>
          <cell r="G53">
            <v>0</v>
          </cell>
          <cell r="H53">
            <v>0</v>
          </cell>
          <cell r="I53">
            <v>35</v>
          </cell>
        </row>
        <row r="54">
          <cell r="D54">
            <v>0</v>
          </cell>
          <cell r="F54">
            <v>0</v>
          </cell>
          <cell r="G54">
            <v>0</v>
          </cell>
          <cell r="H54">
            <v>0</v>
          </cell>
          <cell r="I54">
            <v>0</v>
          </cell>
        </row>
        <row r="55">
          <cell r="D55">
            <v>0</v>
          </cell>
          <cell r="F55">
            <v>0</v>
          </cell>
          <cell r="G55">
            <v>0</v>
          </cell>
          <cell r="H55">
            <v>0</v>
          </cell>
          <cell r="I55">
            <v>8</v>
          </cell>
        </row>
        <row r="56">
          <cell r="D56">
            <v>0</v>
          </cell>
          <cell r="F56">
            <v>0</v>
          </cell>
          <cell r="G56">
            <v>0</v>
          </cell>
          <cell r="H56">
            <v>0</v>
          </cell>
          <cell r="I56">
            <v>20</v>
          </cell>
        </row>
        <row r="57">
          <cell r="D57">
            <v>0</v>
          </cell>
          <cell r="F57">
            <v>0</v>
          </cell>
          <cell r="G57">
            <v>0</v>
          </cell>
          <cell r="H57">
            <v>0</v>
          </cell>
          <cell r="I57">
            <v>19</v>
          </cell>
        </row>
        <row r="58">
          <cell r="D58">
            <v>0</v>
          </cell>
          <cell r="F58">
            <v>0</v>
          </cell>
          <cell r="G58">
            <v>0</v>
          </cell>
          <cell r="H58">
            <v>0</v>
          </cell>
          <cell r="I58">
            <v>38</v>
          </cell>
        </row>
        <row r="59">
          <cell r="D59">
            <v>0</v>
          </cell>
          <cell r="F59">
            <v>0</v>
          </cell>
          <cell r="G59">
            <v>0</v>
          </cell>
          <cell r="H59">
            <v>0</v>
          </cell>
          <cell r="I59">
            <v>15</v>
          </cell>
        </row>
        <row r="60">
          <cell r="F60">
            <v>0</v>
          </cell>
          <cell r="G60">
            <v>0</v>
          </cell>
          <cell r="H60">
            <v>0</v>
          </cell>
          <cell r="I60">
            <v>5</v>
          </cell>
        </row>
        <row r="61">
          <cell r="D61">
            <v>0</v>
          </cell>
          <cell r="F61">
            <v>0</v>
          </cell>
          <cell r="G61">
            <v>0</v>
          </cell>
          <cell r="H61">
            <v>0</v>
          </cell>
          <cell r="I61">
            <v>21</v>
          </cell>
        </row>
        <row r="62">
          <cell r="F62">
            <v>0</v>
          </cell>
          <cell r="G62">
            <v>0</v>
          </cell>
          <cell r="H62">
            <v>0</v>
          </cell>
          <cell r="I62">
            <v>20</v>
          </cell>
        </row>
        <row r="63">
          <cell r="D63">
            <v>0</v>
          </cell>
          <cell r="F63">
            <v>0</v>
          </cell>
          <cell r="G63">
            <v>0</v>
          </cell>
          <cell r="H63">
            <v>0</v>
          </cell>
          <cell r="I63">
            <v>58</v>
          </cell>
        </row>
        <row r="70">
          <cell r="D70">
            <v>0</v>
          </cell>
          <cell r="E70">
            <v>0</v>
          </cell>
          <cell r="H70">
            <v>0</v>
          </cell>
        </row>
        <row r="71">
          <cell r="D71">
            <v>0</v>
          </cell>
          <cell r="E71">
            <v>0</v>
          </cell>
          <cell r="H71">
            <v>0</v>
          </cell>
        </row>
        <row r="72">
          <cell r="D72">
            <v>0</v>
          </cell>
          <cell r="E72">
            <v>0</v>
          </cell>
          <cell r="H72">
            <v>0</v>
          </cell>
        </row>
        <row r="73">
          <cell r="D73">
            <v>0</v>
          </cell>
          <cell r="E73">
            <v>0</v>
          </cell>
          <cell r="H73">
            <v>0</v>
          </cell>
        </row>
        <row r="74">
          <cell r="D74">
            <v>0</v>
          </cell>
          <cell r="E74">
            <v>0</v>
          </cell>
          <cell r="H74">
            <v>0</v>
          </cell>
        </row>
        <row r="75">
          <cell r="D75">
            <v>0</v>
          </cell>
          <cell r="E75">
            <v>0</v>
          </cell>
          <cell r="H75">
            <v>0</v>
          </cell>
        </row>
        <row r="76">
          <cell r="D76">
            <v>0</v>
          </cell>
          <cell r="E76">
            <v>0</v>
          </cell>
          <cell r="H76">
            <v>0</v>
          </cell>
        </row>
        <row r="77">
          <cell r="E77">
            <v>0</v>
          </cell>
          <cell r="H77">
            <v>0</v>
          </cell>
        </row>
        <row r="78">
          <cell r="D78">
            <v>0</v>
          </cell>
          <cell r="E78">
            <v>0</v>
          </cell>
          <cell r="H78">
            <v>0</v>
          </cell>
        </row>
        <row r="79">
          <cell r="E79">
            <v>0</v>
          </cell>
          <cell r="H79">
            <v>0</v>
          </cell>
        </row>
        <row r="80">
          <cell r="D80">
            <v>0</v>
          </cell>
          <cell r="E80">
            <v>0</v>
          </cell>
          <cell r="H80">
            <v>0</v>
          </cell>
        </row>
        <row r="97">
          <cell r="D97">
            <v>958</v>
          </cell>
        </row>
        <row r="98">
          <cell r="D98">
            <v>0</v>
          </cell>
        </row>
        <row r="99">
          <cell r="D99">
            <v>224</v>
          </cell>
        </row>
        <row r="100">
          <cell r="D100">
            <v>359</v>
          </cell>
        </row>
        <row r="101">
          <cell r="D101">
            <v>217</v>
          </cell>
        </row>
        <row r="102">
          <cell r="D102">
            <v>239</v>
          </cell>
        </row>
        <row r="103">
          <cell r="D103">
            <v>91</v>
          </cell>
        </row>
        <row r="105">
          <cell r="D105">
            <v>0</v>
          </cell>
        </row>
        <row r="107">
          <cell r="D107">
            <v>135</v>
          </cell>
        </row>
        <row r="114">
          <cell r="D114">
            <v>94347</v>
          </cell>
        </row>
        <row r="115">
          <cell r="D115">
            <v>0</v>
          </cell>
        </row>
        <row r="116">
          <cell r="D116">
            <v>18031</v>
          </cell>
        </row>
        <row r="117">
          <cell r="D117">
            <v>72428</v>
          </cell>
        </row>
        <row r="118">
          <cell r="D118">
            <v>35341</v>
          </cell>
        </row>
        <row r="119">
          <cell r="D119">
            <v>77912</v>
          </cell>
        </row>
        <row r="120">
          <cell r="D120">
            <v>59469</v>
          </cell>
        </row>
        <row r="122">
          <cell r="D122">
            <v>0</v>
          </cell>
        </row>
        <row r="124">
          <cell r="D124">
            <v>9977</v>
          </cell>
        </row>
      </sheetData>
      <sheetData sheetId="15">
        <row r="6">
          <cell r="D6">
            <v>2671</v>
          </cell>
          <cell r="E6">
            <v>1742</v>
          </cell>
          <cell r="F6">
            <v>65.219019093972292</v>
          </cell>
        </row>
        <row r="7">
          <cell r="D7">
            <v>171</v>
          </cell>
          <cell r="E7">
            <v>0</v>
          </cell>
          <cell r="F7">
            <v>0</v>
          </cell>
        </row>
      </sheetData>
      <sheetData sheetId="16"/>
      <sheetData sheetId="17"/>
      <sheetData sheetId="18"/>
      <sheetData sheetId="19"/>
      <sheetData sheetId="20"/>
      <sheetData sheetId="21"/>
      <sheetData sheetId="2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1"/>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65798</v>
          </cell>
          <cell r="R12">
            <v>4419</v>
          </cell>
        </row>
        <row r="14">
          <cell r="D14">
            <v>0</v>
          </cell>
          <cell r="R14">
            <v>0</v>
          </cell>
        </row>
        <row r="17">
          <cell r="D17">
            <v>47385</v>
          </cell>
          <cell r="R17">
            <v>2031</v>
          </cell>
        </row>
        <row r="20">
          <cell r="D20">
            <v>0</v>
          </cell>
          <cell r="R20">
            <v>0</v>
          </cell>
        </row>
        <row r="24">
          <cell r="D24">
            <v>34800</v>
          </cell>
          <cell r="R24">
            <v>3592</v>
          </cell>
        </row>
        <row r="30">
          <cell r="D30">
            <v>2963</v>
          </cell>
          <cell r="R30">
            <v>889</v>
          </cell>
        </row>
        <row r="35">
          <cell r="D35">
            <v>240</v>
          </cell>
          <cell r="R35">
            <v>240</v>
          </cell>
        </row>
        <row r="36">
          <cell r="D36">
            <v>455</v>
          </cell>
          <cell r="R36">
            <v>455</v>
          </cell>
        </row>
        <row r="40">
          <cell r="D40">
            <v>11663</v>
          </cell>
          <cell r="R40">
            <v>395</v>
          </cell>
        </row>
      </sheetData>
      <sheetData sheetId="4"/>
      <sheetData sheetId="5"/>
      <sheetData sheetId="6"/>
      <sheetData sheetId="7"/>
      <sheetData sheetId="8"/>
      <sheetData sheetId="9"/>
      <sheetData sheetId="10"/>
      <sheetData sheetId="11"/>
      <sheetData sheetId="12"/>
      <sheetData sheetId="13">
        <row r="9">
          <cell r="F9">
            <v>3</v>
          </cell>
          <cell r="H9">
            <v>15</v>
          </cell>
          <cell r="I9">
            <v>499</v>
          </cell>
        </row>
        <row r="12">
          <cell r="F12">
            <v>11</v>
          </cell>
          <cell r="G12">
            <v>16</v>
          </cell>
          <cell r="H12">
            <v>40</v>
          </cell>
          <cell r="I12">
            <v>152</v>
          </cell>
        </row>
        <row r="14">
          <cell r="F14">
            <v>3</v>
          </cell>
          <cell r="G14">
            <v>5</v>
          </cell>
          <cell r="H14">
            <v>15</v>
          </cell>
          <cell r="I14">
            <v>70</v>
          </cell>
        </row>
        <row r="15">
          <cell r="F15">
            <v>1</v>
          </cell>
          <cell r="H15">
            <v>2</v>
          </cell>
          <cell r="I15">
            <v>3</v>
          </cell>
        </row>
        <row r="17">
          <cell r="H17">
            <v>111</v>
          </cell>
          <cell r="I17">
            <v>111</v>
          </cell>
        </row>
        <row r="24">
          <cell r="E24">
            <v>626</v>
          </cell>
          <cell r="H24">
            <v>1817</v>
          </cell>
        </row>
        <row r="25">
          <cell r="E25">
            <v>0</v>
          </cell>
        </row>
        <row r="26">
          <cell r="E26">
            <v>0</v>
          </cell>
        </row>
        <row r="27">
          <cell r="E27">
            <v>8339</v>
          </cell>
          <cell r="H27">
            <v>8611</v>
          </cell>
        </row>
        <row r="28">
          <cell r="E28">
            <v>0</v>
          </cell>
        </row>
        <row r="29">
          <cell r="E29">
            <v>2483</v>
          </cell>
          <cell r="H29">
            <v>4888</v>
          </cell>
        </row>
        <row r="30">
          <cell r="E30">
            <v>676</v>
          </cell>
          <cell r="H30">
            <v>1384</v>
          </cell>
        </row>
        <row r="31">
          <cell r="E31">
            <v>0</v>
          </cell>
        </row>
        <row r="34">
          <cell r="E34">
            <v>0</v>
          </cell>
          <cell r="H34">
            <v>7512</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sheetData>
      <sheetData sheetId="14">
        <row r="6">
          <cell r="D6">
            <v>832</v>
          </cell>
          <cell r="E6">
            <v>219</v>
          </cell>
          <cell r="F6">
            <v>26.322115384615383</v>
          </cell>
        </row>
        <row r="7">
          <cell r="D7">
            <v>95</v>
          </cell>
          <cell r="F7">
            <v>0</v>
          </cell>
        </row>
      </sheetData>
      <sheetData sheetId="15"/>
      <sheetData sheetId="16"/>
      <sheetData sheetId="17"/>
      <sheetData sheetId="18"/>
      <sheetData sheetId="1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2"/>
      <sheetName val="Fußnoten"/>
      <sheetName val="SKL"/>
      <sheetName val="VZLE"/>
      <sheetName val="A+EStd"/>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66453</v>
          </cell>
          <cell r="R12">
            <v>4540</v>
          </cell>
        </row>
        <row r="14">
          <cell r="D14">
            <v>0</v>
          </cell>
          <cell r="R14">
            <v>0</v>
          </cell>
        </row>
        <row r="17">
          <cell r="D17">
            <v>47098</v>
          </cell>
          <cell r="R17">
            <v>2221</v>
          </cell>
        </row>
        <row r="20">
          <cell r="D20">
            <v>0</v>
          </cell>
          <cell r="R20">
            <v>0</v>
          </cell>
        </row>
        <row r="24">
          <cell r="D24">
            <v>35728</v>
          </cell>
          <cell r="R24">
            <v>3660</v>
          </cell>
        </row>
        <row r="30">
          <cell r="D30">
            <v>3612</v>
          </cell>
          <cell r="R30">
            <v>1185</v>
          </cell>
        </row>
        <row r="35">
          <cell r="D35">
            <v>258</v>
          </cell>
          <cell r="R35">
            <v>258</v>
          </cell>
        </row>
        <row r="36">
          <cell r="D36">
            <v>491</v>
          </cell>
          <cell r="R36">
            <v>491</v>
          </cell>
        </row>
        <row r="40">
          <cell r="D40">
            <v>11146</v>
          </cell>
          <cell r="R40">
            <v>411</v>
          </cell>
        </row>
      </sheetData>
      <sheetData sheetId="4"/>
      <sheetData sheetId="5"/>
      <sheetData sheetId="6"/>
      <sheetData sheetId="7"/>
      <sheetData sheetId="8"/>
      <sheetData sheetId="9"/>
      <sheetData sheetId="10"/>
      <sheetData sheetId="11"/>
      <sheetData sheetId="12"/>
      <sheetData sheetId="13">
        <row r="9">
          <cell r="F9">
            <v>3</v>
          </cell>
          <cell r="H9">
            <v>15</v>
          </cell>
          <cell r="I9">
            <v>491</v>
          </cell>
        </row>
        <row r="12">
          <cell r="F12">
            <v>11</v>
          </cell>
          <cell r="G12">
            <v>19</v>
          </cell>
          <cell r="H12">
            <v>43</v>
          </cell>
          <cell r="I12">
            <v>152</v>
          </cell>
        </row>
        <row r="14">
          <cell r="F14">
            <v>3</v>
          </cell>
          <cell r="G14">
            <v>5</v>
          </cell>
          <cell r="H14">
            <v>16</v>
          </cell>
          <cell r="I14">
            <v>70</v>
          </cell>
        </row>
        <row r="15">
          <cell r="F15">
            <v>1</v>
          </cell>
          <cell r="H15">
            <v>2</v>
          </cell>
          <cell r="I15">
            <v>3</v>
          </cell>
        </row>
        <row r="19">
          <cell r="H19">
            <v>110</v>
          </cell>
          <cell r="I19">
            <v>110</v>
          </cell>
        </row>
        <row r="26">
          <cell r="E26">
            <v>627</v>
          </cell>
          <cell r="H26">
            <v>1832</v>
          </cell>
        </row>
        <row r="27">
          <cell r="E27">
            <v>0</v>
          </cell>
        </row>
        <row r="28">
          <cell r="E28">
            <v>0</v>
          </cell>
        </row>
        <row r="29">
          <cell r="E29">
            <v>8818</v>
          </cell>
          <cell r="H29">
            <v>8944</v>
          </cell>
        </row>
        <row r="30">
          <cell r="E30">
            <v>0</v>
          </cell>
        </row>
        <row r="31">
          <cell r="E31">
            <v>2458</v>
          </cell>
          <cell r="H31">
            <v>5353</v>
          </cell>
        </row>
        <row r="32">
          <cell r="E32">
            <v>637</v>
          </cell>
          <cell r="H32">
            <v>1456</v>
          </cell>
        </row>
        <row r="33">
          <cell r="E33">
            <v>0</v>
          </cell>
        </row>
        <row r="36">
          <cell r="E36">
            <v>0</v>
          </cell>
          <cell r="H36">
            <v>7157</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sheetData>
      <sheetData sheetId="14">
        <row r="6">
          <cell r="D6">
            <v>823</v>
          </cell>
          <cell r="E6">
            <v>225</v>
          </cell>
          <cell r="F6">
            <v>27.339003645200485</v>
          </cell>
        </row>
        <row r="7">
          <cell r="D7">
            <v>98</v>
          </cell>
          <cell r="F7">
            <v>0</v>
          </cell>
        </row>
      </sheetData>
      <sheetData sheetId="15"/>
      <sheetData sheetId="16"/>
      <sheetData sheetId="17"/>
      <sheetData sheetId="18"/>
      <sheetData sheetId="1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Erläuterungen ISCED"/>
      <sheetName val="Änderungen geg. 2013"/>
      <sheetName val="Fußnoten"/>
      <sheetName val="SKL"/>
      <sheetName val="A+EStd"/>
      <sheetName val="VZLE"/>
      <sheetName val="Plausi"/>
      <sheetName val="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sheetData sheetId="4">
        <row r="12">
          <cell r="D12">
            <v>67667</v>
          </cell>
          <cell r="R12">
            <v>4772</v>
          </cell>
        </row>
        <row r="14">
          <cell r="D14">
            <v>0</v>
          </cell>
          <cell r="R14">
            <v>0</v>
          </cell>
        </row>
        <row r="17">
          <cell r="D17">
            <v>46720</v>
          </cell>
          <cell r="R17">
            <v>2347</v>
          </cell>
        </row>
        <row r="20">
          <cell r="D20">
            <v>0</v>
          </cell>
          <cell r="R20">
            <v>0</v>
          </cell>
        </row>
        <row r="24">
          <cell r="D24">
            <v>36067</v>
          </cell>
          <cell r="R24">
            <v>3681</v>
          </cell>
        </row>
        <row r="30">
          <cell r="D30">
            <v>4702</v>
          </cell>
          <cell r="R30">
            <v>1494</v>
          </cell>
        </row>
        <row r="35">
          <cell r="D35">
            <v>268</v>
          </cell>
          <cell r="R35">
            <v>268</v>
          </cell>
        </row>
        <row r="36">
          <cell r="D36">
            <v>530</v>
          </cell>
          <cell r="R36">
            <v>530</v>
          </cell>
        </row>
        <row r="40">
          <cell r="D40">
            <v>10619</v>
          </cell>
          <cell r="R40">
            <v>445</v>
          </cell>
        </row>
      </sheetData>
      <sheetData sheetId="5"/>
      <sheetData sheetId="6"/>
      <sheetData sheetId="7"/>
      <sheetData sheetId="8"/>
      <sheetData sheetId="9"/>
      <sheetData sheetId="10"/>
      <sheetData sheetId="11"/>
      <sheetData sheetId="12"/>
      <sheetData sheetId="13"/>
      <sheetData sheetId="14">
        <row r="9">
          <cell r="F9">
            <v>3</v>
          </cell>
          <cell r="H9">
            <v>15</v>
          </cell>
          <cell r="I9">
            <v>461</v>
          </cell>
        </row>
        <row r="12">
          <cell r="F12">
            <v>10</v>
          </cell>
          <cell r="G12">
            <v>18</v>
          </cell>
          <cell r="H12">
            <v>42</v>
          </cell>
          <cell r="I12">
            <v>136</v>
          </cell>
        </row>
        <row r="14">
          <cell r="F14">
            <v>3</v>
          </cell>
          <cell r="G14">
            <v>7</v>
          </cell>
          <cell r="H14">
            <v>15</v>
          </cell>
          <cell r="I14">
            <v>69</v>
          </cell>
        </row>
        <row r="15">
          <cell r="F15">
            <v>4</v>
          </cell>
          <cell r="G15">
            <v>3</v>
          </cell>
          <cell r="H15">
            <v>5</v>
          </cell>
          <cell r="I15">
            <v>19</v>
          </cell>
        </row>
        <row r="19">
          <cell r="H19">
            <v>98</v>
          </cell>
          <cell r="I19">
            <v>98</v>
          </cell>
        </row>
        <row r="26">
          <cell r="E26">
            <v>638</v>
          </cell>
          <cell r="H26">
            <v>1961</v>
          </cell>
        </row>
        <row r="27">
          <cell r="E27">
            <v>0</v>
          </cell>
        </row>
        <row r="28">
          <cell r="E28">
            <v>0</v>
          </cell>
        </row>
        <row r="29">
          <cell r="E29">
            <v>8017</v>
          </cell>
          <cell r="H29">
            <v>8421</v>
          </cell>
        </row>
        <row r="30">
          <cell r="E30">
            <v>0</v>
          </cell>
        </row>
        <row r="31">
          <cell r="E31">
            <v>3352</v>
          </cell>
          <cell r="H31">
            <v>5306</v>
          </cell>
        </row>
        <row r="32">
          <cell r="E32">
            <v>1151</v>
          </cell>
          <cell r="H32">
            <v>1635</v>
          </cell>
        </row>
        <row r="33">
          <cell r="E33">
            <v>0</v>
          </cell>
        </row>
        <row r="36">
          <cell r="E36">
            <v>0</v>
          </cell>
          <cell r="H36">
            <v>6783</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sheetData>
      <sheetData sheetId="15">
        <row r="6">
          <cell r="D6">
            <v>780</v>
          </cell>
          <cell r="E6">
            <v>221</v>
          </cell>
          <cell r="F6">
            <v>28.333333333333332</v>
          </cell>
        </row>
        <row r="7">
          <cell r="D7">
            <v>101</v>
          </cell>
          <cell r="F7">
            <v>0</v>
          </cell>
        </row>
      </sheetData>
      <sheetData sheetId="16"/>
      <sheetData sheetId="17"/>
      <sheetData sheetId="18"/>
      <sheetData sheetId="19"/>
      <sheetData sheetId="20"/>
      <sheetData sheetId="2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69198</v>
          </cell>
          <cell r="R12">
            <v>5009</v>
          </cell>
        </row>
        <row r="14">
          <cell r="D14">
            <v>0</v>
          </cell>
          <cell r="R14">
            <v>0</v>
          </cell>
        </row>
        <row r="17">
          <cell r="D17">
            <v>46033</v>
          </cell>
          <cell r="R17">
            <v>2561</v>
          </cell>
        </row>
        <row r="20">
          <cell r="D20">
            <v>0</v>
          </cell>
          <cell r="R20">
            <v>0</v>
          </cell>
        </row>
        <row r="24">
          <cell r="D24">
            <v>35968</v>
          </cell>
          <cell r="R24">
            <v>3736</v>
          </cell>
        </row>
        <row r="30">
          <cell r="D30">
            <v>6554</v>
          </cell>
          <cell r="R30">
            <v>1782</v>
          </cell>
        </row>
        <row r="35">
          <cell r="D35">
            <v>298</v>
          </cell>
          <cell r="R35">
            <v>298</v>
          </cell>
        </row>
        <row r="36">
          <cell r="D36">
            <v>535</v>
          </cell>
          <cell r="R36">
            <v>535</v>
          </cell>
        </row>
        <row r="40">
          <cell r="D40">
            <v>10401</v>
          </cell>
          <cell r="R40">
            <v>508</v>
          </cell>
        </row>
      </sheetData>
      <sheetData sheetId="4"/>
      <sheetData sheetId="5"/>
      <sheetData sheetId="6"/>
      <sheetData sheetId="7"/>
      <sheetData sheetId="8"/>
      <sheetData sheetId="9"/>
      <sheetData sheetId="10"/>
      <sheetData sheetId="11"/>
      <sheetData sheetId="12"/>
      <sheetData sheetId="13"/>
      <sheetData sheetId="14">
        <row r="9">
          <cell r="F9">
            <v>3</v>
          </cell>
          <cell r="H9">
            <v>15</v>
          </cell>
          <cell r="I9">
            <v>453</v>
          </cell>
        </row>
        <row r="12">
          <cell r="F12">
            <v>9</v>
          </cell>
          <cell r="G12">
            <v>18</v>
          </cell>
          <cell r="H12">
            <v>37</v>
          </cell>
          <cell r="I12">
            <v>126</v>
          </cell>
        </row>
        <row r="14">
          <cell r="F14">
            <v>3</v>
          </cell>
          <cell r="G14">
            <v>7</v>
          </cell>
          <cell r="H14">
            <v>15</v>
          </cell>
          <cell r="I14">
            <v>72</v>
          </cell>
        </row>
        <row r="15">
          <cell r="F15">
            <v>6</v>
          </cell>
          <cell r="G15">
            <v>5</v>
          </cell>
          <cell r="H15">
            <v>8</v>
          </cell>
          <cell r="I15">
            <v>29</v>
          </cell>
        </row>
        <row r="19">
          <cell r="H19">
            <v>96</v>
          </cell>
          <cell r="I19">
            <v>96</v>
          </cell>
        </row>
        <row r="26">
          <cell r="E26">
            <v>672</v>
          </cell>
          <cell r="H26">
            <v>1982</v>
          </cell>
        </row>
        <row r="29">
          <cell r="E29">
            <v>8810</v>
          </cell>
          <cell r="H29">
            <v>8152</v>
          </cell>
        </row>
        <row r="31">
          <cell r="E31">
            <v>3471</v>
          </cell>
          <cell r="H31">
            <v>5469</v>
          </cell>
        </row>
        <row r="32">
          <cell r="E32">
            <v>2092</v>
          </cell>
          <cell r="H32">
            <v>2015</v>
          </cell>
        </row>
        <row r="36">
          <cell r="H36">
            <v>6595</v>
          </cell>
        </row>
      </sheetData>
      <sheetData sheetId="15">
        <row r="6">
          <cell r="D6">
            <v>772</v>
          </cell>
          <cell r="E6">
            <v>219</v>
          </cell>
          <cell r="F6">
            <v>28.367875647668395</v>
          </cell>
        </row>
        <row r="7">
          <cell r="D7">
            <v>101</v>
          </cell>
          <cell r="F7">
            <v>0</v>
          </cell>
        </row>
      </sheetData>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3"/>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420117</v>
          </cell>
          <cell r="R12">
            <v>15561</v>
          </cell>
        </row>
        <row r="13">
          <cell r="D13">
            <v>611</v>
          </cell>
          <cell r="R13">
            <v>0</v>
          </cell>
        </row>
        <row r="14">
          <cell r="D14">
            <v>202810</v>
          </cell>
          <cell r="R14">
            <v>13370</v>
          </cell>
        </row>
        <row r="17">
          <cell r="D17">
            <v>0</v>
          </cell>
          <cell r="R17">
            <v>0</v>
          </cell>
        </row>
        <row r="20">
          <cell r="D20">
            <v>255498</v>
          </cell>
          <cell r="R20">
            <v>50418</v>
          </cell>
        </row>
        <row r="24">
          <cell r="D24">
            <v>213353</v>
          </cell>
          <cell r="R24">
            <v>20669</v>
          </cell>
        </row>
        <row r="29">
          <cell r="D29">
            <v>0</v>
          </cell>
          <cell r="R29">
            <v>0</v>
          </cell>
        </row>
        <row r="30">
          <cell r="D30">
            <v>1880</v>
          </cell>
          <cell r="R30">
            <v>0</v>
          </cell>
        </row>
        <row r="35">
          <cell r="D35">
            <v>2556</v>
          </cell>
          <cell r="R35">
            <v>2556</v>
          </cell>
        </row>
        <row r="36">
          <cell r="D36">
            <v>4217</v>
          </cell>
          <cell r="R36">
            <v>4217</v>
          </cell>
        </row>
        <row r="40">
          <cell r="D40">
            <v>54235</v>
          </cell>
          <cell r="R40">
            <v>25041</v>
          </cell>
        </row>
      </sheetData>
      <sheetData sheetId="4"/>
      <sheetData sheetId="5"/>
      <sheetData sheetId="6"/>
      <sheetData sheetId="7"/>
      <sheetData sheetId="8"/>
      <sheetData sheetId="9"/>
      <sheetData sheetId="10"/>
      <sheetData sheetId="11"/>
      <sheetData sheetId="12"/>
      <sheetData sheetId="13"/>
      <sheetData sheetId="14">
        <row r="9">
          <cell r="F9">
            <v>0</v>
          </cell>
          <cell r="G9">
            <v>363</v>
          </cell>
          <cell r="H9">
            <v>139</v>
          </cell>
          <cell r="I9">
            <v>2258</v>
          </cell>
        </row>
        <row r="10">
          <cell r="F10">
            <v>0</v>
          </cell>
          <cell r="G10">
            <v>1</v>
          </cell>
          <cell r="H10">
            <v>0</v>
          </cell>
          <cell r="I10">
            <v>1</v>
          </cell>
        </row>
        <row r="11">
          <cell r="F11">
            <v>13</v>
          </cell>
          <cell r="G11">
            <v>376</v>
          </cell>
          <cell r="H11">
            <v>331</v>
          </cell>
          <cell r="I11">
            <v>897</v>
          </cell>
        </row>
        <row r="12">
          <cell r="F12">
            <v>0</v>
          </cell>
          <cell r="G12">
            <v>0</v>
          </cell>
          <cell r="H12">
            <v>0</v>
          </cell>
          <cell r="I12">
            <v>0</v>
          </cell>
        </row>
        <row r="13">
          <cell r="F13">
            <v>3</v>
          </cell>
          <cell r="G13">
            <v>62</v>
          </cell>
          <cell r="H13">
            <v>137</v>
          </cell>
          <cell r="I13">
            <v>319</v>
          </cell>
        </row>
        <row r="14">
          <cell r="F14">
            <v>1</v>
          </cell>
          <cell r="G14">
            <v>65</v>
          </cell>
          <cell r="H14">
            <v>203</v>
          </cell>
          <cell r="I14">
            <v>350</v>
          </cell>
        </row>
        <row r="15">
          <cell r="F15">
            <v>0</v>
          </cell>
          <cell r="G15">
            <v>2</v>
          </cell>
          <cell r="H15">
            <v>0</v>
          </cell>
          <cell r="I15">
            <v>2</v>
          </cell>
        </row>
        <row r="16">
          <cell r="F16">
            <v>0</v>
          </cell>
          <cell r="G16">
            <v>0</v>
          </cell>
          <cell r="H16">
            <v>0</v>
          </cell>
          <cell r="I16">
            <v>0</v>
          </cell>
        </row>
        <row r="17">
          <cell r="I17">
            <v>0</v>
          </cell>
        </row>
        <row r="18">
          <cell r="I18">
            <v>0</v>
          </cell>
        </row>
        <row r="19">
          <cell r="F19">
            <v>1</v>
          </cell>
          <cell r="G19">
            <v>82</v>
          </cell>
          <cell r="H19">
            <v>60</v>
          </cell>
          <cell r="I19">
            <v>163</v>
          </cell>
        </row>
        <row r="26">
          <cell r="E26">
            <v>23329</v>
          </cell>
          <cell r="H26">
            <v>13745</v>
          </cell>
        </row>
        <row r="27">
          <cell r="E27">
            <v>122</v>
          </cell>
          <cell r="H27">
            <v>0</v>
          </cell>
        </row>
        <row r="28">
          <cell r="E28">
            <v>33458</v>
          </cell>
          <cell r="H28">
            <v>16478</v>
          </cell>
        </row>
        <row r="29">
          <cell r="E29">
            <v>0</v>
          </cell>
          <cell r="H29">
            <v>0</v>
          </cell>
        </row>
        <row r="30">
          <cell r="E30">
            <v>6579</v>
          </cell>
          <cell r="H30">
            <v>9342</v>
          </cell>
        </row>
        <row r="31">
          <cell r="E31">
            <v>5183</v>
          </cell>
          <cell r="H31">
            <v>15799</v>
          </cell>
        </row>
        <row r="32">
          <cell r="E32">
            <v>692</v>
          </cell>
          <cell r="H32">
            <v>74</v>
          </cell>
        </row>
        <row r="33">
          <cell r="E33">
            <v>0</v>
          </cell>
          <cell r="H33">
            <v>0</v>
          </cell>
        </row>
        <row r="36">
          <cell r="E36">
            <v>4380</v>
          </cell>
          <cell r="H36">
            <v>3788</v>
          </cell>
        </row>
        <row r="53">
          <cell r="F53">
            <v>23</v>
          </cell>
          <cell r="G53">
            <v>7</v>
          </cell>
          <cell r="H53">
            <v>22</v>
          </cell>
          <cell r="I53">
            <v>147</v>
          </cell>
        </row>
        <row r="54">
          <cell r="F54">
            <v>0</v>
          </cell>
          <cell r="G54">
            <v>0</v>
          </cell>
          <cell r="H54">
            <v>0</v>
          </cell>
          <cell r="I54">
            <v>0</v>
          </cell>
        </row>
        <row r="55">
          <cell r="F55">
            <v>9</v>
          </cell>
          <cell r="G55">
            <v>12</v>
          </cell>
          <cell r="H55">
            <v>47</v>
          </cell>
          <cell r="I55">
            <v>108</v>
          </cell>
        </row>
        <row r="56">
          <cell r="F56">
            <v>0</v>
          </cell>
          <cell r="G56">
            <v>0</v>
          </cell>
          <cell r="H56">
            <v>0</v>
          </cell>
          <cell r="I56">
            <v>0</v>
          </cell>
        </row>
        <row r="57">
          <cell r="F57">
            <v>14</v>
          </cell>
          <cell r="G57">
            <v>10</v>
          </cell>
          <cell r="H57">
            <v>81</v>
          </cell>
          <cell r="I57">
            <v>138</v>
          </cell>
        </row>
        <row r="58">
          <cell r="F58">
            <v>18</v>
          </cell>
          <cell r="G58">
            <v>8</v>
          </cell>
          <cell r="H58">
            <v>37</v>
          </cell>
          <cell r="I58">
            <v>74</v>
          </cell>
        </row>
        <row r="59">
          <cell r="F59">
            <v>0</v>
          </cell>
          <cell r="G59">
            <v>0</v>
          </cell>
          <cell r="H59">
            <v>0</v>
          </cell>
          <cell r="I59">
            <v>0</v>
          </cell>
        </row>
        <row r="60">
          <cell r="F60">
            <v>0</v>
          </cell>
          <cell r="G60">
            <v>0</v>
          </cell>
          <cell r="H60">
            <v>0</v>
          </cell>
          <cell r="I60">
            <v>0</v>
          </cell>
        </row>
        <row r="61">
          <cell r="F61">
            <v>0</v>
          </cell>
          <cell r="G61">
            <v>3</v>
          </cell>
          <cell r="H61">
            <v>15</v>
          </cell>
          <cell r="I61">
            <v>22</v>
          </cell>
        </row>
        <row r="62">
          <cell r="F62">
            <v>0</v>
          </cell>
          <cell r="G62">
            <v>0</v>
          </cell>
          <cell r="H62">
            <v>0</v>
          </cell>
          <cell r="I62">
            <v>22</v>
          </cell>
        </row>
        <row r="63">
          <cell r="F63">
            <v>0</v>
          </cell>
          <cell r="G63">
            <v>21</v>
          </cell>
          <cell r="H63">
            <v>131</v>
          </cell>
          <cell r="I63">
            <v>192</v>
          </cell>
        </row>
        <row r="70">
          <cell r="E70">
            <v>2911</v>
          </cell>
          <cell r="H70">
            <v>1640</v>
          </cell>
        </row>
        <row r="71">
          <cell r="E71">
            <v>0</v>
          </cell>
          <cell r="H71">
            <v>0</v>
          </cell>
        </row>
        <row r="72">
          <cell r="E72">
            <v>2660</v>
          </cell>
          <cell r="H72">
            <v>3496</v>
          </cell>
        </row>
        <row r="73">
          <cell r="E73">
            <v>0</v>
          </cell>
          <cell r="H73">
            <v>0</v>
          </cell>
        </row>
        <row r="74">
          <cell r="E74">
            <v>3180</v>
          </cell>
          <cell r="H74">
            <v>5597</v>
          </cell>
        </row>
        <row r="75">
          <cell r="E75">
            <v>3504</v>
          </cell>
          <cell r="H75">
            <v>3142</v>
          </cell>
        </row>
        <row r="76">
          <cell r="E76">
            <v>0</v>
          </cell>
          <cell r="H76">
            <v>0</v>
          </cell>
        </row>
        <row r="77">
          <cell r="E77">
            <v>0</v>
          </cell>
          <cell r="H77">
            <v>0</v>
          </cell>
        </row>
        <row r="78">
          <cell r="E78">
            <v>317</v>
          </cell>
          <cell r="H78">
            <v>2327</v>
          </cell>
        </row>
        <row r="79">
          <cell r="E79">
            <v>0</v>
          </cell>
          <cell r="H79">
            <v>56</v>
          </cell>
        </row>
        <row r="80">
          <cell r="E80">
            <v>987</v>
          </cell>
          <cell r="H80">
            <v>10353</v>
          </cell>
        </row>
      </sheetData>
      <sheetData sheetId="15">
        <row r="5">
          <cell r="F5">
            <v>49.270879363676535</v>
          </cell>
        </row>
        <row r="6">
          <cell r="D6">
            <v>3979</v>
          </cell>
          <cell r="E6">
            <v>1834</v>
          </cell>
          <cell r="F6">
            <v>46.091982910278965</v>
          </cell>
        </row>
        <row r="7">
          <cell r="D7">
            <v>547</v>
          </cell>
          <cell r="E7">
            <v>396</v>
          </cell>
          <cell r="F7">
            <v>72.39488117001828</v>
          </cell>
        </row>
      </sheetData>
      <sheetData sheetId="16"/>
      <sheetData sheetId="17"/>
      <sheetData sheetId="18"/>
      <sheetData sheetId="19"/>
      <sheetData sheetId="20"/>
      <sheetData sheetId="2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5"/>
      <sheetName val="Fußnoten"/>
      <sheetName val="SKL"/>
      <sheetName val="VZLE"/>
      <sheetName val="A+EStd"/>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 val="Beschulung"/>
    </sheetNames>
    <sheetDataSet>
      <sheetData sheetId="0"/>
      <sheetData sheetId="1"/>
      <sheetData sheetId="2"/>
      <sheetData sheetId="3">
        <row r="12">
          <cell r="D12">
            <v>71544</v>
          </cell>
          <cell r="R12">
            <v>5196</v>
          </cell>
        </row>
        <row r="13">
          <cell r="D13"/>
          <cell r="R13"/>
        </row>
        <row r="14">
          <cell r="D14">
            <v>0</v>
          </cell>
          <cell r="R14">
            <v>0</v>
          </cell>
        </row>
        <row r="17">
          <cell r="D17">
            <v>45601</v>
          </cell>
          <cell r="R17">
            <v>2693</v>
          </cell>
        </row>
        <row r="20">
          <cell r="D20">
            <v>0</v>
          </cell>
          <cell r="R20">
            <v>0</v>
          </cell>
        </row>
        <row r="24">
          <cell r="D24">
            <v>35233</v>
          </cell>
          <cell r="R24">
            <v>3742</v>
          </cell>
        </row>
        <row r="29">
          <cell r="D29"/>
          <cell r="R29"/>
        </row>
        <row r="30">
          <cell r="D30">
            <v>8890</v>
          </cell>
          <cell r="R30">
            <v>2176</v>
          </cell>
        </row>
        <row r="35">
          <cell r="D35">
            <v>324</v>
          </cell>
          <cell r="R35">
            <v>324</v>
          </cell>
        </row>
        <row r="36">
          <cell r="D36">
            <v>536</v>
          </cell>
          <cell r="R36">
            <v>536</v>
          </cell>
        </row>
        <row r="40">
          <cell r="D40">
            <v>10148</v>
          </cell>
          <cell r="R40">
            <v>503</v>
          </cell>
        </row>
      </sheetData>
      <sheetData sheetId="4"/>
      <sheetData sheetId="5"/>
      <sheetData sheetId="6"/>
      <sheetData sheetId="7"/>
      <sheetData sheetId="8"/>
      <sheetData sheetId="9"/>
      <sheetData sheetId="10"/>
      <sheetData sheetId="11"/>
      <sheetData sheetId="12"/>
      <sheetData sheetId="13"/>
      <sheetData sheetId="14">
        <row r="9">
          <cell r="D9">
            <v>311</v>
          </cell>
          <cell r="F9">
            <v>3</v>
          </cell>
          <cell r="G9"/>
          <cell r="H9">
            <v>308</v>
          </cell>
          <cell r="I9">
            <v>449</v>
          </cell>
        </row>
        <row r="10">
          <cell r="D10">
            <v>0</v>
          </cell>
          <cell r="F10"/>
          <cell r="G10"/>
          <cell r="H10"/>
          <cell r="I10"/>
        </row>
        <row r="11">
          <cell r="D11">
            <v>0</v>
          </cell>
          <cell r="F11"/>
          <cell r="G11"/>
          <cell r="H11"/>
          <cell r="I11"/>
        </row>
        <row r="12">
          <cell r="D12">
            <v>61</v>
          </cell>
          <cell r="F12">
            <v>9</v>
          </cell>
          <cell r="G12">
            <v>17</v>
          </cell>
          <cell r="H12">
            <v>35</v>
          </cell>
          <cell r="I12">
            <v>121</v>
          </cell>
        </row>
        <row r="13">
          <cell r="D13">
            <v>0</v>
          </cell>
          <cell r="F13"/>
          <cell r="G13"/>
          <cell r="H13"/>
          <cell r="I13"/>
        </row>
        <row r="14">
          <cell r="D14">
            <v>27</v>
          </cell>
          <cell r="F14">
            <v>4</v>
          </cell>
          <cell r="G14">
            <v>7</v>
          </cell>
          <cell r="H14">
            <v>16</v>
          </cell>
          <cell r="I14">
            <v>72</v>
          </cell>
        </row>
        <row r="15">
          <cell r="D15">
            <v>22</v>
          </cell>
          <cell r="F15">
            <v>6</v>
          </cell>
          <cell r="G15">
            <v>6</v>
          </cell>
          <cell r="H15">
            <v>10</v>
          </cell>
          <cell r="I15">
            <v>34</v>
          </cell>
        </row>
        <row r="16">
          <cell r="F16"/>
          <cell r="G16"/>
          <cell r="H16"/>
          <cell r="I16"/>
        </row>
        <row r="17">
          <cell r="D17">
            <v>0</v>
          </cell>
          <cell r="I17"/>
        </row>
        <row r="18">
          <cell r="I18"/>
        </row>
        <row r="19">
          <cell r="D19">
            <v>94</v>
          </cell>
          <cell r="F19"/>
          <cell r="G19"/>
          <cell r="H19">
            <v>94</v>
          </cell>
          <cell r="I19">
            <v>94</v>
          </cell>
        </row>
        <row r="26">
          <cell r="D26">
            <v>45998</v>
          </cell>
          <cell r="E26">
            <v>682</v>
          </cell>
          <cell r="H26">
            <v>45316</v>
          </cell>
        </row>
        <row r="27">
          <cell r="D27">
            <v>0</v>
          </cell>
          <cell r="E27"/>
          <cell r="H27"/>
        </row>
        <row r="28">
          <cell r="D28">
            <v>0</v>
          </cell>
          <cell r="E28"/>
          <cell r="H28"/>
        </row>
        <row r="29">
          <cell r="D29">
            <v>16027</v>
          </cell>
          <cell r="E29">
            <v>6679</v>
          </cell>
          <cell r="H29">
            <v>9348</v>
          </cell>
        </row>
        <row r="30">
          <cell r="D30">
            <v>0</v>
          </cell>
          <cell r="E30"/>
          <cell r="H30"/>
        </row>
        <row r="31">
          <cell r="D31">
            <v>8174</v>
          </cell>
          <cell r="E31">
            <v>2586</v>
          </cell>
          <cell r="H31">
            <v>5588</v>
          </cell>
        </row>
        <row r="32">
          <cell r="D32">
            <v>4283</v>
          </cell>
          <cell r="E32">
            <v>2493</v>
          </cell>
          <cell r="H32">
            <v>1790</v>
          </cell>
        </row>
        <row r="33">
          <cell r="E33"/>
          <cell r="H33"/>
        </row>
        <row r="34">
          <cell r="D34">
            <v>0</v>
          </cell>
        </row>
        <row r="36">
          <cell r="D36">
            <v>6440</v>
          </cell>
          <cell r="E36"/>
          <cell r="H36">
            <v>6440</v>
          </cell>
        </row>
        <row r="53">
          <cell r="D53">
            <v>0</v>
          </cell>
          <cell r="F53"/>
          <cell r="G53"/>
          <cell r="H53"/>
          <cell r="I53"/>
        </row>
        <row r="54">
          <cell r="D54">
            <v>0</v>
          </cell>
          <cell r="F54"/>
          <cell r="G54"/>
          <cell r="H54"/>
          <cell r="I54"/>
        </row>
        <row r="55">
          <cell r="D55">
            <v>0</v>
          </cell>
          <cell r="F55"/>
          <cell r="G55"/>
          <cell r="H55"/>
          <cell r="I55"/>
        </row>
        <row r="56">
          <cell r="D56">
            <v>0</v>
          </cell>
          <cell r="F56"/>
          <cell r="G56"/>
          <cell r="H56"/>
          <cell r="I56"/>
        </row>
        <row r="57">
          <cell r="D57">
            <v>0</v>
          </cell>
          <cell r="F57"/>
          <cell r="G57"/>
          <cell r="H57"/>
          <cell r="I57"/>
        </row>
        <row r="58">
          <cell r="D58">
            <v>0</v>
          </cell>
          <cell r="F58"/>
          <cell r="G58"/>
          <cell r="H58"/>
          <cell r="I58"/>
        </row>
        <row r="59">
          <cell r="D59">
            <v>0</v>
          </cell>
          <cell r="F59"/>
          <cell r="G59"/>
          <cell r="H59"/>
          <cell r="I59"/>
        </row>
        <row r="60">
          <cell r="F60"/>
          <cell r="G60"/>
          <cell r="H60"/>
          <cell r="I60"/>
        </row>
        <row r="61">
          <cell r="D61">
            <v>0</v>
          </cell>
          <cell r="F61"/>
          <cell r="G61"/>
          <cell r="H61"/>
          <cell r="I61"/>
        </row>
        <row r="62">
          <cell r="F62"/>
          <cell r="G62"/>
          <cell r="H62"/>
          <cell r="I62"/>
        </row>
        <row r="63">
          <cell r="D63">
            <v>0</v>
          </cell>
          <cell r="F63"/>
          <cell r="G63"/>
          <cell r="H63"/>
          <cell r="I63"/>
        </row>
        <row r="70">
          <cell r="D70">
            <v>0</v>
          </cell>
          <cell r="E70"/>
          <cell r="H70"/>
        </row>
        <row r="71">
          <cell r="D71">
            <v>0</v>
          </cell>
          <cell r="E71"/>
          <cell r="H71"/>
        </row>
        <row r="72">
          <cell r="D72">
            <v>0</v>
          </cell>
          <cell r="E72"/>
          <cell r="H72"/>
        </row>
        <row r="73">
          <cell r="D73">
            <v>0</v>
          </cell>
          <cell r="E73"/>
          <cell r="H73"/>
        </row>
        <row r="74">
          <cell r="D74">
            <v>0</v>
          </cell>
          <cell r="E74"/>
          <cell r="H74"/>
        </row>
        <row r="75">
          <cell r="D75">
            <v>0</v>
          </cell>
          <cell r="E75"/>
          <cell r="H75"/>
        </row>
        <row r="76">
          <cell r="D76">
            <v>0</v>
          </cell>
          <cell r="E76"/>
          <cell r="H76"/>
        </row>
        <row r="77">
          <cell r="E77"/>
          <cell r="H77"/>
        </row>
        <row r="78">
          <cell r="D78">
            <v>0</v>
          </cell>
          <cell r="E78"/>
          <cell r="H78"/>
        </row>
        <row r="79">
          <cell r="E79"/>
          <cell r="H79"/>
        </row>
        <row r="80">
          <cell r="D80">
            <v>0</v>
          </cell>
          <cell r="E80"/>
          <cell r="H80"/>
        </row>
        <row r="97">
          <cell r="D97">
            <v>311</v>
          </cell>
        </row>
        <row r="98">
          <cell r="D98">
            <v>0</v>
          </cell>
        </row>
        <row r="99">
          <cell r="D99">
            <v>0</v>
          </cell>
        </row>
        <row r="100">
          <cell r="D100">
            <v>61</v>
          </cell>
        </row>
        <row r="101">
          <cell r="D101">
            <v>0</v>
          </cell>
        </row>
        <row r="102">
          <cell r="D102">
            <v>27</v>
          </cell>
        </row>
        <row r="103">
          <cell r="D103">
            <v>22</v>
          </cell>
        </row>
        <row r="105">
          <cell r="D105">
            <v>0</v>
          </cell>
        </row>
        <row r="107">
          <cell r="D107">
            <v>94</v>
          </cell>
        </row>
        <row r="114">
          <cell r="D114">
            <v>45998</v>
          </cell>
        </row>
        <row r="115">
          <cell r="D115">
            <v>0</v>
          </cell>
        </row>
        <row r="116">
          <cell r="D116">
            <v>0</v>
          </cell>
        </row>
        <row r="117">
          <cell r="D117">
            <v>16027</v>
          </cell>
        </row>
        <row r="118">
          <cell r="D118">
            <v>0</v>
          </cell>
        </row>
        <row r="119">
          <cell r="D119">
            <v>8174</v>
          </cell>
        </row>
        <row r="120">
          <cell r="D120">
            <v>4283</v>
          </cell>
        </row>
        <row r="122">
          <cell r="D122">
            <v>0</v>
          </cell>
        </row>
        <row r="124">
          <cell r="D124">
            <v>6440</v>
          </cell>
        </row>
      </sheetData>
      <sheetData sheetId="15">
        <row r="6">
          <cell r="D6">
            <v>765</v>
          </cell>
          <cell r="E6">
            <v>510</v>
          </cell>
          <cell r="F6">
            <v>66.666666666666671</v>
          </cell>
        </row>
        <row r="7">
          <cell r="D7">
            <v>105</v>
          </cell>
          <cell r="E7"/>
          <cell r="F7">
            <v>0</v>
          </cell>
        </row>
      </sheetData>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Änderungen geg. 2014"/>
      <sheetName val="Fußnoten"/>
      <sheetName val="SKL"/>
      <sheetName val="A+EStd"/>
      <sheetName val="VZLE"/>
      <sheetName val="Plausi"/>
      <sheetName val="ISCED"/>
      <sheetName val="Erläuterungen ISCED"/>
      <sheetName val="A_ABS"/>
      <sheetName val="A_BBS"/>
      <sheetName val="Absolventen_JG"/>
      <sheetName val="SopäFö"/>
      <sheetName val="SopäInt"/>
      <sheetName val="GtS"/>
      <sheetName val="GtS_VE"/>
      <sheetName val="Kurse"/>
      <sheetName val="AbiNoten"/>
      <sheetName val="OECD_U_F"/>
      <sheetName val="OECD_P_L"/>
      <sheetName val="OECD_L_G"/>
    </sheetNames>
    <sheetDataSet>
      <sheetData sheetId="0"/>
      <sheetData sheetId="1"/>
      <sheetData sheetId="2"/>
      <sheetData sheetId="3">
        <row r="12">
          <cell r="D12">
            <v>424286</v>
          </cell>
          <cell r="R12">
            <v>15833</v>
          </cell>
        </row>
        <row r="13">
          <cell r="D13">
            <v>612</v>
          </cell>
          <cell r="R13">
            <v>0</v>
          </cell>
        </row>
        <row r="14">
          <cell r="D14">
            <v>202196</v>
          </cell>
          <cell r="R14">
            <v>13656</v>
          </cell>
        </row>
        <row r="17">
          <cell r="D17">
            <v>0</v>
          </cell>
          <cell r="R17">
            <v>0</v>
          </cell>
        </row>
        <row r="20">
          <cell r="D20">
            <v>251128</v>
          </cell>
          <cell r="R20">
            <v>49220</v>
          </cell>
        </row>
        <row r="24">
          <cell r="D24">
            <v>205489</v>
          </cell>
          <cell r="R24">
            <v>19783</v>
          </cell>
        </row>
        <row r="29">
          <cell r="D29">
            <v>0</v>
          </cell>
          <cell r="R29">
            <v>0</v>
          </cell>
        </row>
        <row r="30">
          <cell r="D30">
            <v>1782</v>
          </cell>
          <cell r="R30">
            <v>0</v>
          </cell>
        </row>
        <row r="35">
          <cell r="D35">
            <v>2574</v>
          </cell>
          <cell r="R35">
            <v>2574</v>
          </cell>
        </row>
        <row r="36">
          <cell r="D36">
            <v>4245</v>
          </cell>
          <cell r="R36">
            <v>4245</v>
          </cell>
        </row>
        <row r="40">
          <cell r="D40">
            <v>54079</v>
          </cell>
          <cell r="R40">
            <v>25054</v>
          </cell>
        </row>
      </sheetData>
      <sheetData sheetId="4"/>
      <sheetData sheetId="5"/>
      <sheetData sheetId="6"/>
      <sheetData sheetId="7"/>
      <sheetData sheetId="8"/>
      <sheetData sheetId="9"/>
      <sheetData sheetId="10"/>
      <sheetData sheetId="11"/>
      <sheetData sheetId="12"/>
      <sheetData sheetId="13"/>
      <sheetData sheetId="14">
        <row r="9">
          <cell r="F9">
            <v>1</v>
          </cell>
          <cell r="G9">
            <v>358</v>
          </cell>
          <cell r="H9">
            <v>197</v>
          </cell>
          <cell r="I9">
            <v>2258</v>
          </cell>
        </row>
        <row r="10">
          <cell r="F10" t="str">
            <v xml:space="preserve">                                      -   </v>
          </cell>
          <cell r="G10">
            <v>1</v>
          </cell>
          <cell r="H10" t="str">
            <v xml:space="preserve">                                      -   </v>
          </cell>
          <cell r="I10">
            <v>1</v>
          </cell>
        </row>
        <row r="11">
          <cell r="F11">
            <v>15</v>
          </cell>
          <cell r="G11">
            <v>371</v>
          </cell>
          <cell r="H11">
            <v>332</v>
          </cell>
          <cell r="I11">
            <v>888</v>
          </cell>
        </row>
        <row r="12">
          <cell r="F12" t="str">
            <v xml:space="preserve">                                      -   </v>
          </cell>
          <cell r="G12" t="str">
            <v xml:space="preserve">                                      -   </v>
          </cell>
          <cell r="H12" t="str">
            <v xml:space="preserve">                                      -   </v>
          </cell>
          <cell r="I12" t="str">
            <v xml:space="preserve">                                      -   </v>
          </cell>
        </row>
        <row r="13">
          <cell r="F13">
            <v>4</v>
          </cell>
          <cell r="G13">
            <v>66</v>
          </cell>
          <cell r="H13">
            <v>153</v>
          </cell>
          <cell r="I13">
            <v>319</v>
          </cell>
        </row>
        <row r="14">
          <cell r="F14" t="str">
            <v xml:space="preserve">                                      -   </v>
          </cell>
          <cell r="G14">
            <v>61</v>
          </cell>
          <cell r="H14">
            <v>211</v>
          </cell>
          <cell r="I14">
            <v>351</v>
          </cell>
        </row>
        <row r="15">
          <cell r="F15" t="str">
            <v xml:space="preserve">                                      -   </v>
          </cell>
          <cell r="G15">
            <v>2</v>
          </cell>
          <cell r="H15" t="str">
            <v xml:space="preserve">                                      -   </v>
          </cell>
          <cell r="I15">
            <v>2</v>
          </cell>
        </row>
        <row r="16">
          <cell r="F16" t="str">
            <v xml:space="preserve">                                      -   </v>
          </cell>
          <cell r="G16" t="str">
            <v xml:space="preserve">                                      -   </v>
          </cell>
          <cell r="H16" t="str">
            <v xml:space="preserve">                                      -   </v>
          </cell>
          <cell r="I16" t="str">
            <v xml:space="preserve">                                      -   </v>
          </cell>
        </row>
        <row r="17">
          <cell r="I17" t="str">
            <v xml:space="preserve">                                      -   </v>
          </cell>
        </row>
        <row r="18">
          <cell r="I18" t="str">
            <v xml:space="preserve">                                      -   </v>
          </cell>
        </row>
        <row r="19">
          <cell r="F19" t="str">
            <v xml:space="preserve">                                      -   </v>
          </cell>
          <cell r="G19">
            <v>84</v>
          </cell>
          <cell r="H19">
            <v>60</v>
          </cell>
          <cell r="I19">
            <v>162</v>
          </cell>
        </row>
        <row r="26">
          <cell r="E26">
            <v>25100</v>
          </cell>
          <cell r="H26">
            <v>17173</v>
          </cell>
        </row>
        <row r="27">
          <cell r="E27">
            <v>124</v>
          </cell>
          <cell r="H27" t="str">
            <v xml:space="preserve">                                      -   </v>
          </cell>
        </row>
        <row r="28">
          <cell r="E28">
            <v>33596</v>
          </cell>
          <cell r="H28">
            <v>17386</v>
          </cell>
        </row>
        <row r="29">
          <cell r="E29" t="str">
            <v xml:space="preserve">                                      -   </v>
          </cell>
          <cell r="H29" t="str">
            <v xml:space="preserve">                                      -   </v>
          </cell>
        </row>
        <row r="30">
          <cell r="E30">
            <v>7523</v>
          </cell>
          <cell r="H30">
            <v>11173</v>
          </cell>
        </row>
        <row r="31">
          <cell r="E31">
            <v>4733</v>
          </cell>
          <cell r="H31">
            <v>16917</v>
          </cell>
        </row>
        <row r="32">
          <cell r="E32">
            <v>856</v>
          </cell>
          <cell r="H32">
            <v>95</v>
          </cell>
        </row>
        <row r="33">
          <cell r="E33" t="str">
            <v xml:space="preserve">                                      -   </v>
          </cell>
          <cell r="H33" t="str">
            <v xml:space="preserve">                                      -   </v>
          </cell>
        </row>
        <row r="36">
          <cell r="E36">
            <v>4573</v>
          </cell>
          <cell r="H36">
            <v>4150</v>
          </cell>
        </row>
        <row r="53">
          <cell r="F53">
            <v>21</v>
          </cell>
          <cell r="G53">
            <v>8</v>
          </cell>
          <cell r="H53">
            <v>26</v>
          </cell>
          <cell r="I53">
            <v>146</v>
          </cell>
        </row>
        <row r="54">
          <cell r="F54" t="str">
            <v xml:space="preserve">                                      -   </v>
          </cell>
          <cell r="G54" t="str">
            <v xml:space="preserve">                                      -   </v>
          </cell>
          <cell r="H54" t="str">
            <v xml:space="preserve">                                      -   </v>
          </cell>
          <cell r="I54" t="str">
            <v xml:space="preserve">                                      -   </v>
          </cell>
        </row>
        <row r="55">
          <cell r="F55">
            <v>9</v>
          </cell>
          <cell r="G55">
            <v>12</v>
          </cell>
          <cell r="H55">
            <v>53</v>
          </cell>
          <cell r="I55">
            <v>109</v>
          </cell>
        </row>
        <row r="56">
          <cell r="F56" t="str">
            <v xml:space="preserve">                                      -   </v>
          </cell>
          <cell r="G56" t="str">
            <v xml:space="preserve">                                      -   </v>
          </cell>
          <cell r="H56" t="str">
            <v xml:space="preserve">                                      -   </v>
          </cell>
          <cell r="I56" t="str">
            <v xml:space="preserve">                                      -   </v>
          </cell>
        </row>
        <row r="57">
          <cell r="F57">
            <v>13</v>
          </cell>
          <cell r="G57">
            <v>12</v>
          </cell>
          <cell r="H57">
            <v>84</v>
          </cell>
          <cell r="I57">
            <v>137</v>
          </cell>
        </row>
        <row r="58">
          <cell r="F58">
            <v>14</v>
          </cell>
          <cell r="G58">
            <v>12</v>
          </cell>
          <cell r="H58">
            <v>35</v>
          </cell>
          <cell r="I58">
            <v>75</v>
          </cell>
        </row>
        <row r="59">
          <cell r="F59" t="str">
            <v xml:space="preserve">                                      -   </v>
          </cell>
          <cell r="G59" t="str">
            <v xml:space="preserve">                                      -   </v>
          </cell>
          <cell r="H59" t="str">
            <v xml:space="preserve">                                      -   </v>
          </cell>
          <cell r="I59" t="str">
            <v xml:space="preserve">                                      -   </v>
          </cell>
        </row>
        <row r="60">
          <cell r="F60" t="str">
            <v xml:space="preserve">                                      -   </v>
          </cell>
          <cell r="G60" t="str">
            <v xml:space="preserve">                                      -   </v>
          </cell>
          <cell r="H60" t="str">
            <v xml:space="preserve">                                      -   </v>
          </cell>
          <cell r="I60" t="str">
            <v xml:space="preserve">                                      -   </v>
          </cell>
        </row>
        <row r="61">
          <cell r="F61" t="str">
            <v xml:space="preserve">                                      -   </v>
          </cell>
          <cell r="G61">
            <v>3</v>
          </cell>
          <cell r="H61">
            <v>17</v>
          </cell>
          <cell r="I61">
            <v>22</v>
          </cell>
        </row>
        <row r="62">
          <cell r="F62" t="str">
            <v xml:space="preserve">                                      -   </v>
          </cell>
          <cell r="G62" t="str">
            <v xml:space="preserve">                                      -   </v>
          </cell>
          <cell r="H62" t="str">
            <v xml:space="preserve">                                      -   </v>
          </cell>
          <cell r="I62">
            <v>22</v>
          </cell>
        </row>
        <row r="63">
          <cell r="F63" t="str">
            <v xml:space="preserve">                                      -   </v>
          </cell>
          <cell r="G63">
            <v>19</v>
          </cell>
          <cell r="H63">
            <v>135</v>
          </cell>
          <cell r="I63">
            <v>193</v>
          </cell>
        </row>
        <row r="70">
          <cell r="E70">
            <v>3091</v>
          </cell>
          <cell r="H70">
            <v>1694</v>
          </cell>
        </row>
        <row r="71">
          <cell r="E71" t="str">
            <v xml:space="preserve">                                      -   </v>
          </cell>
          <cell r="H71" t="str">
            <v xml:space="preserve">                                      -   </v>
          </cell>
        </row>
        <row r="72">
          <cell r="E72">
            <v>2832</v>
          </cell>
          <cell r="H72">
            <v>3999</v>
          </cell>
        </row>
        <row r="73">
          <cell r="E73" t="str">
            <v xml:space="preserve">                                      -   </v>
          </cell>
          <cell r="H73" t="str">
            <v xml:space="preserve">                                      -   </v>
          </cell>
        </row>
        <row r="74">
          <cell r="E74">
            <v>3148</v>
          </cell>
          <cell r="H74">
            <v>5186</v>
          </cell>
        </row>
        <row r="75">
          <cell r="E75">
            <v>2881</v>
          </cell>
          <cell r="H75">
            <v>3227</v>
          </cell>
        </row>
        <row r="76">
          <cell r="E76" t="str">
            <v xml:space="preserve">                                      -   </v>
          </cell>
          <cell r="H76" t="str">
            <v xml:space="preserve">                                      -   </v>
          </cell>
        </row>
        <row r="77">
          <cell r="E77" t="str">
            <v xml:space="preserve">                                      -   </v>
          </cell>
          <cell r="H77" t="str">
            <v xml:space="preserve">                                      -   </v>
          </cell>
        </row>
        <row r="78">
          <cell r="E78">
            <v>285</v>
          </cell>
          <cell r="H78">
            <v>2702</v>
          </cell>
        </row>
        <row r="79">
          <cell r="E79" t="str">
            <v xml:space="preserve">                                      -   </v>
          </cell>
          <cell r="H79">
            <v>131</v>
          </cell>
        </row>
        <row r="80">
          <cell r="E80">
            <v>1007</v>
          </cell>
          <cell r="H80">
            <v>10416</v>
          </cell>
        </row>
      </sheetData>
      <sheetData sheetId="15">
        <row r="5">
          <cell r="F5">
            <v>51.168945743273049</v>
          </cell>
        </row>
        <row r="6">
          <cell r="D6">
            <v>3975</v>
          </cell>
          <cell r="E6">
            <v>1910</v>
          </cell>
          <cell r="F6">
            <v>48.050314465408803</v>
          </cell>
        </row>
        <row r="7">
          <cell r="D7">
            <v>559</v>
          </cell>
          <cell r="E7">
            <v>410</v>
          </cell>
          <cell r="F7">
            <v>73.345259391771023</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84"/>
  <sheetViews>
    <sheetView zoomScale="130" zoomScaleNormal="130" workbookViewId="0">
      <selection activeCell="H39" sqref="H39"/>
    </sheetView>
  </sheetViews>
  <sheetFormatPr baseColWidth="10" defaultRowHeight="12.75"/>
  <sheetData>
    <row r="1" spans="1:11">
      <c r="A1" s="361" t="s">
        <v>109</v>
      </c>
      <c r="B1" s="361"/>
      <c r="C1" s="361"/>
      <c r="I1" s="364" t="s">
        <v>311</v>
      </c>
      <c r="J1" s="364"/>
      <c r="K1" s="364"/>
    </row>
    <row r="2" spans="1:11">
      <c r="A2" s="361" t="s">
        <v>110</v>
      </c>
      <c r="B2" s="361"/>
      <c r="C2" s="361"/>
      <c r="I2" s="364"/>
      <c r="J2" s="364"/>
      <c r="K2" s="364"/>
    </row>
    <row r="3" spans="1:11">
      <c r="A3" s="361" t="s">
        <v>111</v>
      </c>
      <c r="B3" s="361"/>
      <c r="C3" s="361"/>
      <c r="I3" s="365"/>
      <c r="J3" s="365"/>
      <c r="K3" s="365"/>
    </row>
    <row r="4" spans="1:11">
      <c r="A4" s="361" t="s">
        <v>145</v>
      </c>
      <c r="B4" s="361"/>
      <c r="C4" s="361"/>
      <c r="I4" s="221"/>
    </row>
    <row r="5" spans="1:11" ht="12.75" customHeight="1">
      <c r="A5" s="362" t="s">
        <v>271</v>
      </c>
      <c r="B5" s="363"/>
      <c r="C5" s="363"/>
      <c r="D5" s="363"/>
      <c r="E5" s="363"/>
      <c r="F5" s="363"/>
      <c r="G5" s="363"/>
      <c r="H5" s="363"/>
      <c r="I5" s="363"/>
      <c r="J5" s="363"/>
      <c r="K5" s="363"/>
    </row>
    <row r="6" spans="1:11" ht="12.75" customHeight="1">
      <c r="A6" s="363"/>
      <c r="B6" s="363"/>
      <c r="C6" s="363"/>
      <c r="D6" s="363"/>
      <c r="E6" s="363"/>
      <c r="F6" s="363"/>
      <c r="G6" s="363"/>
      <c r="H6" s="363"/>
      <c r="I6" s="363"/>
      <c r="J6" s="363"/>
      <c r="K6" s="363"/>
    </row>
    <row r="7" spans="1:11" ht="12.75" customHeight="1">
      <c r="A7" s="363"/>
      <c r="B7" s="363"/>
      <c r="C7" s="363"/>
      <c r="D7" s="363"/>
      <c r="E7" s="363"/>
      <c r="F7" s="363"/>
      <c r="G7" s="363"/>
      <c r="H7" s="363"/>
      <c r="I7" s="363"/>
      <c r="J7" s="363"/>
      <c r="K7" s="363"/>
    </row>
    <row r="8" spans="1:11" ht="12.75" customHeight="1">
      <c r="A8" s="363"/>
      <c r="B8" s="363"/>
      <c r="C8" s="363"/>
      <c r="D8" s="363"/>
      <c r="E8" s="363"/>
      <c r="F8" s="363"/>
      <c r="G8" s="363"/>
      <c r="H8" s="363"/>
      <c r="I8" s="363"/>
      <c r="J8" s="363"/>
      <c r="K8" s="363"/>
    </row>
    <row r="9" spans="1:11" ht="12.75" customHeight="1">
      <c r="A9" s="363"/>
      <c r="B9" s="363"/>
      <c r="C9" s="363"/>
      <c r="D9" s="363"/>
      <c r="E9" s="363"/>
      <c r="F9" s="363"/>
      <c r="G9" s="363"/>
      <c r="H9" s="363"/>
      <c r="I9" s="363"/>
      <c r="J9" s="363"/>
      <c r="K9" s="363"/>
    </row>
    <row r="10" spans="1:11" ht="10.15" customHeight="1">
      <c r="A10" s="363"/>
      <c r="B10" s="363"/>
      <c r="C10" s="363"/>
      <c r="D10" s="363"/>
      <c r="E10" s="363"/>
      <c r="F10" s="363"/>
      <c r="G10" s="363"/>
      <c r="H10" s="363"/>
      <c r="I10" s="363"/>
      <c r="J10" s="363"/>
      <c r="K10" s="363"/>
    </row>
    <row r="11" spans="1:11" ht="12.75" customHeight="1">
      <c r="A11" s="363"/>
      <c r="B11" s="363"/>
      <c r="C11" s="363"/>
      <c r="D11" s="363"/>
      <c r="E11" s="363"/>
      <c r="F11" s="363"/>
      <c r="G11" s="363"/>
      <c r="H11" s="363"/>
      <c r="I11" s="363"/>
      <c r="J11" s="363"/>
      <c r="K11" s="363"/>
    </row>
    <row r="12" spans="1:11" ht="12.75" customHeight="1">
      <c r="A12" s="363"/>
      <c r="B12" s="363"/>
      <c r="C12" s="363"/>
      <c r="D12" s="363"/>
      <c r="E12" s="363"/>
      <c r="F12" s="363"/>
      <c r="G12" s="363"/>
      <c r="H12" s="363"/>
      <c r="I12" s="363"/>
      <c r="J12" s="363"/>
      <c r="K12" s="363"/>
    </row>
    <row r="13" spans="1:11" ht="12.75" customHeight="1">
      <c r="A13" s="363"/>
      <c r="B13" s="363"/>
      <c r="C13" s="363"/>
      <c r="D13" s="363"/>
      <c r="E13" s="363"/>
      <c r="F13" s="363"/>
      <c r="G13" s="363"/>
      <c r="H13" s="363"/>
      <c r="I13" s="363"/>
      <c r="J13" s="363"/>
      <c r="K13" s="363"/>
    </row>
    <row r="14" spans="1:11" ht="12.75" customHeight="1">
      <c r="A14" s="363"/>
      <c r="B14" s="363"/>
      <c r="C14" s="363"/>
      <c r="D14" s="363"/>
      <c r="E14" s="363"/>
      <c r="F14" s="363"/>
      <c r="G14" s="363"/>
      <c r="H14" s="363"/>
      <c r="I14" s="363"/>
      <c r="J14" s="363"/>
      <c r="K14" s="363"/>
    </row>
    <row r="15" spans="1:11" ht="12.75" customHeight="1">
      <c r="A15" s="363"/>
      <c r="B15" s="363"/>
      <c r="C15" s="363"/>
      <c r="D15" s="363"/>
      <c r="E15" s="363"/>
      <c r="F15" s="363"/>
      <c r="G15" s="363"/>
      <c r="H15" s="363"/>
      <c r="I15" s="363"/>
      <c r="J15" s="363"/>
      <c r="K15" s="363"/>
    </row>
    <row r="16" spans="1:11" ht="12.75" customHeight="1">
      <c r="A16" s="363"/>
      <c r="B16" s="363"/>
      <c r="C16" s="363"/>
      <c r="D16" s="363"/>
      <c r="E16" s="363"/>
      <c r="F16" s="363"/>
      <c r="G16" s="363"/>
      <c r="H16" s="363"/>
      <c r="I16" s="363"/>
      <c r="J16" s="363"/>
      <c r="K16" s="363"/>
    </row>
    <row r="17" spans="1:11" ht="12.75" customHeight="1">
      <c r="A17" s="363"/>
      <c r="B17" s="363"/>
      <c r="C17" s="363"/>
      <c r="D17" s="363"/>
      <c r="E17" s="363"/>
      <c r="F17" s="363"/>
      <c r="G17" s="363"/>
      <c r="H17" s="363"/>
      <c r="I17" s="363"/>
      <c r="J17" s="363"/>
      <c r="K17" s="363"/>
    </row>
    <row r="18" spans="1:11" ht="12.75" customHeight="1">
      <c r="A18" s="363"/>
      <c r="B18" s="363"/>
      <c r="C18" s="363"/>
      <c r="D18" s="363"/>
      <c r="E18" s="363"/>
      <c r="F18" s="363"/>
      <c r="G18" s="363"/>
      <c r="H18" s="363"/>
      <c r="I18" s="363"/>
      <c r="J18" s="363"/>
      <c r="K18" s="363"/>
    </row>
    <row r="19" spans="1:11" ht="12.75" customHeight="1">
      <c r="A19" s="363"/>
      <c r="B19" s="363"/>
      <c r="C19" s="363"/>
      <c r="D19" s="363"/>
      <c r="E19" s="363"/>
      <c r="F19" s="363"/>
      <c r="G19" s="363"/>
      <c r="H19" s="363"/>
      <c r="I19" s="363"/>
      <c r="J19" s="363"/>
      <c r="K19" s="363"/>
    </row>
    <row r="20" spans="1:11" ht="12.75" customHeight="1">
      <c r="A20" s="363"/>
      <c r="B20" s="363"/>
      <c r="C20" s="363"/>
      <c r="D20" s="363"/>
      <c r="E20" s="363"/>
      <c r="F20" s="363"/>
      <c r="G20" s="363"/>
      <c r="H20" s="363"/>
      <c r="I20" s="363"/>
      <c r="J20" s="363"/>
      <c r="K20" s="363"/>
    </row>
    <row r="21" spans="1:11" ht="12.75" customHeight="1">
      <c r="A21" s="363"/>
      <c r="B21" s="363"/>
      <c r="C21" s="363"/>
      <c r="D21" s="363"/>
      <c r="E21" s="363"/>
      <c r="F21" s="363"/>
      <c r="G21" s="363"/>
      <c r="H21" s="363"/>
      <c r="I21" s="363"/>
      <c r="J21" s="363"/>
      <c r="K21" s="363"/>
    </row>
    <row r="22" spans="1:11" ht="12.75" customHeight="1">
      <c r="A22" s="363"/>
      <c r="B22" s="363"/>
      <c r="C22" s="363"/>
      <c r="D22" s="363"/>
      <c r="E22" s="363"/>
      <c r="F22" s="363"/>
      <c r="G22" s="363"/>
      <c r="H22" s="363"/>
      <c r="I22" s="363"/>
      <c r="J22" s="363"/>
      <c r="K22" s="363"/>
    </row>
    <row r="23" spans="1:11" ht="12.75" customHeight="1">
      <c r="A23" s="363"/>
      <c r="B23" s="363"/>
      <c r="C23" s="363"/>
      <c r="D23" s="363"/>
      <c r="E23" s="363"/>
      <c r="F23" s="363"/>
      <c r="G23" s="363"/>
      <c r="H23" s="363"/>
      <c r="I23" s="363"/>
      <c r="J23" s="363"/>
      <c r="K23" s="363"/>
    </row>
    <row r="24" spans="1:11" ht="12.75" customHeight="1">
      <c r="A24" s="363"/>
      <c r="B24" s="363"/>
      <c r="C24" s="363"/>
      <c r="D24" s="363"/>
      <c r="E24" s="363"/>
      <c r="F24" s="363"/>
      <c r="G24" s="363"/>
      <c r="H24" s="363"/>
      <c r="I24" s="363"/>
      <c r="J24" s="363"/>
      <c r="K24" s="363"/>
    </row>
    <row r="25" spans="1:11" ht="12.75" customHeight="1">
      <c r="A25" s="363"/>
      <c r="B25" s="363"/>
      <c r="C25" s="363"/>
      <c r="D25" s="363"/>
      <c r="E25" s="363"/>
      <c r="F25" s="363"/>
      <c r="G25" s="363"/>
      <c r="H25" s="363"/>
      <c r="I25" s="363"/>
      <c r="J25" s="363"/>
      <c r="K25" s="363"/>
    </row>
    <row r="26" spans="1:11" ht="12.75" customHeight="1">
      <c r="A26" s="363"/>
      <c r="B26" s="363"/>
      <c r="C26" s="363"/>
      <c r="D26" s="363"/>
      <c r="E26" s="363"/>
      <c r="F26" s="363"/>
      <c r="G26" s="363"/>
      <c r="H26" s="363"/>
      <c r="I26" s="363"/>
      <c r="J26" s="363"/>
      <c r="K26" s="363"/>
    </row>
    <row r="27" spans="1:11" ht="12.75" customHeight="1">
      <c r="A27" s="363"/>
      <c r="B27" s="363"/>
      <c r="C27" s="363"/>
      <c r="D27" s="363"/>
      <c r="E27" s="363"/>
      <c r="F27" s="363"/>
      <c r="G27" s="363"/>
      <c r="H27" s="363"/>
      <c r="I27" s="363"/>
      <c r="J27" s="363"/>
      <c r="K27" s="363"/>
    </row>
    <row r="28" spans="1:11" ht="12.75" customHeight="1">
      <c r="A28" s="363"/>
      <c r="B28" s="363"/>
      <c r="C28" s="363"/>
      <c r="D28" s="363"/>
      <c r="E28" s="363"/>
      <c r="F28" s="363"/>
      <c r="G28" s="363"/>
      <c r="H28" s="363"/>
      <c r="I28" s="363"/>
      <c r="J28" s="363"/>
      <c r="K28" s="363"/>
    </row>
    <row r="29" spans="1:11" ht="12.75" customHeight="1">
      <c r="A29" s="363"/>
      <c r="B29" s="363"/>
      <c r="C29" s="363"/>
      <c r="D29" s="363"/>
      <c r="E29" s="363"/>
      <c r="F29" s="363"/>
      <c r="G29" s="363"/>
      <c r="H29" s="363"/>
      <c r="I29" s="363"/>
      <c r="J29" s="363"/>
      <c r="K29" s="363"/>
    </row>
    <row r="30" spans="1:11" ht="12.75" customHeight="1">
      <c r="A30" s="363"/>
      <c r="B30" s="363"/>
      <c r="C30" s="363"/>
      <c r="D30" s="363"/>
      <c r="E30" s="363"/>
      <c r="F30" s="363"/>
      <c r="G30" s="363"/>
      <c r="H30" s="363"/>
      <c r="I30" s="363"/>
      <c r="J30" s="363"/>
      <c r="K30" s="363"/>
    </row>
    <row r="31" spans="1:11" ht="12.75" customHeight="1">
      <c r="A31" s="363"/>
      <c r="B31" s="363"/>
      <c r="C31" s="363"/>
      <c r="D31" s="363"/>
      <c r="E31" s="363"/>
      <c r="F31" s="363"/>
      <c r="G31" s="363"/>
      <c r="H31" s="363"/>
      <c r="I31" s="363"/>
      <c r="J31" s="363"/>
      <c r="K31" s="363"/>
    </row>
    <row r="32" spans="1:11" ht="12.75" customHeight="1">
      <c r="A32" s="363"/>
      <c r="B32" s="363"/>
      <c r="C32" s="363"/>
      <c r="D32" s="363"/>
      <c r="E32" s="363"/>
      <c r="F32" s="363"/>
      <c r="G32" s="363"/>
      <c r="H32" s="363"/>
      <c r="I32" s="363"/>
      <c r="J32" s="363"/>
      <c r="K32" s="363"/>
    </row>
    <row r="33" spans="1:11" ht="12.75" customHeight="1">
      <c r="A33" s="363"/>
      <c r="B33" s="363"/>
      <c r="C33" s="363"/>
      <c r="D33" s="363"/>
      <c r="E33" s="363"/>
      <c r="F33" s="363"/>
      <c r="G33" s="363"/>
      <c r="H33" s="363"/>
      <c r="I33" s="363"/>
      <c r="J33" s="363"/>
      <c r="K33" s="363"/>
    </row>
    <row r="34" spans="1:11" ht="12.75" customHeight="1">
      <c r="A34" s="363"/>
      <c r="B34" s="363"/>
      <c r="C34" s="363"/>
      <c r="D34" s="363"/>
      <c r="E34" s="363"/>
      <c r="F34" s="363"/>
      <c r="G34" s="363"/>
      <c r="H34" s="363"/>
      <c r="I34" s="363"/>
      <c r="J34" s="363"/>
      <c r="K34" s="363"/>
    </row>
    <row r="64" ht="8.65" customHeight="1"/>
    <row r="65" spans="1:1" ht="12.6" customHeight="1"/>
    <row r="66" spans="1:1" ht="10.15" customHeight="1">
      <c r="A66" s="221"/>
    </row>
    <row r="67" spans="1:1" ht="10.15" customHeight="1">
      <c r="A67" s="221"/>
    </row>
    <row r="68" spans="1:1" ht="10.15" customHeight="1">
      <c r="A68" s="221"/>
    </row>
    <row r="83" spans="1:1" ht="10.5" customHeight="1"/>
    <row r="84" spans="1:1" ht="10.15" customHeight="1">
      <c r="A84" s="221"/>
    </row>
  </sheetData>
  <mergeCells count="6">
    <mergeCell ref="A4:C4"/>
    <mergeCell ref="A5:K34"/>
    <mergeCell ref="A1:C1"/>
    <mergeCell ref="I1:K3"/>
    <mergeCell ref="A2:C2"/>
    <mergeCell ref="A3:C3"/>
  </mergeCells>
  <phoneticPr fontId="18" type="noConversion"/>
  <pageMargins left="0.78740157499999996" right="0.78740157499999996" top="0.984251969" bottom="0.984251969" header="0.4921259845" footer="0.4921259845"/>
  <pageSetup paperSize="9" scale="6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M86"/>
  <sheetViews>
    <sheetView view="pageBreakPreview" topLeftCell="A16" zoomScale="175" zoomScaleNormal="115" zoomScaleSheetLayoutView="175" workbookViewId="0">
      <selection activeCell="F28" sqref="F28"/>
    </sheetView>
  </sheetViews>
  <sheetFormatPr baseColWidth="10" defaultColWidth="11.42578125" defaultRowHeight="9"/>
  <cols>
    <col min="1" max="1" width="8.7109375" style="2" customWidth="1"/>
    <col min="2" max="2" width="0.42578125" style="2" customWidth="1"/>
    <col min="3" max="12" width="6.7109375" style="2" customWidth="1"/>
    <col min="13" max="16384" width="11.42578125" style="2"/>
  </cols>
  <sheetData>
    <row r="1" spans="1:13" ht="13.5">
      <c r="A1" s="383">
        <f>'2.1.3'!A1:G1+1</f>
        <v>7</v>
      </c>
      <c r="B1" s="383"/>
      <c r="C1" s="383"/>
      <c r="D1" s="383"/>
      <c r="E1" s="383"/>
      <c r="F1" s="383"/>
      <c r="G1" s="383"/>
      <c r="H1" s="383"/>
      <c r="I1" s="383"/>
      <c r="J1" s="383"/>
      <c r="K1" s="383"/>
      <c r="L1" s="383"/>
      <c r="M1" s="58" t="s">
        <v>108</v>
      </c>
    </row>
    <row r="2" spans="1:13" ht="6" customHeight="1">
      <c r="C2" s="201"/>
      <c r="D2" s="201"/>
      <c r="E2" s="201"/>
      <c r="F2" s="201"/>
      <c r="G2" s="201"/>
    </row>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2.6" customHeight="1">
      <c r="A5" s="13" t="s">
        <v>12</v>
      </c>
      <c r="B5" s="39" t="s">
        <v>13</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142</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98">
        <f t="shared" ref="C12" si="0">SUM(C30,C48,C66)</f>
        <v>0</v>
      </c>
      <c r="D12" s="198">
        <f t="shared" ref="D12:E12" si="1">SUM(D30,D48,D66)</f>
        <v>0</v>
      </c>
      <c r="E12" s="198">
        <f t="shared" si="1"/>
        <v>0</v>
      </c>
      <c r="F12" s="198">
        <f t="shared" ref="F12:G12" si="2">SUM(F30,F48,F66)</f>
        <v>0</v>
      </c>
      <c r="G12" s="199">
        <f t="shared" si="2"/>
        <v>0</v>
      </c>
      <c r="H12" s="153" t="str">
        <f>IF('AW Schulen'!$D60=0,"x",C12/'AW Schulen'!$D60)</f>
        <v>x</v>
      </c>
      <c r="I12" s="153" t="str">
        <f>IF('AW Schulen'!$G60=0,"x",D12/'AW Schulen'!$G60)</f>
        <v>x</v>
      </c>
      <c r="J12" s="153" t="str">
        <f>IF('AW Schulen'!$J60=0,"x",E12/'AW Schulen'!$J60)</f>
        <v>x</v>
      </c>
      <c r="K12" s="153" t="str">
        <f>IF('AW Schulen'!$M60=0,"x",F12/'AW Schulen'!$M60)</f>
        <v>x</v>
      </c>
      <c r="L12" s="154" t="str">
        <f>IF('AW Schulen'!$P60=0,"x",G12/'AW Schulen'!$P60)</f>
        <v>x</v>
      </c>
    </row>
    <row r="13" spans="1:13" ht="9" customHeight="1">
      <c r="A13" s="21" t="s">
        <v>81</v>
      </c>
      <c r="B13" s="120"/>
      <c r="C13" s="198">
        <f t="shared" ref="C13:C28" si="3">SUM(C31,C49,C67)</f>
        <v>0</v>
      </c>
      <c r="D13" s="198">
        <f t="shared" ref="D13:E13" si="4">SUM(D31,D49,D67)</f>
        <v>0</v>
      </c>
      <c r="E13" s="198">
        <f t="shared" si="4"/>
        <v>0</v>
      </c>
      <c r="F13" s="198" t="e">
        <f t="shared" ref="F13:G13" si="5">SUM(F31,F49,F67)</f>
        <v>#VALUE!</v>
      </c>
      <c r="G13" s="199">
        <f t="shared" si="5"/>
        <v>0</v>
      </c>
      <c r="H13" s="153" t="str">
        <f>IF('AW Schulen'!$D61=0,"x",C13/'AW Schulen'!$D61)</f>
        <v>x</v>
      </c>
      <c r="I13" s="153" t="str">
        <f>IF('AW Schulen'!$G61=0,"x",D13/'AW Schulen'!$G61)</f>
        <v>x</v>
      </c>
      <c r="J13" s="153" t="str">
        <f>IF('AW Schulen'!$J61=0,"x",E13/'AW Schulen'!$J61)</f>
        <v>x</v>
      </c>
      <c r="K13" s="153" t="str">
        <f>IF('AW Schulen'!$M61=0,"x",F13/'AW Schulen'!$M61)</f>
        <v>x</v>
      </c>
      <c r="L13" s="154" t="str">
        <f>IF('AW Schulen'!$P61=0,"x",G13/'AW Schulen'!$P61)</f>
        <v>x</v>
      </c>
    </row>
    <row r="14" spans="1:13" ht="9" customHeight="1">
      <c r="A14" s="21" t="s">
        <v>82</v>
      </c>
      <c r="B14" s="120"/>
      <c r="C14" s="198">
        <f t="shared" si="3"/>
        <v>0</v>
      </c>
      <c r="D14" s="198">
        <f t="shared" ref="D14:E14" si="6">SUM(D32,D50,D68)</f>
        <v>0</v>
      </c>
      <c r="E14" s="198">
        <f t="shared" si="6"/>
        <v>0</v>
      </c>
      <c r="F14" s="198">
        <f t="shared" ref="F14:G14" si="7">SUM(F32,F50,F68)</f>
        <v>0</v>
      </c>
      <c r="G14" s="199">
        <f t="shared" si="7"/>
        <v>0</v>
      </c>
      <c r="H14" s="153" t="str">
        <f>IF('AW Schulen'!$D62=0,"x",C14/'AW Schulen'!$D62)</f>
        <v>x</v>
      </c>
      <c r="I14" s="153" t="str">
        <f>IF('AW Schulen'!$G62=0,"x",D14/'AW Schulen'!$G62)</f>
        <v>x</v>
      </c>
      <c r="J14" s="153" t="str">
        <f>IF('AW Schulen'!$J62=0,"x",E14/'AW Schulen'!$J62)</f>
        <v>x</v>
      </c>
      <c r="K14" s="153" t="str">
        <f>IF('AW Schulen'!$M62=0,"x",F14/'AW Schulen'!$M62)</f>
        <v>x</v>
      </c>
      <c r="L14" s="154" t="str">
        <f>IF('AW Schulen'!$P62=0,"x",G14/'AW Schulen'!$P62)</f>
        <v>x</v>
      </c>
    </row>
    <row r="15" spans="1:13" ht="9" customHeight="1">
      <c r="A15" s="21" t="s">
        <v>83</v>
      </c>
      <c r="B15" s="120"/>
      <c r="C15" s="45">
        <f t="shared" si="3"/>
        <v>110</v>
      </c>
      <c r="D15" s="45">
        <f t="shared" ref="D15:E15" si="8">SUM(D33,D51,D69)</f>
        <v>111</v>
      </c>
      <c r="E15" s="45">
        <f t="shared" si="8"/>
        <v>112</v>
      </c>
      <c r="F15" s="45">
        <f t="shared" ref="F15:G15" si="9">SUM(F33,F51,F69)</f>
        <v>113</v>
      </c>
      <c r="G15" s="259">
        <f t="shared" si="9"/>
        <v>113</v>
      </c>
      <c r="H15" s="153">
        <f>IF('AW Schulen'!$D63=0,"x",C15/'AW Schulen'!$D63)</f>
        <v>0.73825503355704702</v>
      </c>
      <c r="I15" s="153">
        <f>IF('AW Schulen'!$G63=0,"x",D15/'AW Schulen'!$G63)</f>
        <v>0.75</v>
      </c>
      <c r="J15" s="153">
        <f>IF('AW Schulen'!$J63=0,"x",E15/'AW Schulen'!$J63)</f>
        <v>0.75167785234899331</v>
      </c>
      <c r="K15" s="153">
        <f>IF('AW Schulen'!$M63=0,"x",F15/'AW Schulen'!$M63)</f>
        <v>0.7483443708609272</v>
      </c>
      <c r="L15" s="154">
        <f>IF('AW Schulen'!$P63=0,"x",G15/'AW Schulen'!$P63)</f>
        <v>0.74342105263157898</v>
      </c>
    </row>
    <row r="16" spans="1:13" ht="9" customHeight="1">
      <c r="A16" s="21" t="s">
        <v>84</v>
      </c>
      <c r="B16" s="120"/>
      <c r="C16" s="45">
        <f t="shared" si="3"/>
        <v>5</v>
      </c>
      <c r="D16" s="45">
        <f t="shared" ref="D16:E16" si="10">SUM(D34,D52,D70)</f>
        <v>2</v>
      </c>
      <c r="E16" s="45">
        <f t="shared" si="10"/>
        <v>1</v>
      </c>
      <c r="F16" s="45">
        <f t="shared" ref="F16:G16" si="11">SUM(F34,F52,F70)</f>
        <v>5</v>
      </c>
      <c r="G16" s="259">
        <f t="shared" si="11"/>
        <v>0</v>
      </c>
      <c r="H16" s="153">
        <f>IF('AW Schulen'!$D64=0,"x",C16/'AW Schulen'!$D64)</f>
        <v>0.19230769230769232</v>
      </c>
      <c r="I16" s="153">
        <f>IF('AW Schulen'!$G64=0,"x",D16/'AW Schulen'!$G64)</f>
        <v>7.6923076923076927E-2</v>
      </c>
      <c r="J16" s="153">
        <f>IF('AW Schulen'!$J64=0,"x",E16/'AW Schulen'!$J64)</f>
        <v>0.05</v>
      </c>
      <c r="K16" s="153">
        <f>IF('AW Schulen'!$M64=0,"x",F16/'AW Schulen'!$M64)</f>
        <v>0.41666666666666669</v>
      </c>
      <c r="L16" s="154">
        <f>IF('AW Schulen'!$P64=0,"x",G16/'AW Schulen'!$P64)</f>
        <v>0</v>
      </c>
    </row>
    <row r="17" spans="1:12" ht="9" customHeight="1">
      <c r="A17" s="21" t="s">
        <v>85</v>
      </c>
      <c r="B17" s="120"/>
      <c r="C17" s="45">
        <f t="shared" si="3"/>
        <v>22</v>
      </c>
      <c r="D17" s="198">
        <f t="shared" ref="D17:E17" si="12">SUM(D35,D53,D71)</f>
        <v>0</v>
      </c>
      <c r="E17" s="198">
        <f t="shared" si="12"/>
        <v>0</v>
      </c>
      <c r="F17" s="198">
        <f t="shared" ref="F17:G17" si="13">SUM(F35,F53,F71)</f>
        <v>0</v>
      </c>
      <c r="G17" s="199">
        <f t="shared" si="13"/>
        <v>0</v>
      </c>
      <c r="H17" s="153">
        <f>IF('AW Schulen'!$D65=0,"x",C17/'AW Schulen'!$D65)</f>
        <v>0.51162790697674421</v>
      </c>
      <c r="I17" s="153" t="str">
        <f>IF('AW Schulen'!$G65=0,"x",D17/'AW Schulen'!$G65)</f>
        <v>x</v>
      </c>
      <c r="J17" s="153" t="str">
        <f>IF('AW Schulen'!$J65=0,"x",E17/'AW Schulen'!$J65)</f>
        <v>x</v>
      </c>
      <c r="K17" s="153" t="str">
        <f>IF('AW Schulen'!$M65=0,"x",F17/'AW Schulen'!$M65)</f>
        <v>x</v>
      </c>
      <c r="L17" s="154" t="str">
        <f>IF('AW Schulen'!$P65=0,"x",G17/'AW Schulen'!$P65)</f>
        <v>x</v>
      </c>
    </row>
    <row r="18" spans="1:12" ht="9" customHeight="1">
      <c r="A18" s="21" t="s">
        <v>86</v>
      </c>
      <c r="B18" s="120"/>
      <c r="C18" s="198">
        <f t="shared" si="3"/>
        <v>18</v>
      </c>
      <c r="D18" s="198">
        <f t="shared" ref="D18:E18" si="14">SUM(D36,D54,D72)</f>
        <v>22</v>
      </c>
      <c r="E18" s="198">
        <f t="shared" si="14"/>
        <v>19</v>
      </c>
      <c r="F18" s="198">
        <f t="shared" ref="F18:G18" si="15">SUM(F36,F54,F72)</f>
        <v>19</v>
      </c>
      <c r="G18" s="199">
        <f t="shared" si="15"/>
        <v>19</v>
      </c>
      <c r="H18" s="182">
        <v>0</v>
      </c>
      <c r="I18" s="182">
        <v>0</v>
      </c>
      <c r="J18" s="182">
        <v>0</v>
      </c>
      <c r="K18" s="182">
        <v>0</v>
      </c>
      <c r="L18" s="196">
        <v>0</v>
      </c>
    </row>
    <row r="19" spans="1:12" ht="9" customHeight="1">
      <c r="A19" s="21" t="s">
        <v>176</v>
      </c>
      <c r="B19" s="120"/>
      <c r="C19" s="45">
        <f t="shared" si="3"/>
        <v>155</v>
      </c>
      <c r="D19" s="45">
        <f t="shared" ref="D19:E19" si="16">SUM(D37,D55,D73)</f>
        <v>155</v>
      </c>
      <c r="E19" s="45">
        <f t="shared" si="16"/>
        <v>152</v>
      </c>
      <c r="F19" s="45">
        <f t="shared" ref="F19:G19" si="17">SUM(F37,F55,F73)</f>
        <v>160</v>
      </c>
      <c r="G19" s="259">
        <f t="shared" si="17"/>
        <v>158</v>
      </c>
      <c r="H19" s="153">
        <f>IF('AW Schulen'!$D67=0,"x",C19/'AW Schulen'!$D67)</f>
        <v>0.82010582010582012</v>
      </c>
      <c r="I19" s="153">
        <f>IF('AW Schulen'!$G67=0,"x",D19/'AW Schulen'!$G67)</f>
        <v>0.82010582010582012</v>
      </c>
      <c r="J19" s="153">
        <f>IF('AW Schulen'!$J67=0,"x",E19/'AW Schulen'!$J67)</f>
        <v>0.79166666666666663</v>
      </c>
      <c r="K19" s="153">
        <f>IF('AW Schulen'!$M67=0,"x",F19/'AW Schulen'!$M67)</f>
        <v>0.83333333333333337</v>
      </c>
      <c r="L19" s="154">
        <f>IF('AW Schulen'!$P67=0,"x",G19/'AW Schulen'!$P67)</f>
        <v>0.82722513089005234</v>
      </c>
    </row>
    <row r="20" spans="1:12" ht="9" customHeight="1">
      <c r="A20" s="21" t="s">
        <v>88</v>
      </c>
      <c r="B20" s="120"/>
      <c r="C20" s="198">
        <f t="shared" si="3"/>
        <v>180</v>
      </c>
      <c r="D20" s="198">
        <f t="shared" ref="D20:E20" si="18">SUM(D38,D56,D74)</f>
        <v>208</v>
      </c>
      <c r="E20" s="198">
        <f t="shared" si="18"/>
        <v>245</v>
      </c>
      <c r="F20" s="198">
        <f t="shared" ref="F20:G20" si="19">SUM(F38,F56,F74)</f>
        <v>306</v>
      </c>
      <c r="G20" s="199">
        <f t="shared" si="19"/>
        <v>359</v>
      </c>
      <c r="H20" s="182">
        <v>0</v>
      </c>
      <c r="I20" s="182">
        <v>0</v>
      </c>
      <c r="J20" s="182">
        <v>0</v>
      </c>
      <c r="K20" s="182">
        <v>0</v>
      </c>
      <c r="L20" s="196">
        <v>0</v>
      </c>
    </row>
    <row r="21" spans="1:12" ht="9" customHeight="1">
      <c r="A21" s="21" t="s">
        <v>89</v>
      </c>
      <c r="B21" s="120"/>
      <c r="C21" s="198">
        <f t="shared" si="3"/>
        <v>53</v>
      </c>
      <c r="D21" s="198">
        <f t="shared" ref="D21:E21" si="20">SUM(D39,D57,D75)</f>
        <v>95</v>
      </c>
      <c r="E21" s="198">
        <f t="shared" si="20"/>
        <v>118</v>
      </c>
      <c r="F21" s="198">
        <f t="shared" ref="F21:G21" si="21">SUM(F39,F57,F75)</f>
        <v>123</v>
      </c>
      <c r="G21" s="199">
        <f t="shared" si="21"/>
        <v>124</v>
      </c>
      <c r="H21" s="153">
        <f>IF('AW Schulen'!$D69=0,"x",C21/'AW Schulen'!$D69)</f>
        <v>0.98148148148148151</v>
      </c>
      <c r="I21" s="153">
        <f>IF('AW Schulen'!$G69=0,"x",D21/'AW Schulen'!$G69)</f>
        <v>0.98958333333333337</v>
      </c>
      <c r="J21" s="153">
        <f>IF('AW Schulen'!$J69=0,"x",E21/'AW Schulen'!$J69)</f>
        <v>0.99159663865546221</v>
      </c>
      <c r="K21" s="153">
        <f>IF('AW Schulen'!$M69=0,"x",F21/'AW Schulen'!$M69)</f>
        <v>0.99193548387096775</v>
      </c>
      <c r="L21" s="154">
        <f>IF('AW Schulen'!$P69=0,"x",G21/'AW Schulen'!$P69)</f>
        <v>0.99199999999999999</v>
      </c>
    </row>
    <row r="22" spans="1:12" ht="9" customHeight="1">
      <c r="A22" s="21" t="s">
        <v>90</v>
      </c>
      <c r="B22" s="120"/>
      <c r="C22" s="45">
        <f t="shared" si="3"/>
        <v>155</v>
      </c>
      <c r="D22" s="45">
        <f t="shared" ref="D22:E22" si="22">SUM(D40,D58,D76)</f>
        <v>154</v>
      </c>
      <c r="E22" s="45">
        <f t="shared" si="22"/>
        <v>151</v>
      </c>
      <c r="F22" s="45">
        <f t="shared" ref="F22:G22" si="23">SUM(F40,F58,F76)</f>
        <v>147</v>
      </c>
      <c r="G22" s="259">
        <f t="shared" si="23"/>
        <v>144</v>
      </c>
      <c r="H22" s="153">
        <f>IF('AW Schulen'!$D70=0,"x",C22/'AW Schulen'!$D70)</f>
        <v>0.77114427860696522</v>
      </c>
      <c r="I22" s="153">
        <f>IF('AW Schulen'!$G70=0,"x",D22/'AW Schulen'!$G70)</f>
        <v>0.76616915422885568</v>
      </c>
      <c r="J22" s="153">
        <f>IF('AW Schulen'!$J70=0,"x",E22/'AW Schulen'!$J70)</f>
        <v>0.76262626262626265</v>
      </c>
      <c r="K22" s="153">
        <f>IF('AW Schulen'!$M70=0,"x",F22/'AW Schulen'!$M70)</f>
        <v>0.765625</v>
      </c>
      <c r="L22" s="154">
        <f>IF('AW Schulen'!$P70=0,"x",G22/'AW Schulen'!$P70)</f>
        <v>0.75789473684210529</v>
      </c>
    </row>
    <row r="23" spans="1:12" ht="9" customHeight="1">
      <c r="A23" s="21" t="s">
        <v>91</v>
      </c>
      <c r="B23" s="120"/>
      <c r="C23" s="45">
        <f t="shared" si="3"/>
        <v>49</v>
      </c>
      <c r="D23" s="45">
        <f t="shared" ref="D23:E23" si="24">SUM(D41,D59,D77)</f>
        <v>49</v>
      </c>
      <c r="E23" s="45">
        <f t="shared" si="24"/>
        <v>2</v>
      </c>
      <c r="F23" s="45">
        <f t="shared" ref="F23:G23" si="25">SUM(F41,F59,F77)</f>
        <v>2</v>
      </c>
      <c r="G23" s="259">
        <f t="shared" si="25"/>
        <v>1</v>
      </c>
      <c r="H23" s="153">
        <f>IF('AW Schulen'!$D71=0,"x",C23/'AW Schulen'!$D71)</f>
        <v>1</v>
      </c>
      <c r="I23" s="153">
        <f>IF('AW Schulen'!$G71=0,"x",D23/'AW Schulen'!$G71)</f>
        <v>1</v>
      </c>
      <c r="J23" s="153">
        <f>IF('AW Schulen'!$J71=0,"x",E23/'AW Schulen'!$J71)</f>
        <v>1</v>
      </c>
      <c r="K23" s="153">
        <f>IF('AW Schulen'!$M71=0,"x",F23/'AW Schulen'!$M71)</f>
        <v>1</v>
      </c>
      <c r="L23" s="154">
        <f>IF('AW Schulen'!$P71=0,"x",G23/'AW Schulen'!$P71)</f>
        <v>1</v>
      </c>
    </row>
    <row r="24" spans="1:12" ht="9" customHeight="1">
      <c r="A24" s="21" t="s">
        <v>92</v>
      </c>
      <c r="B24" s="120"/>
      <c r="C24" s="45">
        <f t="shared" si="3"/>
        <v>324</v>
      </c>
      <c r="D24" s="45">
        <f t="shared" ref="D24:E24" si="26">SUM(D42,D60,D78)</f>
        <v>327</v>
      </c>
      <c r="E24" s="45">
        <f t="shared" si="26"/>
        <v>328</v>
      </c>
      <c r="F24" s="45">
        <f t="shared" ref="F24:G24" si="27">SUM(F42,F60,F78)</f>
        <v>332</v>
      </c>
      <c r="G24" s="259">
        <f t="shared" si="27"/>
        <v>337</v>
      </c>
      <c r="H24" s="153">
        <f>IF('AW Schulen'!$D72=0,"x",C24/'AW Schulen'!$D72)</f>
        <v>0.9642857142857143</v>
      </c>
      <c r="I24" s="153">
        <f>IF('AW Schulen'!$G72=0,"x",D24/'AW Schulen'!$G72)</f>
        <v>0.9732142857142857</v>
      </c>
      <c r="J24" s="153">
        <f>IF('AW Schulen'!$J72=0,"x",E24/'AW Schulen'!$J72)</f>
        <v>0.97619047619047616</v>
      </c>
      <c r="K24" s="153">
        <f>IF('AW Schulen'!$M72=0,"x",F24/'AW Schulen'!$M72)</f>
        <v>0.97647058823529409</v>
      </c>
      <c r="L24" s="154">
        <f>IF('AW Schulen'!$P72=0,"x",G24/'AW Schulen'!$P72)</f>
        <v>0.97118155619596547</v>
      </c>
    </row>
    <row r="25" spans="1:12" ht="9" customHeight="1">
      <c r="A25" s="21" t="s">
        <v>93</v>
      </c>
      <c r="B25" s="120"/>
      <c r="C25" s="45">
        <f t="shared" si="3"/>
        <v>67</v>
      </c>
      <c r="D25" s="45">
        <f t="shared" ref="D25:E25" si="28">SUM(D43,D61,D79)</f>
        <v>73</v>
      </c>
      <c r="E25" s="45">
        <f t="shared" si="28"/>
        <v>70</v>
      </c>
      <c r="F25" s="45">
        <f t="shared" ref="F25:G25" si="29">SUM(F43,F61,F79)</f>
        <v>64</v>
      </c>
      <c r="G25" s="259">
        <f t="shared" si="29"/>
        <v>61</v>
      </c>
      <c r="H25" s="182">
        <v>0</v>
      </c>
      <c r="I25" s="182">
        <v>0</v>
      </c>
      <c r="J25" s="182">
        <v>0</v>
      </c>
      <c r="K25" s="182">
        <v>0</v>
      </c>
      <c r="L25" s="196">
        <v>0</v>
      </c>
    </row>
    <row r="26" spans="1:12" ht="9" customHeight="1">
      <c r="A26" s="21" t="s">
        <v>94</v>
      </c>
      <c r="B26" s="120"/>
      <c r="C26" s="45">
        <f t="shared" si="3"/>
        <v>52</v>
      </c>
      <c r="D26" s="45">
        <f t="shared" ref="D26:E26" si="30">SUM(D44,D62,D80)</f>
        <v>54</v>
      </c>
      <c r="E26" s="45">
        <f t="shared" si="30"/>
        <v>54</v>
      </c>
      <c r="F26" s="45">
        <f t="shared" ref="F26:G26" si="31">SUM(F44,F62,F80)</f>
        <v>59</v>
      </c>
      <c r="G26" s="259">
        <f t="shared" si="31"/>
        <v>57</v>
      </c>
      <c r="H26" s="153">
        <f>IF('AW Schulen'!$D74=0,"x",C26/'AW Schulen'!$D74)</f>
        <v>0.65</v>
      </c>
      <c r="I26" s="153">
        <f>IF('AW Schulen'!$G74=0,"x",D26/'AW Schulen'!$G74)</f>
        <v>0.68354430379746833</v>
      </c>
      <c r="J26" s="153">
        <f>IF('AW Schulen'!$J74=0,"x",E26/'AW Schulen'!$J74)</f>
        <v>0.73972602739726023</v>
      </c>
      <c r="K26" s="153">
        <f>IF('AW Schulen'!$M74=0,"x",F26/'AW Schulen'!$M74)</f>
        <v>0.85507246376811596</v>
      </c>
      <c r="L26" s="154">
        <f>IF('AW Schulen'!$P74=0,"x",G26/'AW Schulen'!$P74)</f>
        <v>0.890625</v>
      </c>
    </row>
    <row r="27" spans="1:12" ht="9" customHeight="1">
      <c r="A27" s="21" t="s">
        <v>95</v>
      </c>
      <c r="B27" s="120"/>
      <c r="C27" s="45">
        <f t="shared" si="3"/>
        <v>97</v>
      </c>
      <c r="D27" s="45">
        <f t="shared" ref="D27:E27" si="32">SUM(D45,D63,D81)</f>
        <v>92</v>
      </c>
      <c r="E27" s="45">
        <f t="shared" si="32"/>
        <v>87</v>
      </c>
      <c r="F27" s="45">
        <f t="shared" ref="F27:G27" si="33">SUM(F45,F63,F81)</f>
        <v>83</v>
      </c>
      <c r="G27" s="259">
        <f t="shared" si="33"/>
        <v>73</v>
      </c>
      <c r="H27" s="153">
        <f>IF('AW Schulen'!$D75=0,"x",C27/'AW Schulen'!$D75)</f>
        <v>0.42173913043478262</v>
      </c>
      <c r="I27" s="153">
        <f>IF('AW Schulen'!$G75=0,"x",D27/'AW Schulen'!$G75)</f>
        <v>0.40888888888888891</v>
      </c>
      <c r="J27" s="153">
        <f>IF('AW Schulen'!$J75=0,"x",E27/'AW Schulen'!$J75)</f>
        <v>0.4009216589861751</v>
      </c>
      <c r="K27" s="153">
        <f>IF('AW Schulen'!$M75=0,"x",F27/'AW Schulen'!$M75)</f>
        <v>0.39523809523809522</v>
      </c>
      <c r="L27" s="154">
        <f>IF('AW Schulen'!$P75=0,"x",G27/'AW Schulen'!$P75)</f>
        <v>0.36318407960199006</v>
      </c>
    </row>
    <row r="28" spans="1:12" ht="9" customHeight="1">
      <c r="A28" s="21" t="s">
        <v>96</v>
      </c>
      <c r="B28" s="120"/>
      <c r="C28" s="45">
        <f t="shared" si="3"/>
        <v>1287</v>
      </c>
      <c r="D28" s="45">
        <f t="shared" ref="D28:E28" si="34">SUM(D46,D64,D82)</f>
        <v>1342</v>
      </c>
      <c r="E28" s="45">
        <f t="shared" si="34"/>
        <v>1339</v>
      </c>
      <c r="F28" s="45">
        <f t="shared" ref="F28:G28" si="35">SUM(F46,F64,F82)</f>
        <v>1413</v>
      </c>
      <c r="G28" s="259">
        <f t="shared" si="35"/>
        <v>1446</v>
      </c>
      <c r="H28" s="153">
        <f>IF('AW Schulen'!$D76=0,"x",C28/'AW Schulen'!$D76)</f>
        <v>0.74221453287197237</v>
      </c>
      <c r="I28" s="153">
        <f>IF('AW Schulen'!$G76=0,"x",D28/'AW Schulen'!$G76)</f>
        <v>0.76905444126074496</v>
      </c>
      <c r="J28" s="153">
        <f>IF('AW Schulen'!$J76=0,"x",E28/'AW Schulen'!$J76)</f>
        <v>0.7793946449359721</v>
      </c>
      <c r="K28" s="153">
        <f>IF('AW Schulen'!$M76=0,"x",F28/'AW Schulen'!$M76)</f>
        <v>0.80011325028312574</v>
      </c>
      <c r="L28" s="154">
        <f>IF('AW Schulen'!$P76=0,"x",G28/'AW Schulen'!$P76)</f>
        <v>0.7997787610619469</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193">
        <f>'2.2.4'!C30+'2.3.4'!C30</f>
        <v>0</v>
      </c>
      <c r="D30" s="193">
        <f>'2.2.4'!D30+'2.3.4'!D30</f>
        <v>0</v>
      </c>
      <c r="E30" s="193">
        <f>'2.2.4'!E30+'2.3.4'!E30</f>
        <v>0</v>
      </c>
      <c r="F30" s="193">
        <f>'2.2.4'!F30+'2.3.4'!F30</f>
        <v>0</v>
      </c>
      <c r="G30" s="194">
        <f>'2.2.4'!G30+'2.3.4'!G30</f>
        <v>0</v>
      </c>
      <c r="H30" s="155" t="str">
        <f>IF('AW Schulen'!$D60=0,"x",C30/'AW Schulen'!$D60)</f>
        <v>x</v>
      </c>
      <c r="I30" s="155" t="str">
        <f>IF('AW Schulen'!$G60=0,"x",D30/'AW Schulen'!$G60)</f>
        <v>x</v>
      </c>
      <c r="J30" s="155" t="str">
        <f>IF('AW Schulen'!$J60=0,"x",E30/'AW Schulen'!$J60)</f>
        <v>x</v>
      </c>
      <c r="K30" s="155" t="str">
        <f>IF('AW Schulen'!$M60=0,"x",F30/'AW Schulen'!$M60)</f>
        <v>x</v>
      </c>
      <c r="L30" s="156" t="str">
        <f>IF('AW Schulen'!$P60=0,"x",G30/'AW Schulen'!$P60)</f>
        <v>x</v>
      </c>
    </row>
    <row r="31" spans="1:12" ht="9" customHeight="1">
      <c r="A31" s="21" t="s">
        <v>81</v>
      </c>
      <c r="B31" s="120"/>
      <c r="C31" s="193">
        <f>'2.2.4'!C31+'2.3.4'!C31</f>
        <v>0</v>
      </c>
      <c r="D31" s="193">
        <f>'2.2.4'!D31+'2.3.4'!D31</f>
        <v>0</v>
      </c>
      <c r="E31" s="193">
        <f>'2.2.4'!E31+'2.3.4'!E31</f>
        <v>0</v>
      </c>
      <c r="F31" s="193" t="e">
        <f>'2.2.4'!F31+'2.3.4'!F31</f>
        <v>#VALUE!</v>
      </c>
      <c r="G31" s="194">
        <f>'2.2.4'!G31+'2.3.4'!G31</f>
        <v>0</v>
      </c>
      <c r="H31" s="155" t="str">
        <f>IF('AW Schulen'!$D61=0,"x",C31/'AW Schulen'!$D61)</f>
        <v>x</v>
      </c>
      <c r="I31" s="155" t="str">
        <f>IF('AW Schulen'!$G61=0,"x",D31/'AW Schulen'!$G61)</f>
        <v>x</v>
      </c>
      <c r="J31" s="155" t="str">
        <f>IF('AW Schulen'!$J61=0,"x",E31/'AW Schulen'!$J61)</f>
        <v>x</v>
      </c>
      <c r="K31" s="155" t="str">
        <f>IF('AW Schulen'!$M61=0,"x",F31/'AW Schulen'!$M61)</f>
        <v>x</v>
      </c>
      <c r="L31" s="156" t="str">
        <f>IF('AW Schulen'!$P61=0,"x",G31/'AW Schulen'!$P61)</f>
        <v>x</v>
      </c>
    </row>
    <row r="32" spans="1:12" ht="9" customHeight="1">
      <c r="A32" s="21" t="s">
        <v>82</v>
      </c>
      <c r="B32" s="120"/>
      <c r="C32" s="193">
        <f>'2.2.4'!C32+'2.3.4'!C32</f>
        <v>0</v>
      </c>
      <c r="D32" s="193">
        <f>'2.2.4'!D32+'2.3.4'!D32</f>
        <v>0</v>
      </c>
      <c r="E32" s="193">
        <f>'2.2.4'!E32+'2.3.4'!E32</f>
        <v>0</v>
      </c>
      <c r="F32" s="193">
        <f>'2.2.4'!F32+'2.3.4'!F32</f>
        <v>0</v>
      </c>
      <c r="G32" s="194">
        <f>'2.2.4'!G32+'2.3.4'!G32</f>
        <v>0</v>
      </c>
      <c r="H32" s="155" t="str">
        <f>IF('AW Schulen'!$D62=0,"x",C32/'AW Schulen'!$D62)</f>
        <v>x</v>
      </c>
      <c r="I32" s="155" t="str">
        <f>IF('AW Schulen'!$G62=0,"x",D32/'AW Schulen'!$G62)</f>
        <v>x</v>
      </c>
      <c r="J32" s="155" t="str">
        <f>IF('AW Schulen'!$J62=0,"x",E32/'AW Schulen'!$J62)</f>
        <v>x</v>
      </c>
      <c r="K32" s="155" t="str">
        <f>IF('AW Schulen'!$M62=0,"x",F32/'AW Schulen'!$M62)</f>
        <v>x</v>
      </c>
      <c r="L32" s="156" t="str">
        <f>IF('AW Schulen'!$P62=0,"x",G32/'AW Schulen'!$P62)</f>
        <v>x</v>
      </c>
    </row>
    <row r="33" spans="1:12" ht="9" customHeight="1">
      <c r="A33" s="21" t="s">
        <v>83</v>
      </c>
      <c r="B33" s="120"/>
      <c r="C33" s="46">
        <f>'2.2.4'!C33+'2.3.4'!C33</f>
        <v>59</v>
      </c>
      <c r="D33" s="46">
        <f>'2.2.4'!D33+'2.3.4'!D33</f>
        <v>61</v>
      </c>
      <c r="E33" s="46">
        <f>'2.2.4'!E33+'2.3.4'!E33</f>
        <v>62</v>
      </c>
      <c r="F33" s="46">
        <f>'2.2.4'!F33+'2.3.4'!F33</f>
        <v>65</v>
      </c>
      <c r="G33" s="260">
        <f>'2.2.4'!G33+'2.3.4'!G33</f>
        <v>66</v>
      </c>
      <c r="H33" s="155">
        <f>IF('AW Schulen'!$D63=0,"x",C33/'AW Schulen'!$D63)</f>
        <v>0.39597315436241609</v>
      </c>
      <c r="I33" s="155">
        <f>IF('AW Schulen'!$G63=0,"x",D33/'AW Schulen'!$G63)</f>
        <v>0.41216216216216217</v>
      </c>
      <c r="J33" s="155">
        <f>IF('AW Schulen'!$J63=0,"x",E33/'AW Schulen'!$J63)</f>
        <v>0.41610738255033558</v>
      </c>
      <c r="K33" s="155">
        <f>IF('AW Schulen'!$M63=0,"x",F33/'AW Schulen'!$M63)</f>
        <v>0.43046357615894038</v>
      </c>
      <c r="L33" s="156">
        <f>IF('AW Schulen'!$P63=0,"x",G33/'AW Schulen'!$P63)</f>
        <v>0.43421052631578949</v>
      </c>
    </row>
    <row r="34" spans="1:12" ht="9" customHeight="1">
      <c r="A34" s="21" t="s">
        <v>84</v>
      </c>
      <c r="B34" s="120"/>
      <c r="C34" s="46">
        <f>'2.2.4'!C34+'2.3.4'!C34</f>
        <v>0</v>
      </c>
      <c r="D34" s="46">
        <f>'2.2.4'!D34+'2.3.4'!D34</f>
        <v>0</v>
      </c>
      <c r="E34" s="46">
        <f>'2.2.4'!E34+'2.3.4'!E34</f>
        <v>0</v>
      </c>
      <c r="F34" s="46">
        <f>'2.2.4'!F34+'2.3.4'!F34</f>
        <v>0</v>
      </c>
      <c r="G34" s="260">
        <f>'2.2.4'!G34+'2.3.4'!G34</f>
        <v>0</v>
      </c>
      <c r="H34" s="155">
        <f>IF('AW Schulen'!$D64=0,"x",C34/'AW Schulen'!$D64)</f>
        <v>0</v>
      </c>
      <c r="I34" s="155">
        <f>IF('AW Schulen'!$G64=0,"x",D34/'AW Schulen'!$G64)</f>
        <v>0</v>
      </c>
      <c r="J34" s="155">
        <f>IF('AW Schulen'!$J64=0,"x",E34/'AW Schulen'!$J64)</f>
        <v>0</v>
      </c>
      <c r="K34" s="155">
        <f>IF('AW Schulen'!$M64=0,"x",F34/'AW Schulen'!$M64)</f>
        <v>0</v>
      </c>
      <c r="L34" s="156">
        <f>IF('AW Schulen'!$P64=0,"x",G34/'AW Schulen'!$P64)</f>
        <v>0</v>
      </c>
    </row>
    <row r="35" spans="1:12" ht="9" customHeight="1">
      <c r="A35" s="21" t="s">
        <v>85</v>
      </c>
      <c r="B35" s="120"/>
      <c r="C35" s="46">
        <f>'2.2.4'!C35+'2.3.4'!C35</f>
        <v>4</v>
      </c>
      <c r="D35" s="193">
        <f>'2.2.4'!D35+'2.3.4'!D35</f>
        <v>0</v>
      </c>
      <c r="E35" s="193">
        <f>'2.2.4'!E35+'2.3.4'!E35</f>
        <v>0</v>
      </c>
      <c r="F35" s="193">
        <f>'2.2.4'!F35+'2.3.4'!F35</f>
        <v>0</v>
      </c>
      <c r="G35" s="194">
        <f>'2.2.4'!G35+'2.3.4'!G35</f>
        <v>0</v>
      </c>
      <c r="H35" s="155">
        <f>IF('AW Schulen'!$D65=0,"x",C35/'AW Schulen'!$D65)</f>
        <v>9.3023255813953487E-2</v>
      </c>
      <c r="I35" s="155" t="str">
        <f>IF('AW Schulen'!$G65=0,"x",D35/'AW Schulen'!$G65)</f>
        <v>x</v>
      </c>
      <c r="J35" s="155" t="str">
        <f>IF('AW Schulen'!$J65=0,"x",E35/'AW Schulen'!$J65)</f>
        <v>x</v>
      </c>
      <c r="K35" s="155" t="str">
        <f>IF('AW Schulen'!$M65=0,"x",F35/'AW Schulen'!$M65)</f>
        <v>x</v>
      </c>
      <c r="L35" s="156" t="str">
        <f>IF('AW Schulen'!$P65=0,"x",G35/'AW Schulen'!$P65)</f>
        <v>x</v>
      </c>
    </row>
    <row r="36" spans="1:12" ht="9" customHeight="1">
      <c r="A36" s="21" t="s">
        <v>86</v>
      </c>
      <c r="B36" s="120"/>
      <c r="C36" s="46">
        <f>'2.2.4'!C36+'2.3.4'!C36</f>
        <v>0</v>
      </c>
      <c r="D36" s="46">
        <f>'2.2.4'!D36+'2.3.4'!D36</f>
        <v>0</v>
      </c>
      <c r="E36" s="46">
        <f>'2.2.4'!E36+'2.3.4'!E36</f>
        <v>0</v>
      </c>
      <c r="F36" s="46">
        <f>'2.2.4'!F36+'2.3.4'!F36</f>
        <v>0</v>
      </c>
      <c r="G36" s="260">
        <f>'2.2.4'!G36+'2.3.4'!G36</f>
        <v>0</v>
      </c>
      <c r="H36" s="183">
        <v>0</v>
      </c>
      <c r="I36" s="183">
        <v>0</v>
      </c>
      <c r="J36" s="183">
        <v>0</v>
      </c>
      <c r="K36" s="183">
        <v>0</v>
      </c>
      <c r="L36" s="197">
        <v>0</v>
      </c>
    </row>
    <row r="37" spans="1:12" ht="9" customHeight="1">
      <c r="A37" s="21" t="s">
        <v>176</v>
      </c>
      <c r="B37" s="120"/>
      <c r="C37" s="46">
        <f>'2.2.4'!C37+'2.3.4'!C37</f>
        <v>57</v>
      </c>
      <c r="D37" s="46">
        <f>'2.2.4'!D37+'2.3.4'!D37</f>
        <v>62</v>
      </c>
      <c r="E37" s="46">
        <f>'2.2.4'!E37+'2.3.4'!E37</f>
        <v>63</v>
      </c>
      <c r="F37" s="46">
        <f>'2.2.4'!F37+'2.3.4'!F37</f>
        <v>70</v>
      </c>
      <c r="G37" s="260">
        <f>'2.2.4'!G37+'2.3.4'!G37</f>
        <v>74</v>
      </c>
      <c r="H37" s="155">
        <f>IF('AW Schulen'!$D67=0,"x",C37/'AW Schulen'!$D67)</f>
        <v>0.30158730158730157</v>
      </c>
      <c r="I37" s="155">
        <f>IF('AW Schulen'!$G67=0,"x",D37/'AW Schulen'!$G67)</f>
        <v>0.32804232804232802</v>
      </c>
      <c r="J37" s="155">
        <f>IF('AW Schulen'!$J67=0,"x",E37/'AW Schulen'!$J67)</f>
        <v>0.328125</v>
      </c>
      <c r="K37" s="155">
        <f>IF('AW Schulen'!$M67=0,"x",F37/'AW Schulen'!$M67)</f>
        <v>0.36458333333333331</v>
      </c>
      <c r="L37" s="156">
        <f>IF('AW Schulen'!$P67=0,"x",G37/'AW Schulen'!$P67)</f>
        <v>0.38743455497382201</v>
      </c>
    </row>
    <row r="38" spans="1:12" ht="9" customHeight="1">
      <c r="A38" s="21" t="s">
        <v>88</v>
      </c>
      <c r="B38" s="120"/>
      <c r="C38" s="193">
        <f>'2.2.4'!C38+'2.3.4'!C38</f>
        <v>1</v>
      </c>
      <c r="D38" s="193">
        <f>'2.2.4'!D38+'2.3.4'!D38</f>
        <v>1</v>
      </c>
      <c r="E38" s="193">
        <f>'2.2.4'!E38+'2.3.4'!E38</f>
        <v>2</v>
      </c>
      <c r="F38" s="193">
        <f>'2.2.4'!F38+'2.3.4'!F38</f>
        <v>0</v>
      </c>
      <c r="G38" s="194">
        <f>'2.2.4'!G38+'2.3.4'!G38</f>
        <v>0</v>
      </c>
      <c r="H38" s="183">
        <v>0</v>
      </c>
      <c r="I38" s="183">
        <v>0</v>
      </c>
      <c r="J38" s="183">
        <v>0</v>
      </c>
      <c r="K38" s="183">
        <v>0</v>
      </c>
      <c r="L38" s="197">
        <v>0</v>
      </c>
    </row>
    <row r="39" spans="1:12" ht="9" customHeight="1">
      <c r="A39" s="21" t="s">
        <v>89</v>
      </c>
      <c r="B39" s="120"/>
      <c r="C39" s="193">
        <f>'2.2.4'!C39+'2.3.4'!C39</f>
        <v>53</v>
      </c>
      <c r="D39" s="193">
        <f>'2.2.4'!D39+'2.3.4'!D39</f>
        <v>95</v>
      </c>
      <c r="E39" s="193">
        <f>'2.2.4'!E39+'2.3.4'!E39</f>
        <v>118</v>
      </c>
      <c r="F39" s="193">
        <f>'2.2.4'!F39+'2.3.4'!F39</f>
        <v>123</v>
      </c>
      <c r="G39" s="194">
        <f>'2.2.4'!G39+'2.3.4'!G39</f>
        <v>124</v>
      </c>
      <c r="H39" s="155">
        <f>IF('AW Schulen'!$D69=0,"x",C39/'AW Schulen'!$D69)</f>
        <v>0.98148148148148151</v>
      </c>
      <c r="I39" s="155">
        <f>IF('AW Schulen'!$G69=0,"x",D39/'AW Schulen'!$G69)</f>
        <v>0.98958333333333337</v>
      </c>
      <c r="J39" s="155">
        <f>IF('AW Schulen'!$J69=0,"x",E39/'AW Schulen'!$J69)</f>
        <v>0.99159663865546221</v>
      </c>
      <c r="K39" s="155">
        <f>IF('AW Schulen'!$M69=0,"x",F39/'AW Schulen'!$M69)</f>
        <v>0.99193548387096775</v>
      </c>
      <c r="L39" s="156">
        <f>IF('AW Schulen'!$P69=0,"x",G39/'AW Schulen'!$P69)</f>
        <v>0.99199999999999999</v>
      </c>
    </row>
    <row r="40" spans="1:12" ht="9" customHeight="1">
      <c r="A40" s="21" t="s">
        <v>90</v>
      </c>
      <c r="B40" s="120"/>
      <c r="C40" s="46">
        <f>'2.2.4'!C40+'2.3.4'!C40</f>
        <v>3</v>
      </c>
      <c r="D40" s="46">
        <f>'2.2.4'!D40+'2.3.4'!D40</f>
        <v>6</v>
      </c>
      <c r="E40" s="46">
        <f>'2.2.4'!E40+'2.3.4'!E40</f>
        <v>4</v>
      </c>
      <c r="F40" s="46">
        <f>'2.2.4'!F40+'2.3.4'!F40</f>
        <v>4</v>
      </c>
      <c r="G40" s="260">
        <f>'2.2.4'!G40+'2.3.4'!G40</f>
        <v>3</v>
      </c>
      <c r="H40" s="155">
        <f>IF('AW Schulen'!$D70=0,"x",C40/'AW Schulen'!$D70)</f>
        <v>1.4925373134328358E-2</v>
      </c>
      <c r="I40" s="155">
        <f>IF('AW Schulen'!$G70=0,"x",D40/'AW Schulen'!$G70)</f>
        <v>2.9850746268656716E-2</v>
      </c>
      <c r="J40" s="155">
        <f>IF('AW Schulen'!$J70=0,"x",E40/'AW Schulen'!$J70)</f>
        <v>2.0202020202020204E-2</v>
      </c>
      <c r="K40" s="155">
        <f>IF('AW Schulen'!$M70=0,"x",F40/'AW Schulen'!$M70)</f>
        <v>2.0833333333333332E-2</v>
      </c>
      <c r="L40" s="156">
        <f>IF('AW Schulen'!$P70=0,"x",G40/'AW Schulen'!$P70)</f>
        <v>1.5789473684210527E-2</v>
      </c>
    </row>
    <row r="41" spans="1:12" ht="9" customHeight="1">
      <c r="A41" s="21" t="s">
        <v>91</v>
      </c>
      <c r="B41" s="120"/>
      <c r="C41" s="46">
        <f>'2.2.4'!C41+'2.3.4'!C41</f>
        <v>2</v>
      </c>
      <c r="D41" s="46">
        <f>'2.2.4'!D41+'2.3.4'!D41</f>
        <v>3</v>
      </c>
      <c r="E41" s="46">
        <f>'2.2.4'!E41+'2.3.4'!E41</f>
        <v>0</v>
      </c>
      <c r="F41" s="46">
        <f>'2.2.4'!F41+'2.3.4'!F41</f>
        <v>0</v>
      </c>
      <c r="G41" s="260">
        <f>'2.2.4'!G41+'2.3.4'!G41</f>
        <v>0</v>
      </c>
      <c r="H41" s="155">
        <f>IF('AW Schulen'!$D71=0,"x",C41/'AW Schulen'!$D71)</f>
        <v>4.0816326530612242E-2</v>
      </c>
      <c r="I41" s="155">
        <f>IF('AW Schulen'!$G71=0,"x",D41/'AW Schulen'!$G71)</f>
        <v>6.1224489795918366E-2</v>
      </c>
      <c r="J41" s="155">
        <f>IF('AW Schulen'!$J71=0,"x",E41/'AW Schulen'!$J71)</f>
        <v>0</v>
      </c>
      <c r="K41" s="155">
        <f>IF('AW Schulen'!$M71=0,"x",F41/'AW Schulen'!$M71)</f>
        <v>0</v>
      </c>
      <c r="L41" s="156">
        <f>IF('AW Schulen'!$P71=0,"x",G41/'AW Schulen'!$P71)</f>
        <v>0</v>
      </c>
    </row>
    <row r="42" spans="1:12" ht="9" customHeight="1">
      <c r="A42" s="21" t="s">
        <v>92</v>
      </c>
      <c r="B42" s="120"/>
      <c r="C42" s="46">
        <f>'2.2.4'!C42+'2.3.4'!C42</f>
        <v>32</v>
      </c>
      <c r="D42" s="46">
        <f>'2.2.4'!D42+'2.3.4'!D42</f>
        <v>29</v>
      </c>
      <c r="E42" s="46">
        <f>'2.2.4'!E42+'2.3.4'!E42</f>
        <v>22</v>
      </c>
      <c r="F42" s="46">
        <f>'2.2.4'!F42+'2.3.4'!F42</f>
        <v>20</v>
      </c>
      <c r="G42" s="260">
        <f>'2.2.4'!G42+'2.3.4'!G42</f>
        <v>21</v>
      </c>
      <c r="H42" s="155">
        <f>IF('AW Schulen'!$D72=0,"x",C42/'AW Schulen'!$D72)</f>
        <v>9.5238095238095233E-2</v>
      </c>
      <c r="I42" s="155">
        <f>IF('AW Schulen'!$G72=0,"x",D42/'AW Schulen'!$G72)</f>
        <v>8.6309523809523808E-2</v>
      </c>
      <c r="J42" s="155">
        <f>IF('AW Schulen'!$J72=0,"x",E42/'AW Schulen'!$J72)</f>
        <v>6.5476190476190479E-2</v>
      </c>
      <c r="K42" s="155">
        <f>IF('AW Schulen'!$M72=0,"x",F42/'AW Schulen'!$M72)</f>
        <v>5.8823529411764705E-2</v>
      </c>
      <c r="L42" s="156">
        <f>IF('AW Schulen'!$P72=0,"x",G42/'AW Schulen'!$P72)</f>
        <v>6.0518731988472622E-2</v>
      </c>
    </row>
    <row r="43" spans="1:12" ht="9" customHeight="1">
      <c r="A43" s="21" t="s">
        <v>93</v>
      </c>
      <c r="B43" s="120"/>
      <c r="C43" s="46">
        <f>'2.2.4'!C43+'2.3.4'!C43</f>
        <v>11</v>
      </c>
      <c r="D43" s="46">
        <f>'2.2.4'!D43+'2.3.4'!D43</f>
        <v>11</v>
      </c>
      <c r="E43" s="46">
        <f>'2.2.4'!E43+'2.3.4'!E43</f>
        <v>10</v>
      </c>
      <c r="F43" s="46">
        <f>'2.2.4'!F43+'2.3.4'!F43</f>
        <v>9</v>
      </c>
      <c r="G43" s="260">
        <f>'2.2.4'!G43+'2.3.4'!G43</f>
        <v>9</v>
      </c>
      <c r="H43" s="183">
        <v>0</v>
      </c>
      <c r="I43" s="183">
        <v>0</v>
      </c>
      <c r="J43" s="183">
        <v>0</v>
      </c>
      <c r="K43" s="183">
        <v>0</v>
      </c>
      <c r="L43" s="197">
        <v>0</v>
      </c>
    </row>
    <row r="44" spans="1:12" ht="9" customHeight="1">
      <c r="A44" s="21" t="s">
        <v>94</v>
      </c>
      <c r="B44" s="120"/>
      <c r="C44" s="46">
        <f>'2.2.4'!C44+'2.3.4'!C44</f>
        <v>3</v>
      </c>
      <c r="D44" s="46">
        <f>'2.2.4'!D44+'2.3.4'!D44</f>
        <v>2</v>
      </c>
      <c r="E44" s="46">
        <f>'2.2.4'!E44+'2.3.4'!E44</f>
        <v>2</v>
      </c>
      <c r="F44" s="46">
        <f>'2.2.4'!F44+'2.3.4'!F44</f>
        <v>2</v>
      </c>
      <c r="G44" s="260">
        <f>'2.2.4'!G44+'2.3.4'!G44</f>
        <v>2</v>
      </c>
      <c r="H44" s="155">
        <f>IF('AW Schulen'!$D74=0,"x",C44/'AW Schulen'!$D74)</f>
        <v>3.7499999999999999E-2</v>
      </c>
      <c r="I44" s="155">
        <f>IF('AW Schulen'!$G74=0,"x",D44/'AW Schulen'!$G74)</f>
        <v>2.5316455696202531E-2</v>
      </c>
      <c r="J44" s="155">
        <f>IF('AW Schulen'!$J74=0,"x",E44/'AW Schulen'!$J74)</f>
        <v>2.7397260273972601E-2</v>
      </c>
      <c r="K44" s="155">
        <f>IF('AW Schulen'!$M74=0,"x",F44/'AW Schulen'!$M74)</f>
        <v>2.8985507246376812E-2</v>
      </c>
      <c r="L44" s="156">
        <f>IF('AW Schulen'!$P74=0,"x",G44/'AW Schulen'!$P74)</f>
        <v>3.125E-2</v>
      </c>
    </row>
    <row r="45" spans="1:12" ht="9" customHeight="1">
      <c r="A45" s="21" t="s">
        <v>95</v>
      </c>
      <c r="B45" s="120"/>
      <c r="C45" s="46">
        <f>'2.2.4'!C45+'2.3.4'!C45</f>
        <v>10</v>
      </c>
      <c r="D45" s="46">
        <f>'2.2.4'!D45+'2.3.4'!D45</f>
        <v>9</v>
      </c>
      <c r="E45" s="46">
        <f>'2.2.4'!E45+'2.3.4'!E45</f>
        <v>10</v>
      </c>
      <c r="F45" s="46">
        <f>'2.2.4'!F45+'2.3.4'!F45</f>
        <v>12</v>
      </c>
      <c r="G45" s="260">
        <f>'2.2.4'!G45+'2.3.4'!G45</f>
        <v>12</v>
      </c>
      <c r="H45" s="155">
        <f>IF('AW Schulen'!$D75=0,"x",C45/'AW Schulen'!$D75)</f>
        <v>4.3478260869565216E-2</v>
      </c>
      <c r="I45" s="155">
        <f>IF('AW Schulen'!$G75=0,"x",D45/'AW Schulen'!$G75)</f>
        <v>0.04</v>
      </c>
      <c r="J45" s="155">
        <f>IF('AW Schulen'!$J75=0,"x",E45/'AW Schulen'!$J75)</f>
        <v>4.6082949308755762E-2</v>
      </c>
      <c r="K45" s="155">
        <f>IF('AW Schulen'!$M75=0,"x",F45/'AW Schulen'!$M75)</f>
        <v>5.7142857142857141E-2</v>
      </c>
      <c r="L45" s="156">
        <f>IF('AW Schulen'!$P75=0,"x",G45/'AW Schulen'!$P75)</f>
        <v>5.9701492537313432E-2</v>
      </c>
    </row>
    <row r="46" spans="1:12" ht="9" customHeight="1">
      <c r="A46" s="21" t="s">
        <v>96</v>
      </c>
      <c r="B46" s="120"/>
      <c r="C46" s="46">
        <f>'2.2.4'!C46+'2.3.4'!C46</f>
        <v>235</v>
      </c>
      <c r="D46" s="46">
        <f>'2.2.4'!D46+'2.3.4'!D46</f>
        <v>279</v>
      </c>
      <c r="E46" s="46">
        <f>'2.2.4'!E46+'2.3.4'!E46</f>
        <v>293</v>
      </c>
      <c r="F46" s="46">
        <f>'2.2.4'!F46+'2.3.4'!F46</f>
        <v>305</v>
      </c>
      <c r="G46" s="260">
        <f>'2.2.4'!G46+'2.3.4'!G46</f>
        <v>311</v>
      </c>
      <c r="H46" s="155">
        <f>IF('AW Schulen'!$D76=0,"x",C46/'AW Schulen'!$D76)</f>
        <v>0.13552479815455595</v>
      </c>
      <c r="I46" s="155">
        <f>IF('AW Schulen'!$G76=0,"x",D46/'AW Schulen'!$G76)</f>
        <v>0.15988538681948425</v>
      </c>
      <c r="J46" s="155">
        <f>IF('AW Schulen'!$J76=0,"x",E46/'AW Schulen'!$J76)</f>
        <v>0.17054714784633296</v>
      </c>
      <c r="K46" s="155">
        <f>IF('AW Schulen'!$M76=0,"x",F46/'AW Schulen'!$M76)</f>
        <v>0.17270668176670442</v>
      </c>
      <c r="L46" s="156">
        <f>IF('AW Schulen'!$P76=0,"x",G46/'AW Schulen'!$P76)</f>
        <v>0.17201327433628319</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193">
        <f>'2.2.4'!C48+'2.3.4'!C48</f>
        <v>0</v>
      </c>
      <c r="D48" s="193">
        <f>'2.2.4'!D48+'2.3.4'!D48</f>
        <v>0</v>
      </c>
      <c r="E48" s="193">
        <f>'2.2.4'!E48+'2.3.4'!E48</f>
        <v>0</v>
      </c>
      <c r="F48" s="193">
        <f>'2.2.4'!F48+'2.3.4'!F48</f>
        <v>0</v>
      </c>
      <c r="G48" s="194">
        <f>'2.2.4'!G48+'2.3.4'!G48</f>
        <v>0</v>
      </c>
      <c r="H48" s="155" t="str">
        <f>IF('AW Schulen'!$D60=0,"x",C48/'AW Schulen'!$D60)</f>
        <v>x</v>
      </c>
      <c r="I48" s="155" t="str">
        <f>IF('AW Schulen'!$G60=0,"x",D48/'AW Schulen'!$G60)</f>
        <v>x</v>
      </c>
      <c r="J48" s="155" t="str">
        <f>IF('AW Schulen'!$J60=0,"x",E48/'AW Schulen'!$J60)</f>
        <v>x</v>
      </c>
      <c r="K48" s="155" t="str">
        <f>IF('AW Schulen'!$M60=0,"x",F48/'AW Schulen'!$M60)</f>
        <v>x</v>
      </c>
      <c r="L48" s="156" t="str">
        <f>IF('AW Schulen'!$P60=0,"x",G48/'AW Schulen'!$P60)</f>
        <v>x</v>
      </c>
    </row>
    <row r="49" spans="1:12" ht="9" customHeight="1">
      <c r="A49" s="21" t="s">
        <v>81</v>
      </c>
      <c r="B49" s="120"/>
      <c r="C49" s="193">
        <f>'2.2.4'!C49+'2.3.4'!C49</f>
        <v>0</v>
      </c>
      <c r="D49" s="193">
        <f>'2.2.4'!D49+'2.3.4'!D49</f>
        <v>0</v>
      </c>
      <c r="E49" s="193">
        <f>'2.2.4'!E49+'2.3.4'!E49</f>
        <v>0</v>
      </c>
      <c r="F49" s="193" t="e">
        <f>'2.2.4'!F49+'2.3.4'!F49</f>
        <v>#VALUE!</v>
      </c>
      <c r="G49" s="194">
        <f>'2.2.4'!G49+'2.3.4'!G49</f>
        <v>0</v>
      </c>
      <c r="H49" s="155" t="str">
        <f>IF('AW Schulen'!$D61=0,"x",C49/'AW Schulen'!$D61)</f>
        <v>x</v>
      </c>
      <c r="I49" s="155" t="str">
        <f>IF('AW Schulen'!$G61=0,"x",D49/'AW Schulen'!$G61)</f>
        <v>x</v>
      </c>
      <c r="J49" s="155" t="str">
        <f>IF('AW Schulen'!$J61=0,"x",E49/'AW Schulen'!$J61)</f>
        <v>x</v>
      </c>
      <c r="K49" s="155" t="str">
        <f>IF('AW Schulen'!$M61=0,"x",F49/'AW Schulen'!$M61)</f>
        <v>x</v>
      </c>
      <c r="L49" s="156" t="str">
        <f>IF('AW Schulen'!$P61=0,"x",G49/'AW Schulen'!$P61)</f>
        <v>x</v>
      </c>
    </row>
    <row r="50" spans="1:12" ht="9" customHeight="1">
      <c r="A50" s="21" t="s">
        <v>82</v>
      </c>
      <c r="B50" s="120"/>
      <c r="C50" s="193">
        <f>'2.2.4'!C50+'2.3.4'!C50</f>
        <v>0</v>
      </c>
      <c r="D50" s="193">
        <f>'2.2.4'!D50+'2.3.4'!D50</f>
        <v>0</v>
      </c>
      <c r="E50" s="193">
        <f>'2.2.4'!E50+'2.3.4'!E50</f>
        <v>0</v>
      </c>
      <c r="F50" s="193">
        <f>'2.2.4'!F50+'2.3.4'!F50</f>
        <v>0</v>
      </c>
      <c r="G50" s="194">
        <f>'2.2.4'!G50+'2.3.4'!G50</f>
        <v>0</v>
      </c>
      <c r="H50" s="155" t="str">
        <f>IF('AW Schulen'!$D62=0,"x",C50/'AW Schulen'!$D62)</f>
        <v>x</v>
      </c>
      <c r="I50" s="155" t="str">
        <f>IF('AW Schulen'!$G62=0,"x",D50/'AW Schulen'!$G62)</f>
        <v>x</v>
      </c>
      <c r="J50" s="155" t="str">
        <f>IF('AW Schulen'!$J62=0,"x",E50/'AW Schulen'!$J62)</f>
        <v>x</v>
      </c>
      <c r="K50" s="155" t="str">
        <f>IF('AW Schulen'!$M62=0,"x",F50/'AW Schulen'!$M62)</f>
        <v>x</v>
      </c>
      <c r="L50" s="156" t="str">
        <f>IF('AW Schulen'!$P62=0,"x",G50/'AW Schulen'!$P62)</f>
        <v>x</v>
      </c>
    </row>
    <row r="51" spans="1:12" ht="9" customHeight="1">
      <c r="A51" s="21" t="s">
        <v>83</v>
      </c>
      <c r="B51" s="120"/>
      <c r="C51" s="46">
        <f>'2.2.4'!C51+'2.3.4'!C51</f>
        <v>15</v>
      </c>
      <c r="D51" s="46">
        <f>'2.2.4'!D51+'2.3.4'!D51</f>
        <v>13</v>
      </c>
      <c r="E51" s="46">
        <f>'2.2.4'!E51+'2.3.4'!E51</f>
        <v>12</v>
      </c>
      <c r="F51" s="46">
        <f>'2.2.4'!F51+'2.3.4'!F51</f>
        <v>11</v>
      </c>
      <c r="G51" s="260">
        <f>'2.2.4'!G51+'2.3.4'!G51</f>
        <v>10</v>
      </c>
      <c r="H51" s="155">
        <f>IF('AW Schulen'!$D63=0,"x",C51/'AW Schulen'!$D63)</f>
        <v>0.10067114093959731</v>
      </c>
      <c r="I51" s="155">
        <f>IF('AW Schulen'!$G63=0,"x",D51/'AW Schulen'!$G63)</f>
        <v>8.7837837837837843E-2</v>
      </c>
      <c r="J51" s="155">
        <f>IF('AW Schulen'!$J63=0,"x",E51/'AW Schulen'!$J63)</f>
        <v>8.0536912751677847E-2</v>
      </c>
      <c r="K51" s="155">
        <f>IF('AW Schulen'!$M63=0,"x",F51/'AW Schulen'!$M63)</f>
        <v>7.2847682119205295E-2</v>
      </c>
      <c r="L51" s="156">
        <f>IF('AW Schulen'!$P63=0,"x",G51/'AW Schulen'!$P63)</f>
        <v>6.5789473684210523E-2</v>
      </c>
    </row>
    <row r="52" spans="1:12" ht="9" customHeight="1">
      <c r="A52" s="21" t="s">
        <v>84</v>
      </c>
      <c r="B52" s="120"/>
      <c r="C52" s="46">
        <f>'2.2.4'!C52+'2.3.4'!C52</f>
        <v>4</v>
      </c>
      <c r="D52" s="193">
        <f>'2.2.4'!D52+'2.3.4'!D52</f>
        <v>2</v>
      </c>
      <c r="E52" s="193">
        <f>'2.2.4'!E52+'2.3.4'!E52</f>
        <v>1</v>
      </c>
      <c r="F52" s="193">
        <f>'2.2.4'!F52+'2.3.4'!F52</f>
        <v>4</v>
      </c>
      <c r="G52" s="194">
        <f>'2.2.4'!G52+'2.3.4'!G52</f>
        <v>0</v>
      </c>
      <c r="H52" s="155">
        <f>IF('AW Schulen'!$D64=0,"x",C52/'AW Schulen'!$D64)</f>
        <v>0.15384615384615385</v>
      </c>
      <c r="I52" s="155">
        <f>IF('AW Schulen'!$G64=0,"x",D52/'AW Schulen'!$G64)</f>
        <v>7.6923076923076927E-2</v>
      </c>
      <c r="J52" s="155">
        <f>IF('AW Schulen'!$J64=0,"x",E52/'AW Schulen'!$J64)</f>
        <v>0.05</v>
      </c>
      <c r="K52" s="155">
        <f>IF('AW Schulen'!$M64=0,"x",F52/'AW Schulen'!$M64)</f>
        <v>0.33333333333333331</v>
      </c>
      <c r="L52" s="156">
        <f>IF('AW Schulen'!$P64=0,"x",G52/'AW Schulen'!$P64)</f>
        <v>0</v>
      </c>
    </row>
    <row r="53" spans="1:12" ht="9" customHeight="1">
      <c r="A53" s="21" t="s">
        <v>85</v>
      </c>
      <c r="B53" s="120"/>
      <c r="C53" s="46">
        <f>'2.2.4'!C53+'2.3.4'!C53</f>
        <v>5</v>
      </c>
      <c r="D53" s="193">
        <f>'2.2.4'!D53+'2.3.4'!D53</f>
        <v>0</v>
      </c>
      <c r="E53" s="193">
        <f>'2.2.4'!E53+'2.3.4'!E53</f>
        <v>0</v>
      </c>
      <c r="F53" s="193">
        <f>'2.2.4'!F53+'2.3.4'!F53</f>
        <v>0</v>
      </c>
      <c r="G53" s="194">
        <f>'2.2.4'!G53+'2.3.4'!G53</f>
        <v>0</v>
      </c>
      <c r="H53" s="155">
        <f>IF('AW Schulen'!$D65=0,"x",C53/'AW Schulen'!$D65)</f>
        <v>0.11627906976744186</v>
      </c>
      <c r="I53" s="155" t="str">
        <f>IF('AW Schulen'!$G65=0,"x",D53/'AW Schulen'!$G65)</f>
        <v>x</v>
      </c>
      <c r="J53" s="155" t="str">
        <f>IF('AW Schulen'!$J65=0,"x",E53/'AW Schulen'!$J65)</f>
        <v>x</v>
      </c>
      <c r="K53" s="155" t="str">
        <f>IF('AW Schulen'!$M65=0,"x",F53/'AW Schulen'!$M65)</f>
        <v>x</v>
      </c>
      <c r="L53" s="156" t="str">
        <f>IF('AW Schulen'!$P65=0,"x",G53/'AW Schulen'!$P65)</f>
        <v>x</v>
      </c>
    </row>
    <row r="54" spans="1:12" ht="9" customHeight="1">
      <c r="A54" s="21" t="s">
        <v>86</v>
      </c>
      <c r="B54" s="120"/>
      <c r="C54" s="46">
        <f>'2.2.4'!C54+'2.3.4'!C54</f>
        <v>0</v>
      </c>
      <c r="D54" s="46">
        <f>'2.2.4'!D54+'2.3.4'!D54</f>
        <v>0</v>
      </c>
      <c r="E54" s="46">
        <f>'2.2.4'!E54+'2.3.4'!E54</f>
        <v>0</v>
      </c>
      <c r="F54" s="46">
        <f>'2.2.4'!F54+'2.3.4'!F54</f>
        <v>0</v>
      </c>
      <c r="G54" s="260">
        <f>'2.2.4'!G54+'2.3.4'!G54</f>
        <v>0</v>
      </c>
      <c r="H54" s="183">
        <v>0</v>
      </c>
      <c r="I54" s="183">
        <v>0</v>
      </c>
      <c r="J54" s="183">
        <v>0</v>
      </c>
      <c r="K54" s="183">
        <v>0</v>
      </c>
      <c r="L54" s="197">
        <v>0</v>
      </c>
    </row>
    <row r="55" spans="1:12" ht="9" customHeight="1">
      <c r="A55" s="21" t="s">
        <v>176</v>
      </c>
      <c r="B55" s="120"/>
      <c r="C55" s="46">
        <f>'2.2.4'!C55+'2.3.4'!C55</f>
        <v>28</v>
      </c>
      <c r="D55" s="46">
        <f>'2.2.4'!D55+'2.3.4'!D55</f>
        <v>26</v>
      </c>
      <c r="E55" s="46">
        <f>'2.2.4'!E55+'2.3.4'!E55</f>
        <v>23</v>
      </c>
      <c r="F55" s="46">
        <f>'2.2.4'!F55+'2.3.4'!F55</f>
        <v>24</v>
      </c>
      <c r="G55" s="260">
        <f>'2.2.4'!G55+'2.3.4'!G55</f>
        <v>35</v>
      </c>
      <c r="H55" s="155">
        <f>IF('AW Schulen'!$D67=0,"x",C55/'AW Schulen'!$D67)</f>
        <v>0.14814814814814814</v>
      </c>
      <c r="I55" s="155">
        <f>IF('AW Schulen'!$G67=0,"x",D55/'AW Schulen'!$G67)</f>
        <v>0.13756613756613756</v>
      </c>
      <c r="J55" s="155">
        <f>IF('AW Schulen'!$J67=0,"x",E55/'AW Schulen'!$J67)</f>
        <v>0.11979166666666667</v>
      </c>
      <c r="K55" s="155">
        <f>IF('AW Schulen'!$M67=0,"x",F55/'AW Schulen'!$M67)</f>
        <v>0.125</v>
      </c>
      <c r="L55" s="156">
        <f>IF('AW Schulen'!$P67=0,"x",G55/'AW Schulen'!$P67)</f>
        <v>0.18324607329842932</v>
      </c>
    </row>
    <row r="56" spans="1:12" ht="9" customHeight="1">
      <c r="A56" s="21" t="s">
        <v>88</v>
      </c>
      <c r="B56" s="120"/>
      <c r="C56" s="193">
        <f>'2.2.4'!C56+'2.3.4'!C56</f>
        <v>135</v>
      </c>
      <c r="D56" s="193">
        <f>'2.2.4'!D56+'2.3.4'!D56</f>
        <v>164</v>
      </c>
      <c r="E56" s="193">
        <f>'2.2.4'!E56+'2.3.4'!E56</f>
        <v>195</v>
      </c>
      <c r="F56" s="193">
        <f>'2.2.4'!F56+'2.3.4'!F56</f>
        <v>247</v>
      </c>
      <c r="G56" s="194">
        <f>'2.2.4'!G56+'2.3.4'!G56</f>
        <v>267</v>
      </c>
      <c r="H56" s="183">
        <v>0</v>
      </c>
      <c r="I56" s="183">
        <v>0</v>
      </c>
      <c r="J56" s="183">
        <v>0</v>
      </c>
      <c r="K56" s="183">
        <v>0</v>
      </c>
      <c r="L56" s="197">
        <v>0</v>
      </c>
    </row>
    <row r="57" spans="1:12" ht="9" customHeight="1">
      <c r="A57" s="21" t="s">
        <v>89</v>
      </c>
      <c r="B57" s="120"/>
      <c r="C57" s="227">
        <f>'2.2.4'!C57+'2.3.4'!C57</f>
        <v>0</v>
      </c>
      <c r="D57" s="227">
        <f>'2.2.4'!D57+'2.3.4'!D57</f>
        <v>0</v>
      </c>
      <c r="E57" s="227">
        <f>'2.2.4'!E57+'2.3.4'!E57</f>
        <v>0</v>
      </c>
      <c r="F57" s="227">
        <f>'2.2.4'!F57+'2.3.4'!F57</f>
        <v>0</v>
      </c>
      <c r="G57" s="261">
        <f>'2.2.4'!G57+'2.3.4'!G57</f>
        <v>0</v>
      </c>
      <c r="H57" s="155">
        <f>IF('AW Schulen'!$D69=0,"x",C57/'AW Schulen'!$D69)</f>
        <v>0</v>
      </c>
      <c r="I57" s="155">
        <f>IF('AW Schulen'!$G69=0,"x",D57/'AW Schulen'!$G69)</f>
        <v>0</v>
      </c>
      <c r="J57" s="155">
        <f>IF('AW Schulen'!$J69=0,"x",E57/'AW Schulen'!$J69)</f>
        <v>0</v>
      </c>
      <c r="K57" s="155">
        <f>IF('AW Schulen'!$M69=0,"x",F57/'AW Schulen'!$M69)</f>
        <v>0</v>
      </c>
      <c r="L57" s="156">
        <f>IF('AW Schulen'!$P69=0,"x",G57/'AW Schulen'!$P69)</f>
        <v>0</v>
      </c>
    </row>
    <row r="58" spans="1:12" ht="9" customHeight="1">
      <c r="A58" s="21" t="s">
        <v>90</v>
      </c>
      <c r="B58" s="120"/>
      <c r="C58" s="46">
        <f>'2.2.4'!C58+'2.3.4'!C58</f>
        <v>151</v>
      </c>
      <c r="D58" s="46">
        <f>'2.2.4'!D58+'2.3.4'!D58</f>
        <v>144</v>
      </c>
      <c r="E58" s="46">
        <f>'2.2.4'!E58+'2.3.4'!E58</f>
        <v>144</v>
      </c>
      <c r="F58" s="46">
        <f>'2.2.4'!F58+'2.3.4'!F58</f>
        <v>140</v>
      </c>
      <c r="G58" s="260">
        <f>'2.2.4'!G58+'2.3.4'!G58</f>
        <v>137</v>
      </c>
      <c r="H58" s="155">
        <f>IF('AW Schulen'!$D70=0,"x",C58/'AW Schulen'!$D70)</f>
        <v>0.75124378109452739</v>
      </c>
      <c r="I58" s="155">
        <f>IF('AW Schulen'!$G70=0,"x",D58/'AW Schulen'!$G70)</f>
        <v>0.71641791044776115</v>
      </c>
      <c r="J58" s="155">
        <f>IF('AW Schulen'!$J70=0,"x",E58/'AW Schulen'!$J70)</f>
        <v>0.72727272727272729</v>
      </c>
      <c r="K58" s="155">
        <f>IF('AW Schulen'!$M70=0,"x",F58/'AW Schulen'!$M70)</f>
        <v>0.72916666666666663</v>
      </c>
      <c r="L58" s="156">
        <f>IF('AW Schulen'!$P70=0,"x",G58/'AW Schulen'!$P70)</f>
        <v>0.72105263157894739</v>
      </c>
    </row>
    <row r="59" spans="1:12" ht="9" customHeight="1">
      <c r="A59" s="21" t="s">
        <v>91</v>
      </c>
      <c r="B59" s="120"/>
      <c r="C59" s="46">
        <f>'2.2.4'!C59+'2.3.4'!C59</f>
        <v>16</v>
      </c>
      <c r="D59" s="46">
        <f>'2.2.4'!D59+'2.3.4'!D59</f>
        <v>9</v>
      </c>
      <c r="E59" s="46">
        <f>'2.2.4'!E59+'2.3.4'!E59</f>
        <v>0</v>
      </c>
      <c r="F59" s="46">
        <f>'2.2.4'!F59+'2.3.4'!F59</f>
        <v>0</v>
      </c>
      <c r="G59" s="260">
        <f>'2.2.4'!G59+'2.3.4'!G59</f>
        <v>0</v>
      </c>
      <c r="H59" s="155">
        <f>IF('AW Schulen'!$D71=0,"x",C59/'AW Schulen'!$D71)</f>
        <v>0.32653061224489793</v>
      </c>
      <c r="I59" s="155">
        <f>IF('AW Schulen'!$G71=0,"x",D59/'AW Schulen'!$G71)</f>
        <v>0.18367346938775511</v>
      </c>
      <c r="J59" s="155">
        <f>IF('AW Schulen'!$J71=0,"x",E59/'AW Schulen'!$J71)</f>
        <v>0</v>
      </c>
      <c r="K59" s="155">
        <f>IF('AW Schulen'!$M71=0,"x",F59/'AW Schulen'!$M71)</f>
        <v>0</v>
      </c>
      <c r="L59" s="156">
        <f>IF('AW Schulen'!$P71=0,"x",G59/'AW Schulen'!$P71)</f>
        <v>0</v>
      </c>
    </row>
    <row r="60" spans="1:12" ht="9" customHeight="1">
      <c r="A60" s="21" t="s">
        <v>92</v>
      </c>
      <c r="B60" s="120"/>
      <c r="C60" s="46">
        <f>'2.2.4'!C60+'2.3.4'!C60</f>
        <v>89</v>
      </c>
      <c r="D60" s="46">
        <f>'2.2.4'!D60+'2.3.4'!D60</f>
        <v>91</v>
      </c>
      <c r="E60" s="46">
        <f>'2.2.4'!E60+'2.3.4'!E60</f>
        <v>97</v>
      </c>
      <c r="F60" s="46">
        <f>'2.2.4'!F60+'2.3.4'!F60</f>
        <v>99</v>
      </c>
      <c r="G60" s="260">
        <f>'2.2.4'!G60+'2.3.4'!G60</f>
        <v>96</v>
      </c>
      <c r="H60" s="155">
        <f>IF('AW Schulen'!$D72=0,"x",C60/'AW Schulen'!$D72)</f>
        <v>0.26488095238095238</v>
      </c>
      <c r="I60" s="155">
        <f>IF('AW Schulen'!$G72=0,"x",D60/'AW Schulen'!$G72)</f>
        <v>0.27083333333333331</v>
      </c>
      <c r="J60" s="155">
        <f>IF('AW Schulen'!$J72=0,"x",E60/'AW Schulen'!$J72)</f>
        <v>0.28869047619047616</v>
      </c>
      <c r="K60" s="155">
        <f>IF('AW Schulen'!$M72=0,"x",F60/'AW Schulen'!$M72)</f>
        <v>0.29117647058823531</v>
      </c>
      <c r="L60" s="156">
        <f>IF('AW Schulen'!$P72=0,"x",G60/'AW Schulen'!$P72)</f>
        <v>0.27665706051873201</v>
      </c>
    </row>
    <row r="61" spans="1:12" ht="9" customHeight="1">
      <c r="A61" s="21" t="s">
        <v>93</v>
      </c>
      <c r="B61" s="120"/>
      <c r="C61" s="46">
        <f>'2.2.4'!C61+'2.3.4'!C61</f>
        <v>16</v>
      </c>
      <c r="D61" s="46">
        <f>'2.2.4'!D61+'2.3.4'!D61</f>
        <v>19</v>
      </c>
      <c r="E61" s="46">
        <f>'2.2.4'!E61+'2.3.4'!E61</f>
        <v>18</v>
      </c>
      <c r="F61" s="46">
        <f>'2.2.4'!F61+'2.3.4'!F61</f>
        <v>18</v>
      </c>
      <c r="G61" s="260">
        <f>'2.2.4'!G61+'2.3.4'!G61</f>
        <v>17</v>
      </c>
      <c r="H61" s="183">
        <v>0</v>
      </c>
      <c r="I61" s="183">
        <v>0</v>
      </c>
      <c r="J61" s="183">
        <v>0</v>
      </c>
      <c r="K61" s="183">
        <v>0</v>
      </c>
      <c r="L61" s="197">
        <v>0</v>
      </c>
    </row>
    <row r="62" spans="1:12" ht="9" customHeight="1">
      <c r="A62" s="21" t="s">
        <v>94</v>
      </c>
      <c r="B62" s="120"/>
      <c r="C62" s="46">
        <f>'2.2.4'!C62+'2.3.4'!C62</f>
        <v>2</v>
      </c>
      <c r="D62" s="46">
        <f>'2.2.4'!D62+'2.3.4'!D62</f>
        <v>2</v>
      </c>
      <c r="E62" s="46">
        <f>'2.2.4'!E62+'2.3.4'!E62</f>
        <v>0</v>
      </c>
      <c r="F62" s="46">
        <f>'2.2.4'!F62+'2.3.4'!F62</f>
        <v>0</v>
      </c>
      <c r="G62" s="260">
        <f>'2.2.4'!G62+'2.3.4'!G62</f>
        <v>0</v>
      </c>
      <c r="H62" s="155">
        <f>IF('AW Schulen'!$D74=0,"x",C62/'AW Schulen'!$D74)</f>
        <v>2.5000000000000001E-2</v>
      </c>
      <c r="I62" s="155">
        <f>IF('AW Schulen'!$G74=0,"x",D62/'AW Schulen'!$G74)</f>
        <v>2.5316455696202531E-2</v>
      </c>
      <c r="J62" s="155">
        <f>IF('AW Schulen'!$J74=0,"x",E62/'AW Schulen'!$J74)</f>
        <v>0</v>
      </c>
      <c r="K62" s="155">
        <f>IF('AW Schulen'!$M74=0,"x",F62/'AW Schulen'!$M74)</f>
        <v>0</v>
      </c>
      <c r="L62" s="156">
        <f>IF('AW Schulen'!$P74=0,"x",G62/'AW Schulen'!$P74)</f>
        <v>0</v>
      </c>
    </row>
    <row r="63" spans="1:12" ht="9" customHeight="1">
      <c r="A63" s="21" t="s">
        <v>95</v>
      </c>
      <c r="B63" s="120"/>
      <c r="C63" s="46">
        <f>'2.2.4'!C63+'2.3.4'!C63</f>
        <v>16</v>
      </c>
      <c r="D63" s="46">
        <f>'2.2.4'!D63+'2.3.4'!D63</f>
        <v>23</v>
      </c>
      <c r="E63" s="46">
        <f>'2.2.4'!E63+'2.3.4'!E63</f>
        <v>25</v>
      </c>
      <c r="F63" s="46">
        <f>'2.2.4'!F63+'2.3.4'!F63</f>
        <v>20</v>
      </c>
      <c r="G63" s="260">
        <f>'2.2.4'!G63+'2.3.4'!G63</f>
        <v>18</v>
      </c>
      <c r="H63" s="155">
        <f>IF('AW Schulen'!$D75=0,"x",C63/'AW Schulen'!$D75)</f>
        <v>6.9565217391304349E-2</v>
      </c>
      <c r="I63" s="155">
        <f>IF('AW Schulen'!$G75=0,"x",D63/'AW Schulen'!$G75)</f>
        <v>0.10222222222222223</v>
      </c>
      <c r="J63" s="155">
        <f>IF('AW Schulen'!$J75=0,"x",E63/'AW Schulen'!$J75)</f>
        <v>0.1152073732718894</v>
      </c>
      <c r="K63" s="155">
        <f>IF('AW Schulen'!$M75=0,"x",F63/'AW Schulen'!$M75)</f>
        <v>9.5238095238095233E-2</v>
      </c>
      <c r="L63" s="156">
        <f>IF('AW Schulen'!$P75=0,"x",G63/'AW Schulen'!$P75)</f>
        <v>8.9552238805970144E-2</v>
      </c>
    </row>
    <row r="64" spans="1:12" ht="8.65" customHeight="1">
      <c r="A64" s="21" t="s">
        <v>96</v>
      </c>
      <c r="B64" s="120"/>
      <c r="C64" s="46">
        <f>'2.2.4'!C64+'2.3.4'!C64</f>
        <v>477</v>
      </c>
      <c r="D64" s="46">
        <f>'2.2.4'!D64+'2.3.4'!D64</f>
        <v>493</v>
      </c>
      <c r="E64" s="46">
        <f>'2.2.4'!E64+'2.3.4'!E64</f>
        <v>515</v>
      </c>
      <c r="F64" s="46">
        <f>'2.2.4'!F64+'2.3.4'!F64</f>
        <v>563</v>
      </c>
      <c r="G64" s="260">
        <f>'2.2.4'!G64+'2.3.4'!G64</f>
        <v>580</v>
      </c>
      <c r="H64" s="155">
        <f>IF('AW Schulen'!$D76=0,"x",C64/'AW Schulen'!$D76)</f>
        <v>0.27508650519031141</v>
      </c>
      <c r="I64" s="155">
        <f>IF('AW Schulen'!$G76=0,"x",D64/'AW Schulen'!$G76)</f>
        <v>0.28252148997134668</v>
      </c>
      <c r="J64" s="155">
        <f>IF('AW Schulen'!$J76=0,"x",E64/'AW Schulen'!$J76)</f>
        <v>0.29976717112922002</v>
      </c>
      <c r="K64" s="155">
        <f>IF('AW Schulen'!$M76=0,"x",F64/'AW Schulen'!$M76)</f>
        <v>0.31879954699886748</v>
      </c>
      <c r="L64" s="156">
        <f>IF('AW Schulen'!$P76=0,"x",G64/'AW Schulen'!$P76)</f>
        <v>0.32079646017699115</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193">
        <f>'2.2.4'!C66+'2.3.4'!C66</f>
        <v>0</v>
      </c>
      <c r="D66" s="193">
        <f>'2.2.4'!D66+'2.3.4'!D66</f>
        <v>0</v>
      </c>
      <c r="E66" s="193">
        <f>'2.2.4'!E66+'2.3.4'!E66</f>
        <v>0</v>
      </c>
      <c r="F66" s="193">
        <f>'2.2.4'!F66+'2.3.4'!F66</f>
        <v>0</v>
      </c>
      <c r="G66" s="194">
        <f>'2.2.4'!G66+'2.3.4'!G66</f>
        <v>0</v>
      </c>
      <c r="H66" s="155" t="str">
        <f>IF('AW Schulen'!$D60=0,"x",C66/'AW Schulen'!$D60)</f>
        <v>x</v>
      </c>
      <c r="I66" s="155" t="str">
        <f>IF('AW Schulen'!$G60=0,"x",D66/'AW Schulen'!$G60)</f>
        <v>x</v>
      </c>
      <c r="J66" s="155" t="str">
        <f>IF('AW Schulen'!$J60=0,"x",E66/'AW Schulen'!$J60)</f>
        <v>x</v>
      </c>
      <c r="K66" s="155" t="str">
        <f>IF('AW Schulen'!$M60=0,"x",F66/'AW Schulen'!$M60)</f>
        <v>x</v>
      </c>
      <c r="L66" s="156" t="str">
        <f>IF('AW Schulen'!$P60=0,"x",G66/'AW Schulen'!$P60)</f>
        <v>x</v>
      </c>
    </row>
    <row r="67" spans="1:12" ht="10.15" customHeight="1">
      <c r="A67" s="224" t="s">
        <v>81</v>
      </c>
      <c r="B67" s="120"/>
      <c r="C67" s="193">
        <f>'2.2.4'!C67+'2.3.4'!C67</f>
        <v>0</v>
      </c>
      <c r="D67" s="193">
        <f>'2.2.4'!D67+'2.3.4'!D67</f>
        <v>0</v>
      </c>
      <c r="E67" s="193">
        <f>'2.2.4'!E67+'2.3.4'!E67</f>
        <v>0</v>
      </c>
      <c r="F67" s="193" t="e">
        <f>'2.2.4'!F67+'2.3.4'!F67</f>
        <v>#VALUE!</v>
      </c>
      <c r="G67" s="194">
        <f>'2.2.4'!G67+'2.3.4'!G67</f>
        <v>0</v>
      </c>
      <c r="H67" s="155" t="str">
        <f>IF('AW Schulen'!$D61=0,"x",C67/'AW Schulen'!$D61)</f>
        <v>x</v>
      </c>
      <c r="I67" s="155" t="str">
        <f>IF('AW Schulen'!$G61=0,"x",D67/'AW Schulen'!$G61)</f>
        <v>x</v>
      </c>
      <c r="J67" s="155" t="str">
        <f>IF('AW Schulen'!$J61=0,"x",E67/'AW Schulen'!$J61)</f>
        <v>x</v>
      </c>
      <c r="K67" s="155" t="str">
        <f>IF('AW Schulen'!$M61=0,"x",F67/'AW Schulen'!$M61)</f>
        <v>x</v>
      </c>
      <c r="L67" s="156" t="str">
        <f>IF('AW Schulen'!$P61=0,"x",G67/'AW Schulen'!$P61)</f>
        <v>x</v>
      </c>
    </row>
    <row r="68" spans="1:12" ht="10.15" customHeight="1">
      <c r="A68" s="224" t="s">
        <v>82</v>
      </c>
      <c r="B68" s="120"/>
      <c r="C68" s="193">
        <f>'2.2.4'!C68+'2.3.4'!C68</f>
        <v>0</v>
      </c>
      <c r="D68" s="193">
        <f>'2.2.4'!D68+'2.3.4'!D68</f>
        <v>0</v>
      </c>
      <c r="E68" s="193">
        <f>'2.2.4'!E68+'2.3.4'!E68</f>
        <v>0</v>
      </c>
      <c r="F68" s="193">
        <f>'2.2.4'!F68+'2.3.4'!F68</f>
        <v>0</v>
      </c>
      <c r="G68" s="194">
        <f>'2.2.4'!G68+'2.3.4'!G68</f>
        <v>0</v>
      </c>
      <c r="H68" s="155" t="str">
        <f>IF('AW Schulen'!$D62=0,"x",C68/'AW Schulen'!$D62)</f>
        <v>x</v>
      </c>
      <c r="I68" s="155" t="str">
        <f>IF('AW Schulen'!$G62=0,"x",D68/'AW Schulen'!$G62)</f>
        <v>x</v>
      </c>
      <c r="J68" s="155" t="str">
        <f>IF('AW Schulen'!$J62=0,"x",E68/'AW Schulen'!$J62)</f>
        <v>x</v>
      </c>
      <c r="K68" s="155" t="str">
        <f>IF('AW Schulen'!$M62=0,"x",F68/'AW Schulen'!$M62)</f>
        <v>x</v>
      </c>
      <c r="L68" s="156" t="str">
        <f>IF('AW Schulen'!$P62=0,"x",G68/'AW Schulen'!$P62)</f>
        <v>x</v>
      </c>
    </row>
    <row r="69" spans="1:12" ht="9" customHeight="1">
      <c r="A69" s="21" t="s">
        <v>83</v>
      </c>
      <c r="B69" s="120"/>
      <c r="C69" s="46">
        <f>'2.2.4'!C69+'2.3.4'!C69</f>
        <v>36</v>
      </c>
      <c r="D69" s="46">
        <f>'2.2.4'!D69+'2.3.4'!D69</f>
        <v>37</v>
      </c>
      <c r="E69" s="46">
        <f>'2.2.4'!E69+'2.3.4'!E69</f>
        <v>38</v>
      </c>
      <c r="F69" s="46">
        <f>'2.2.4'!F69+'2.3.4'!F69</f>
        <v>37</v>
      </c>
      <c r="G69" s="260">
        <f>'2.2.4'!G69+'2.3.4'!G69</f>
        <v>37</v>
      </c>
      <c r="H69" s="155">
        <f>IF('AW Schulen'!$D63=0,"x",C69/'AW Schulen'!$D63)</f>
        <v>0.24161073825503357</v>
      </c>
      <c r="I69" s="155">
        <f>IF('AW Schulen'!$G63=0,"x",D69/'AW Schulen'!$G63)</f>
        <v>0.25</v>
      </c>
      <c r="J69" s="155">
        <f>IF('AW Schulen'!$J63=0,"x",E69/'AW Schulen'!$J63)</f>
        <v>0.25503355704697989</v>
      </c>
      <c r="K69" s="155">
        <f>IF('AW Schulen'!$M63=0,"x",F69/'AW Schulen'!$M63)</f>
        <v>0.24503311258278146</v>
      </c>
      <c r="L69" s="156">
        <f>IF('AW Schulen'!$P63=0,"x",G69/'AW Schulen'!$P63)</f>
        <v>0.24342105263157895</v>
      </c>
    </row>
    <row r="70" spans="1:12" ht="9" customHeight="1">
      <c r="A70" s="21" t="s">
        <v>84</v>
      </c>
      <c r="B70" s="120"/>
      <c r="C70" s="46">
        <f>'2.2.4'!C70+'2.3.4'!C70</f>
        <v>1</v>
      </c>
      <c r="D70" s="46">
        <f>'2.2.4'!D70+'2.3.4'!D70</f>
        <v>0</v>
      </c>
      <c r="E70" s="46">
        <f>'2.2.4'!E70+'2.3.4'!E70</f>
        <v>0</v>
      </c>
      <c r="F70" s="46">
        <f>'2.2.4'!F70+'2.3.4'!F70</f>
        <v>1</v>
      </c>
      <c r="G70" s="260">
        <f>'2.2.4'!G70+'2.3.4'!G70</f>
        <v>0</v>
      </c>
      <c r="H70" s="155">
        <f>IF('AW Schulen'!$D64=0,"x",C70/'AW Schulen'!$D64)</f>
        <v>3.8461538461538464E-2</v>
      </c>
      <c r="I70" s="155">
        <f>IF('AW Schulen'!$G64=0,"x",D70/'AW Schulen'!$G64)</f>
        <v>0</v>
      </c>
      <c r="J70" s="155">
        <f>IF('AW Schulen'!$J64=0,"x",E70/'AW Schulen'!$J64)</f>
        <v>0</v>
      </c>
      <c r="K70" s="155">
        <f>IF('AW Schulen'!$M64=0,"x",F70/'AW Schulen'!$M64)</f>
        <v>8.3333333333333329E-2</v>
      </c>
      <c r="L70" s="156">
        <f>IF('AW Schulen'!$P64=0,"x",G70/'AW Schulen'!$P64)</f>
        <v>0</v>
      </c>
    </row>
    <row r="71" spans="1:12" ht="9" customHeight="1">
      <c r="A71" s="21" t="s">
        <v>85</v>
      </c>
      <c r="B71" s="120"/>
      <c r="C71" s="46">
        <f>'2.2.4'!C71+'2.3.4'!C71</f>
        <v>13</v>
      </c>
      <c r="D71" s="193">
        <f>'2.2.4'!D71+'2.3.4'!D71</f>
        <v>0</v>
      </c>
      <c r="E71" s="193">
        <f>'2.2.4'!E71+'2.3.4'!E71</f>
        <v>0</v>
      </c>
      <c r="F71" s="193">
        <f>'2.2.4'!F71+'2.3.4'!F71</f>
        <v>0</v>
      </c>
      <c r="G71" s="194">
        <f>'2.2.4'!G71+'2.3.4'!G71</f>
        <v>0</v>
      </c>
      <c r="H71" s="155">
        <f>IF('AW Schulen'!$D65=0,"x",C71/'AW Schulen'!$D65)</f>
        <v>0.30232558139534882</v>
      </c>
      <c r="I71" s="155" t="str">
        <f>IF('AW Schulen'!$G65=0,"x",D71/'AW Schulen'!$G65)</f>
        <v>x</v>
      </c>
      <c r="J71" s="155" t="str">
        <f>IF('AW Schulen'!$J65=0,"x",E71/'AW Schulen'!$J65)</f>
        <v>x</v>
      </c>
      <c r="K71" s="155" t="str">
        <f>IF('AW Schulen'!$M65=0,"x",F71/'AW Schulen'!$M65)</f>
        <v>x</v>
      </c>
      <c r="L71" s="156" t="str">
        <f>IF('AW Schulen'!$P65=0,"x",G71/'AW Schulen'!$P65)</f>
        <v>x</v>
      </c>
    </row>
    <row r="72" spans="1:12" ht="9" customHeight="1">
      <c r="A72" s="21" t="s">
        <v>86</v>
      </c>
      <c r="B72" s="120"/>
      <c r="C72" s="193">
        <f>'2.2.4'!C72+'2.3.4'!C72</f>
        <v>18</v>
      </c>
      <c r="D72" s="193">
        <f>'2.2.4'!D72+'2.3.4'!D72</f>
        <v>22</v>
      </c>
      <c r="E72" s="193">
        <f>'2.2.4'!E72+'2.3.4'!E72</f>
        <v>19</v>
      </c>
      <c r="F72" s="193">
        <f>'2.2.4'!F72+'2.3.4'!F72</f>
        <v>19</v>
      </c>
      <c r="G72" s="194">
        <f>'2.2.4'!G72+'2.3.4'!G72</f>
        <v>19</v>
      </c>
      <c r="H72" s="183">
        <v>0</v>
      </c>
      <c r="I72" s="183">
        <v>0</v>
      </c>
      <c r="J72" s="183">
        <v>0</v>
      </c>
      <c r="K72" s="183">
        <v>0</v>
      </c>
      <c r="L72" s="197">
        <v>0</v>
      </c>
    </row>
    <row r="73" spans="1:12" ht="9" customHeight="1">
      <c r="A73" s="21" t="s">
        <v>176</v>
      </c>
      <c r="B73" s="120"/>
      <c r="C73" s="46">
        <f>'2.2.4'!C73+'2.3.4'!C73</f>
        <v>70</v>
      </c>
      <c r="D73" s="46">
        <f>'2.2.4'!D73+'2.3.4'!D73</f>
        <v>67</v>
      </c>
      <c r="E73" s="46">
        <f>'2.2.4'!E73+'2.3.4'!E73</f>
        <v>66</v>
      </c>
      <c r="F73" s="46">
        <f>'2.2.4'!F73+'2.3.4'!F73</f>
        <v>66</v>
      </c>
      <c r="G73" s="260">
        <f>'2.2.4'!G73+'2.3.4'!G73</f>
        <v>49</v>
      </c>
      <c r="H73" s="155">
        <f>IF('AW Schulen'!$D67=0,"x",C73/'AW Schulen'!$D67)</f>
        <v>0.37037037037037035</v>
      </c>
      <c r="I73" s="155">
        <f>IF('AW Schulen'!$G67=0,"x",D73/'AW Schulen'!$G67)</f>
        <v>0.35449735449735448</v>
      </c>
      <c r="J73" s="155">
        <f>IF('AW Schulen'!$J67=0,"x",E73/'AW Schulen'!$J67)</f>
        <v>0.34375</v>
      </c>
      <c r="K73" s="155">
        <f>IF('AW Schulen'!$M67=0,"x",F73/'AW Schulen'!$M67)</f>
        <v>0.34375</v>
      </c>
      <c r="L73" s="156">
        <f>IF('AW Schulen'!$P67=0,"x",G73/'AW Schulen'!$P67)</f>
        <v>0.25654450261780104</v>
      </c>
    </row>
    <row r="74" spans="1:12" ht="9" customHeight="1">
      <c r="A74" s="21" t="s">
        <v>88</v>
      </c>
      <c r="B74" s="120"/>
      <c r="C74" s="193">
        <f>'2.2.4'!C74+'2.3.4'!C74</f>
        <v>44</v>
      </c>
      <c r="D74" s="193">
        <f>'2.2.4'!D74+'2.3.4'!D74</f>
        <v>43</v>
      </c>
      <c r="E74" s="193">
        <f>'2.2.4'!E74+'2.3.4'!E74</f>
        <v>48</v>
      </c>
      <c r="F74" s="193">
        <f>'2.2.4'!F74+'2.3.4'!F74</f>
        <v>59</v>
      </c>
      <c r="G74" s="194">
        <f>'2.2.4'!G74+'2.3.4'!G74</f>
        <v>92</v>
      </c>
      <c r="H74" s="183">
        <v>0</v>
      </c>
      <c r="I74" s="183">
        <v>0</v>
      </c>
      <c r="J74" s="183">
        <v>0</v>
      </c>
      <c r="K74" s="183">
        <v>0</v>
      </c>
      <c r="L74" s="197">
        <v>0</v>
      </c>
    </row>
    <row r="75" spans="1:12" ht="9" customHeight="1">
      <c r="A75" s="21" t="s">
        <v>89</v>
      </c>
      <c r="B75" s="120"/>
      <c r="C75" s="227">
        <f>'2.2.4'!C75+'2.3.4'!C75</f>
        <v>0</v>
      </c>
      <c r="D75" s="227">
        <f>'2.2.4'!D75+'2.3.4'!D75</f>
        <v>0</v>
      </c>
      <c r="E75" s="227">
        <f>'2.2.4'!E75+'2.3.4'!E75</f>
        <v>0</v>
      </c>
      <c r="F75" s="227">
        <f>'2.2.4'!F75+'2.3.4'!F75</f>
        <v>0</v>
      </c>
      <c r="G75" s="261">
        <f>'2.2.4'!G75+'2.3.4'!G75</f>
        <v>0</v>
      </c>
      <c r="H75" s="155">
        <f>IF('AW Schulen'!$D69=0,"x",C75/'AW Schulen'!$D69)</f>
        <v>0</v>
      </c>
      <c r="I75" s="155">
        <f>IF('AW Schulen'!$G69=0,"x",D75/'AW Schulen'!$G69)</f>
        <v>0</v>
      </c>
      <c r="J75" s="155">
        <f>IF('AW Schulen'!$J69=0,"x",E75/'AW Schulen'!$J69)</f>
        <v>0</v>
      </c>
      <c r="K75" s="155">
        <f>IF('AW Schulen'!$M69=0,"x",F75/'AW Schulen'!$M69)</f>
        <v>0</v>
      </c>
      <c r="L75" s="156">
        <f>IF('AW Schulen'!$P69=0,"x",G75/'AW Schulen'!$P69)</f>
        <v>0</v>
      </c>
    </row>
    <row r="76" spans="1:12" ht="9" customHeight="1">
      <c r="A76" s="21" t="s">
        <v>90</v>
      </c>
      <c r="B76" s="120"/>
      <c r="C76" s="46">
        <f>'2.2.4'!C76+'2.3.4'!C76</f>
        <v>1</v>
      </c>
      <c r="D76" s="46">
        <f>'2.2.4'!D76+'2.3.4'!D76</f>
        <v>4</v>
      </c>
      <c r="E76" s="46">
        <f>'2.2.4'!E76+'2.3.4'!E76</f>
        <v>3</v>
      </c>
      <c r="F76" s="46">
        <f>'2.2.4'!F76+'2.3.4'!F76</f>
        <v>3</v>
      </c>
      <c r="G76" s="260">
        <f>'2.2.4'!G76+'2.3.4'!G76</f>
        <v>4</v>
      </c>
      <c r="H76" s="155">
        <f>IF('AW Schulen'!$D70=0,"x",C76/'AW Schulen'!$D70)</f>
        <v>4.9751243781094526E-3</v>
      </c>
      <c r="I76" s="155">
        <f>IF('AW Schulen'!$G70=0,"x",D76/'AW Schulen'!$G70)</f>
        <v>1.9900497512437811E-2</v>
      </c>
      <c r="J76" s="155">
        <f>IF('AW Schulen'!$J70=0,"x",E76/'AW Schulen'!$J70)</f>
        <v>1.5151515151515152E-2</v>
      </c>
      <c r="K76" s="155">
        <f>IF('AW Schulen'!$M70=0,"x",F76/'AW Schulen'!$M70)</f>
        <v>1.5625E-2</v>
      </c>
      <c r="L76" s="156">
        <f>IF('AW Schulen'!$P70=0,"x",G76/'AW Schulen'!$P70)</f>
        <v>2.1052631578947368E-2</v>
      </c>
    </row>
    <row r="77" spans="1:12" ht="9" customHeight="1">
      <c r="A77" s="21" t="s">
        <v>91</v>
      </c>
      <c r="B77" s="120"/>
      <c r="C77" s="46">
        <f>'2.2.4'!C77+'2.3.4'!C77</f>
        <v>31</v>
      </c>
      <c r="D77" s="46">
        <f>'2.2.4'!D77+'2.3.4'!D77</f>
        <v>37</v>
      </c>
      <c r="E77" s="46">
        <f>'2.2.4'!E77+'2.3.4'!E77</f>
        <v>2</v>
      </c>
      <c r="F77" s="46">
        <f>'2.2.4'!F77+'2.3.4'!F77</f>
        <v>2</v>
      </c>
      <c r="G77" s="260">
        <f>'2.2.4'!G77+'2.3.4'!G77</f>
        <v>1</v>
      </c>
      <c r="H77" s="155">
        <f>IF('AW Schulen'!$D71=0,"x",C77/'AW Schulen'!$D71)</f>
        <v>0.63265306122448983</v>
      </c>
      <c r="I77" s="155">
        <f>IF('AW Schulen'!$G71=0,"x",D77/'AW Schulen'!$G71)</f>
        <v>0.75510204081632648</v>
      </c>
      <c r="J77" s="155">
        <f>IF('AW Schulen'!$J71=0,"x",E77/'AW Schulen'!$J71)</f>
        <v>1</v>
      </c>
      <c r="K77" s="155">
        <f>IF('AW Schulen'!$M71=0,"x",F77/'AW Schulen'!$M71)</f>
        <v>1</v>
      </c>
      <c r="L77" s="156">
        <f>IF('AW Schulen'!$P71=0,"x",G77/'AW Schulen'!$P71)</f>
        <v>1</v>
      </c>
    </row>
    <row r="78" spans="1:12" ht="9" customHeight="1">
      <c r="A78" s="21" t="s">
        <v>92</v>
      </c>
      <c r="B78" s="120"/>
      <c r="C78" s="46">
        <f>'2.2.4'!C78+'2.3.4'!C78</f>
        <v>203</v>
      </c>
      <c r="D78" s="46">
        <f>'2.2.4'!D78+'2.3.4'!D78</f>
        <v>207</v>
      </c>
      <c r="E78" s="46">
        <f>'2.2.4'!E78+'2.3.4'!E78</f>
        <v>209</v>
      </c>
      <c r="F78" s="46">
        <f>'2.2.4'!F78+'2.3.4'!F78</f>
        <v>213</v>
      </c>
      <c r="G78" s="260">
        <f>'2.2.4'!G78+'2.3.4'!G78</f>
        <v>220</v>
      </c>
      <c r="H78" s="155">
        <f>IF('AW Schulen'!$D72=0,"x",C78/'AW Schulen'!$D72)</f>
        <v>0.60416666666666663</v>
      </c>
      <c r="I78" s="155">
        <f>IF('AW Schulen'!$G72=0,"x",D78/'AW Schulen'!$G72)</f>
        <v>0.6160714285714286</v>
      </c>
      <c r="J78" s="155">
        <f>IF('AW Schulen'!$J72=0,"x",E78/'AW Schulen'!$J72)</f>
        <v>0.62202380952380953</v>
      </c>
      <c r="K78" s="155">
        <f>IF('AW Schulen'!$M72=0,"x",F78/'AW Schulen'!$M72)</f>
        <v>0.62647058823529411</v>
      </c>
      <c r="L78" s="156">
        <f>IF('AW Schulen'!$P72=0,"x",G78/'AW Schulen'!$P72)</f>
        <v>0.63400576368876083</v>
      </c>
    </row>
    <row r="79" spans="1:12" ht="9" customHeight="1">
      <c r="A79" s="21" t="s">
        <v>93</v>
      </c>
      <c r="B79" s="120"/>
      <c r="C79" s="46">
        <f>'2.2.4'!C79+'2.3.4'!C79</f>
        <v>40</v>
      </c>
      <c r="D79" s="46">
        <f>'2.2.4'!D79+'2.3.4'!D79</f>
        <v>43</v>
      </c>
      <c r="E79" s="46">
        <f>'2.2.4'!E79+'2.3.4'!E79</f>
        <v>42</v>
      </c>
      <c r="F79" s="46">
        <f>'2.2.4'!F79+'2.3.4'!F79</f>
        <v>37</v>
      </c>
      <c r="G79" s="260">
        <f>'2.2.4'!G79+'2.3.4'!G79</f>
        <v>35</v>
      </c>
      <c r="H79" s="183">
        <v>0</v>
      </c>
      <c r="I79" s="183">
        <v>0</v>
      </c>
      <c r="J79" s="183">
        <v>0</v>
      </c>
      <c r="K79" s="183">
        <v>0</v>
      </c>
      <c r="L79" s="197">
        <v>0</v>
      </c>
    </row>
    <row r="80" spans="1:12" ht="9" customHeight="1">
      <c r="A80" s="21" t="s">
        <v>94</v>
      </c>
      <c r="B80" s="120"/>
      <c r="C80" s="46">
        <f>'2.2.4'!C80+'2.3.4'!C80</f>
        <v>47</v>
      </c>
      <c r="D80" s="46">
        <f>'2.2.4'!D80+'2.3.4'!D80</f>
        <v>50</v>
      </c>
      <c r="E80" s="46">
        <f>'2.2.4'!E80+'2.3.4'!E80</f>
        <v>52</v>
      </c>
      <c r="F80" s="46">
        <f>'2.2.4'!F80+'2.3.4'!F80</f>
        <v>57</v>
      </c>
      <c r="G80" s="260">
        <f>'2.2.4'!G80+'2.3.4'!G80</f>
        <v>55</v>
      </c>
      <c r="H80" s="155">
        <f>IF('AW Schulen'!$D74=0,"x",C80/'AW Schulen'!$D74)</f>
        <v>0.58750000000000002</v>
      </c>
      <c r="I80" s="155">
        <f>IF('AW Schulen'!$G74=0,"x",D80/'AW Schulen'!$G74)</f>
        <v>0.63291139240506333</v>
      </c>
      <c r="J80" s="155">
        <f>IF('AW Schulen'!$J74=0,"x",E80/'AW Schulen'!$J74)</f>
        <v>0.71232876712328763</v>
      </c>
      <c r="K80" s="155">
        <f>IF('AW Schulen'!$M74=0,"x",F80/'AW Schulen'!$M74)</f>
        <v>0.82608695652173914</v>
      </c>
      <c r="L80" s="156">
        <f>IF('AW Schulen'!$P74=0,"x",G80/'AW Schulen'!$P74)</f>
        <v>0.859375</v>
      </c>
    </row>
    <row r="81" spans="1:12" ht="9" customHeight="1">
      <c r="A81" s="21" t="s">
        <v>95</v>
      </c>
      <c r="B81" s="120"/>
      <c r="C81" s="46">
        <f>'2.2.4'!C81+'2.3.4'!C81</f>
        <v>71</v>
      </c>
      <c r="D81" s="46">
        <f>'2.2.4'!D81+'2.3.4'!D81</f>
        <v>60</v>
      </c>
      <c r="E81" s="46">
        <f>'2.2.4'!E81+'2.3.4'!E81</f>
        <v>52</v>
      </c>
      <c r="F81" s="46">
        <f>'2.2.4'!F81+'2.3.4'!F81</f>
        <v>51</v>
      </c>
      <c r="G81" s="260">
        <f>'2.2.4'!G81+'2.3.4'!G81</f>
        <v>43</v>
      </c>
      <c r="H81" s="155">
        <f>IF('AW Schulen'!$D75=0,"x",C81/'AW Schulen'!$D75)</f>
        <v>0.30869565217391304</v>
      </c>
      <c r="I81" s="155">
        <f>IF('AW Schulen'!$G75=0,"x",D81/'AW Schulen'!$G75)</f>
        <v>0.26666666666666666</v>
      </c>
      <c r="J81" s="155">
        <f>IF('AW Schulen'!$J75=0,"x",E81/'AW Schulen'!$J75)</f>
        <v>0.23963133640552994</v>
      </c>
      <c r="K81" s="155">
        <f>IF('AW Schulen'!$M75=0,"x",F81/'AW Schulen'!$M75)</f>
        <v>0.24285714285714285</v>
      </c>
      <c r="L81" s="156">
        <f>IF('AW Schulen'!$P75=0,"x",G81/'AW Schulen'!$P75)</f>
        <v>0.21393034825870647</v>
      </c>
    </row>
    <row r="82" spans="1:12" ht="9" customHeight="1">
      <c r="A82" s="24" t="s">
        <v>96</v>
      </c>
      <c r="B82" s="121"/>
      <c r="C82" s="129">
        <f>'2.2.4'!C82+'2.3.4'!C82</f>
        <v>575</v>
      </c>
      <c r="D82" s="129">
        <f>'2.2.4'!D82+'2.3.4'!D82</f>
        <v>570</v>
      </c>
      <c r="E82" s="129">
        <f>'2.2.4'!E82+'2.3.4'!E82</f>
        <v>531</v>
      </c>
      <c r="F82" s="129">
        <f>'2.2.4'!F82+'2.3.4'!F82</f>
        <v>545</v>
      </c>
      <c r="G82" s="262">
        <f>'2.2.4'!G82+'2.3.4'!G82</f>
        <v>555</v>
      </c>
      <c r="H82" s="157">
        <f>IF('AW Schulen'!$D76=0,"x",C82/'AW Schulen'!$D76)</f>
        <v>0.33160322952710497</v>
      </c>
      <c r="I82" s="157">
        <f>IF('AW Schulen'!$G76=0,"x",D82/'AW Schulen'!$G76)</f>
        <v>0.32664756446991405</v>
      </c>
      <c r="J82" s="157">
        <f>IF('AW Schulen'!$J76=0,"x",E82/'AW Schulen'!$J76)</f>
        <v>0.30908032596041907</v>
      </c>
      <c r="K82" s="157">
        <f>IF('AW Schulen'!$M76=0,"x",F82/'AW Schulen'!$M76)</f>
        <v>0.30860702151755381</v>
      </c>
      <c r="L82" s="158">
        <f>IF('AW Schulen'!$P76=0,"x",G82/'AW Schulen'!$P76)</f>
        <v>0.30696902654867259</v>
      </c>
    </row>
    <row r="83" spans="1:12" ht="18.75" customHeight="1">
      <c r="A83" s="396" t="s">
        <v>312</v>
      </c>
      <c r="B83" s="396"/>
      <c r="C83" s="396"/>
      <c r="D83" s="396"/>
      <c r="E83" s="396"/>
      <c r="F83" s="396"/>
      <c r="G83" s="396"/>
      <c r="H83" s="396"/>
      <c r="I83" s="396"/>
      <c r="J83" s="396"/>
      <c r="K83" s="396"/>
      <c r="L83" s="396"/>
    </row>
    <row r="84" spans="1:12" ht="18" customHeight="1">
      <c r="A84" s="397" t="s">
        <v>258</v>
      </c>
      <c r="B84" s="397"/>
      <c r="C84" s="397"/>
      <c r="D84" s="397"/>
      <c r="E84" s="397"/>
      <c r="F84" s="397"/>
      <c r="G84" s="397"/>
      <c r="H84" s="397"/>
      <c r="I84" s="397"/>
      <c r="J84" s="397"/>
      <c r="K84" s="395"/>
      <c r="L84" s="395"/>
    </row>
    <row r="85" spans="1:12" ht="10.15" customHeight="1">
      <c r="A85" s="306" t="s">
        <v>221</v>
      </c>
      <c r="B85" s="266"/>
      <c r="C85" s="266"/>
      <c r="D85" s="266"/>
      <c r="E85" s="266"/>
      <c r="F85" s="314"/>
      <c r="G85" s="341"/>
      <c r="H85" s="266"/>
      <c r="I85" s="266"/>
      <c r="J85" s="266"/>
      <c r="K85" s="314"/>
      <c r="L85" s="341"/>
    </row>
    <row r="86" spans="1:12" ht="10.15" customHeight="1">
      <c r="A86" s="214" t="s">
        <v>101</v>
      </c>
    </row>
  </sheetData>
  <mergeCells count="9">
    <mergeCell ref="A1:L1"/>
    <mergeCell ref="A84:L84"/>
    <mergeCell ref="C9:G9"/>
    <mergeCell ref="H9:L9"/>
    <mergeCell ref="A11:L11"/>
    <mergeCell ref="A29:L29"/>
    <mergeCell ref="A47:L47"/>
    <mergeCell ref="A65:L65"/>
    <mergeCell ref="A83:L83"/>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M85"/>
  <sheetViews>
    <sheetView view="pageBreakPreview" zoomScale="175" zoomScaleNormal="115" zoomScaleSheetLayoutView="175" workbookViewId="0">
      <selection activeCell="N23" sqref="N23:N24"/>
    </sheetView>
  </sheetViews>
  <sheetFormatPr baseColWidth="10" defaultColWidth="11.42578125" defaultRowHeight="9"/>
  <cols>
    <col min="1" max="1" width="8.7109375" style="2" customWidth="1"/>
    <col min="2" max="2" width="0.42578125" style="2" customWidth="1"/>
    <col min="3" max="12" width="6.7109375" style="2" customWidth="1"/>
    <col min="13" max="16384" width="11.42578125" style="2"/>
  </cols>
  <sheetData>
    <row r="1" spans="1:13" ht="13.5">
      <c r="A1" s="383">
        <f>'2.1.4'!A1:G1+1</f>
        <v>8</v>
      </c>
      <c r="B1" s="383"/>
      <c r="C1" s="383"/>
      <c r="D1" s="383"/>
      <c r="E1" s="383"/>
      <c r="F1" s="383"/>
      <c r="G1" s="383"/>
      <c r="H1" s="383"/>
      <c r="I1" s="383"/>
      <c r="J1" s="383"/>
      <c r="K1" s="383"/>
      <c r="L1" s="383"/>
      <c r="M1" s="58" t="s">
        <v>108</v>
      </c>
    </row>
    <row r="2" spans="1:13" ht="3" customHeight="1"/>
    <row r="3" spans="1:13" s="1" customFormat="1" ht="12.6" customHeight="1">
      <c r="A3" s="11">
        <v>2</v>
      </c>
      <c r="B3" s="12" t="s">
        <v>264</v>
      </c>
      <c r="C3" s="12"/>
      <c r="D3" s="12"/>
      <c r="E3" s="12"/>
      <c r="F3" s="12"/>
      <c r="G3" s="12"/>
    </row>
    <row r="4" spans="1:13" s="1" customFormat="1" ht="12.6" customHeight="1">
      <c r="A4" s="13" t="s">
        <v>5</v>
      </c>
      <c r="B4" s="12" t="s">
        <v>132</v>
      </c>
      <c r="C4" s="14"/>
      <c r="D4" s="14"/>
      <c r="E4" s="14"/>
      <c r="F4" s="14"/>
      <c r="G4" s="14"/>
    </row>
    <row r="5" spans="1:13" s="1" customFormat="1" ht="12.6" customHeight="1">
      <c r="A5" s="13" t="s">
        <v>14</v>
      </c>
      <c r="B5" s="39" t="s">
        <v>15</v>
      </c>
      <c r="C5" s="14"/>
      <c r="D5" s="14"/>
      <c r="E5" s="14"/>
      <c r="F5" s="14"/>
      <c r="G5" s="14"/>
    </row>
    <row r="6" spans="1:13" s="3" customFormat="1" ht="3" customHeight="1">
      <c r="A6" s="40"/>
      <c r="B6" s="39"/>
      <c r="C6" s="41"/>
      <c r="D6" s="41"/>
      <c r="E6" s="41"/>
      <c r="F6" s="41"/>
      <c r="G6" s="41"/>
    </row>
    <row r="7" spans="1:13" s="3" customFormat="1" ht="3" customHeight="1">
      <c r="A7" s="40"/>
      <c r="B7" s="39"/>
      <c r="C7" s="41"/>
      <c r="D7" s="41"/>
      <c r="E7" s="41"/>
      <c r="F7" s="41"/>
      <c r="G7" s="41"/>
    </row>
    <row r="8" spans="1:13" ht="5.25" customHeight="1"/>
    <row r="9" spans="1:13" ht="12.75" customHeight="1">
      <c r="A9" s="16" t="s">
        <v>77</v>
      </c>
      <c r="B9" s="27"/>
      <c r="C9" s="384" t="s">
        <v>78</v>
      </c>
      <c r="D9" s="385"/>
      <c r="E9" s="385"/>
      <c r="F9" s="385"/>
      <c r="G9" s="386"/>
      <c r="H9" s="384" t="s">
        <v>142</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154</v>
      </c>
      <c r="D12" s="42">
        <f t="shared" ref="D12:E12" si="1">SUM(D30,D48,D66)</f>
        <v>153</v>
      </c>
      <c r="E12" s="42">
        <f t="shared" si="1"/>
        <v>168</v>
      </c>
      <c r="F12" s="42">
        <f t="shared" ref="F12:G12" si="2">SUM(F30,F48,F66)</f>
        <v>180</v>
      </c>
      <c r="G12" s="44">
        <f t="shared" si="2"/>
        <v>197</v>
      </c>
      <c r="H12" s="153">
        <f>IF('AW Schulen'!$D78=0,"x",C12/'AW Schulen'!$D78)</f>
        <v>0.3061630218687873</v>
      </c>
      <c r="I12" s="153">
        <f>IF('AW Schulen'!$G78=0,"x",D12/'AW Schulen'!$G78)</f>
        <v>0.30417495029821073</v>
      </c>
      <c r="J12" s="153">
        <f>IF('AW Schulen'!$J78=0,"x",E12/'AW Schulen'!$J78)</f>
        <v>0.33399602385685884</v>
      </c>
      <c r="K12" s="153">
        <f>IF('AW Schulen'!$M78=0,"x",F12/'AW Schulen'!$M78)</f>
        <v>0.35502958579881655</v>
      </c>
      <c r="L12" s="154">
        <f>IF('AW Schulen'!$P78=0,"x",G12/'AW Schulen'!$P78)</f>
        <v>0.38627450980392158</v>
      </c>
    </row>
    <row r="13" spans="1:13" ht="9" customHeight="1">
      <c r="A13" s="21" t="s">
        <v>81</v>
      </c>
      <c r="B13" s="120"/>
      <c r="C13" s="42">
        <f t="shared" ref="C13:C28" si="3">SUM(C31,C49,C67)</f>
        <v>290</v>
      </c>
      <c r="D13" s="42">
        <f t="shared" ref="D13:E13" si="4">SUM(D31,D49,D67)</f>
        <v>306</v>
      </c>
      <c r="E13" s="42">
        <f t="shared" si="4"/>
        <v>307</v>
      </c>
      <c r="F13" s="42">
        <f t="shared" ref="F13:G13" si="5">SUM(F31,F49,F67)</f>
        <v>332</v>
      </c>
      <c r="G13" s="44">
        <f t="shared" si="5"/>
        <v>332</v>
      </c>
      <c r="H13" s="153">
        <f>IF('AW Schulen'!$D79=0,"x",C13/'AW Schulen'!$D79)</f>
        <v>0.6430155210643016</v>
      </c>
      <c r="I13" s="153">
        <f>IF('AW Schulen'!$G79=0,"x",D13/'AW Schulen'!$G79)</f>
        <v>0.66812227074235808</v>
      </c>
      <c r="J13" s="153">
        <f>IF('AW Schulen'!$J79=0,"x",E13/'AW Schulen'!$J79)</f>
        <v>0.67177242888402622</v>
      </c>
      <c r="K13" s="153">
        <f>IF('AW Schulen'!$M79=0,"x",F13/'AW Schulen'!$M79)</f>
        <v>0.72807017543859653</v>
      </c>
      <c r="L13" s="154">
        <f>IF('AW Schulen'!$P79=0,"x",G13/'AW Schulen'!$P79)</f>
        <v>0.73614190687361414</v>
      </c>
    </row>
    <row r="14" spans="1:13" ht="9" customHeight="1">
      <c r="A14" s="21" t="s">
        <v>82</v>
      </c>
      <c r="B14" s="120"/>
      <c r="C14" s="198">
        <f t="shared" si="3"/>
        <v>0</v>
      </c>
      <c r="D14" s="198">
        <f t="shared" ref="D14:E14" si="6">SUM(D32,D50,D68)</f>
        <v>0</v>
      </c>
      <c r="E14" s="198">
        <f t="shared" si="6"/>
        <v>0</v>
      </c>
      <c r="F14" s="198">
        <f t="shared" ref="F14:G14" si="7">SUM(F32,F50,F68)</f>
        <v>0</v>
      </c>
      <c r="G14" s="199">
        <f t="shared" si="7"/>
        <v>0</v>
      </c>
      <c r="H14" s="153" t="str">
        <f>IF('AW Schulen'!$D80=0,"x",C14/'AW Schulen'!$D80)</f>
        <v>x</v>
      </c>
      <c r="I14" s="153" t="str">
        <f>IF('AW Schulen'!$G80=0,"x",D14/'AW Schulen'!$G80)</f>
        <v>x</v>
      </c>
      <c r="J14" s="153" t="str">
        <f>IF('AW Schulen'!$J80=0,"x",E14/'AW Schulen'!$J80)</f>
        <v>x</v>
      </c>
      <c r="K14" s="153" t="str">
        <f>IF('AW Schulen'!$M80=0,"x",F14/'AW Schulen'!$M80)</f>
        <v>x</v>
      </c>
      <c r="L14" s="154" t="str">
        <f>IF('AW Schulen'!$P80=0,"x",G14/'AW Schulen'!$P80)</f>
        <v>x</v>
      </c>
    </row>
    <row r="15" spans="1:13" ht="9" customHeight="1">
      <c r="A15" s="21" t="s">
        <v>83</v>
      </c>
      <c r="B15" s="120"/>
      <c r="C15" s="149">
        <f t="shared" si="3"/>
        <v>0</v>
      </c>
      <c r="D15" s="149">
        <f t="shared" ref="D15:E15" si="8">SUM(D33,D51,D69)</f>
        <v>0</v>
      </c>
      <c r="E15" s="149">
        <f t="shared" si="8"/>
        <v>0</v>
      </c>
      <c r="F15" s="149">
        <f t="shared" ref="F15:G15" si="9">SUM(F33,F51,F69)</f>
        <v>0</v>
      </c>
      <c r="G15" s="150">
        <f t="shared" si="9"/>
        <v>0</v>
      </c>
      <c r="H15" s="153" t="str">
        <f>IF('AW Schulen'!$D81=0,"x",C15/'AW Schulen'!$D81)</f>
        <v>x</v>
      </c>
      <c r="I15" s="153" t="str">
        <f>IF('AW Schulen'!$G81=0,"x",D15/'AW Schulen'!$G81)</f>
        <v>x</v>
      </c>
      <c r="J15" s="153" t="str">
        <f>IF('AW Schulen'!$J81=0,"x",E15/'AW Schulen'!$J81)</f>
        <v>x</v>
      </c>
      <c r="K15" s="153" t="str">
        <f>IF('AW Schulen'!$M81=0,"x",F15/'AW Schulen'!$M81)</f>
        <v>x</v>
      </c>
      <c r="L15" s="154" t="str">
        <f>IF('AW Schulen'!$P81=0,"x",G15/'AW Schulen'!$P81)</f>
        <v>x</v>
      </c>
    </row>
    <row r="16" spans="1:13" ht="9" customHeight="1">
      <c r="A16" s="21" t="s">
        <v>84</v>
      </c>
      <c r="B16" s="120"/>
      <c r="C16" s="149">
        <f t="shared" si="3"/>
        <v>0</v>
      </c>
      <c r="D16" s="149">
        <f t="shared" ref="D16:E16" si="10">SUM(D34,D52,D70)</f>
        <v>0</v>
      </c>
      <c r="E16" s="149">
        <f t="shared" si="10"/>
        <v>0</v>
      </c>
      <c r="F16" s="149">
        <f t="shared" ref="F16:G16" si="11">SUM(F34,F52,F70)</f>
        <v>0</v>
      </c>
      <c r="G16" s="150">
        <f t="shared" si="11"/>
        <v>0</v>
      </c>
      <c r="H16" s="153" t="str">
        <f>IF('AW Schulen'!$D82=0,"x",C16/'AW Schulen'!$D82)</f>
        <v>x</v>
      </c>
      <c r="I16" s="153" t="str">
        <f>IF('AW Schulen'!$G82=0,"x",D16/'AW Schulen'!$G82)</f>
        <v>x</v>
      </c>
      <c r="J16" s="153" t="str">
        <f>IF('AW Schulen'!$J82=0,"x",E16/'AW Schulen'!$J82)</f>
        <v>x</v>
      </c>
      <c r="K16" s="153" t="str">
        <f>IF('AW Schulen'!$M82=0,"x",F16/'AW Schulen'!$M82)</f>
        <v>x</v>
      </c>
      <c r="L16" s="154" t="str">
        <f>IF('AW Schulen'!$P82=0,"x",G16/'AW Schulen'!$P82)</f>
        <v>x</v>
      </c>
    </row>
    <row r="17" spans="1:12" ht="9" customHeight="1">
      <c r="A17" s="21" t="s">
        <v>85</v>
      </c>
      <c r="B17" s="120"/>
      <c r="C17" s="149">
        <f t="shared" si="3"/>
        <v>0</v>
      </c>
      <c r="D17" s="149">
        <f t="shared" ref="D17:E17" si="12">SUM(D35,D53,D71)</f>
        <v>0</v>
      </c>
      <c r="E17" s="149">
        <f t="shared" si="12"/>
        <v>0</v>
      </c>
      <c r="F17" s="149">
        <f t="shared" ref="F17:G17" si="13">SUM(F35,F53,F71)</f>
        <v>0</v>
      </c>
      <c r="G17" s="150">
        <f t="shared" si="13"/>
        <v>0</v>
      </c>
      <c r="H17" s="153" t="str">
        <f>IF('AW Schulen'!$D83=0,"x",C17/'AW Schulen'!$D83)</f>
        <v>x</v>
      </c>
      <c r="I17" s="153" t="str">
        <f>IF('AW Schulen'!$G83=0,"x",D17/'AW Schulen'!$G83)</f>
        <v>x</v>
      </c>
      <c r="J17" s="153" t="str">
        <f>IF('AW Schulen'!$J83=0,"x",E17/'AW Schulen'!$J83)</f>
        <v>x</v>
      </c>
      <c r="K17" s="153" t="str">
        <f>IF('AW Schulen'!$M83=0,"x",F17/'AW Schulen'!$M83)</f>
        <v>x</v>
      </c>
      <c r="L17" s="154" t="str">
        <f>IF('AW Schulen'!$P83=0,"x",G17/'AW Schulen'!$P83)</f>
        <v>x</v>
      </c>
    </row>
    <row r="18" spans="1:12" ht="9" customHeight="1">
      <c r="A18" s="21" t="s">
        <v>86</v>
      </c>
      <c r="B18" s="120"/>
      <c r="C18" s="42">
        <f t="shared" si="3"/>
        <v>224</v>
      </c>
      <c r="D18" s="42">
        <f t="shared" ref="D18:E18" si="14">SUM(D36,D54,D72)</f>
        <v>228</v>
      </c>
      <c r="E18" s="42">
        <f t="shared" si="14"/>
        <v>220</v>
      </c>
      <c r="F18" s="42">
        <f t="shared" ref="F18:G18" si="15">SUM(F36,F54,F72)</f>
        <v>217</v>
      </c>
      <c r="G18" s="44">
        <f t="shared" si="15"/>
        <v>206</v>
      </c>
      <c r="H18" s="182">
        <v>0</v>
      </c>
      <c r="I18" s="182">
        <v>0</v>
      </c>
      <c r="J18" s="182">
        <v>0</v>
      </c>
      <c r="K18" s="182">
        <v>0</v>
      </c>
      <c r="L18" s="196">
        <v>0</v>
      </c>
    </row>
    <row r="19" spans="1:12" ht="9" customHeight="1">
      <c r="A19" s="21" t="s">
        <v>87</v>
      </c>
      <c r="B19" s="120"/>
      <c r="C19" s="149">
        <f t="shared" si="3"/>
        <v>0</v>
      </c>
      <c r="D19" s="149">
        <f t="shared" ref="D19:E19" si="16">SUM(D37,D55,D73)</f>
        <v>0</v>
      </c>
      <c r="E19" s="149">
        <f t="shared" si="16"/>
        <v>0</v>
      </c>
      <c r="F19" s="149">
        <f t="shared" ref="F19:G19" si="17">SUM(F37,F55,F73)</f>
        <v>0</v>
      </c>
      <c r="G19" s="150">
        <f t="shared" si="17"/>
        <v>0</v>
      </c>
      <c r="H19" s="153" t="str">
        <f>IF('AW Schulen'!$D85=0,"x",C19/'AW Schulen'!$D85)</f>
        <v>x</v>
      </c>
      <c r="I19" s="153" t="str">
        <f>IF('AW Schulen'!$G85=0,"x",D19/'AW Schulen'!$G85)</f>
        <v>x</v>
      </c>
      <c r="J19" s="153" t="str">
        <f>IF('AW Schulen'!$J85=0,"x",E19/'AW Schulen'!$J85)</f>
        <v>x</v>
      </c>
      <c r="K19" s="153" t="str">
        <f>IF('AW Schulen'!$M85=0,"x",F19/'AW Schulen'!$M85)</f>
        <v>x</v>
      </c>
      <c r="L19" s="154" t="str">
        <f>IF('AW Schulen'!$P85=0,"x",G19/'AW Schulen'!$P85)</f>
        <v>x</v>
      </c>
    </row>
    <row r="20" spans="1:12" ht="9" customHeight="1">
      <c r="A20" s="21" t="s">
        <v>88</v>
      </c>
      <c r="B20" s="120"/>
      <c r="C20" s="42">
        <f t="shared" si="3"/>
        <v>330</v>
      </c>
      <c r="D20" s="42">
        <f t="shared" ref="D20:E20" si="18">SUM(D38,D56,D74)</f>
        <v>333</v>
      </c>
      <c r="E20" s="42">
        <f t="shared" si="18"/>
        <v>327</v>
      </c>
      <c r="F20" s="42">
        <f t="shared" ref="F20:G20" si="19">SUM(F38,F56,F74)</f>
        <v>315</v>
      </c>
      <c r="G20" s="44">
        <f t="shared" si="19"/>
        <v>217</v>
      </c>
      <c r="H20" s="182">
        <v>0</v>
      </c>
      <c r="I20" s="182">
        <v>0</v>
      </c>
      <c r="J20" s="182">
        <v>0</v>
      </c>
      <c r="K20" s="182">
        <v>0</v>
      </c>
      <c r="L20" s="196">
        <v>0</v>
      </c>
    </row>
    <row r="21" spans="1:12" ht="9" customHeight="1">
      <c r="A21" s="21" t="s">
        <v>89</v>
      </c>
      <c r="B21" s="120"/>
      <c r="C21" s="42">
        <f t="shared" si="3"/>
        <v>122</v>
      </c>
      <c r="D21" s="42">
        <f t="shared" ref="D21:E21" si="20">SUM(D39,D57,D75)</f>
        <v>127</v>
      </c>
      <c r="E21" s="42">
        <f t="shared" si="20"/>
        <v>131</v>
      </c>
      <c r="F21" s="42">
        <f t="shared" ref="F21:G21" si="21">SUM(F39,F57,F75)</f>
        <v>131</v>
      </c>
      <c r="G21" s="44">
        <f t="shared" si="21"/>
        <v>128</v>
      </c>
      <c r="H21" s="153">
        <f>IF('AW Schulen'!$D87=0,"x",C21/'AW Schulen'!$D87)</f>
        <v>0.21631205673758866</v>
      </c>
      <c r="I21" s="153">
        <f>IF('AW Schulen'!$G87=0,"x",D21/'AW Schulen'!$G87)</f>
        <v>0.22438162544169613</v>
      </c>
      <c r="J21" s="153">
        <f>IF('AW Schulen'!$J87=0,"x",E21/'AW Schulen'!$J87)</f>
        <v>0.23268206039076378</v>
      </c>
      <c r="K21" s="153">
        <f>IF('AW Schulen'!$M87=0,"x",F21/'AW Schulen'!$M87)</f>
        <v>0.23434704830053668</v>
      </c>
      <c r="L21" s="154">
        <f>IF('AW Schulen'!$P87=0,"x",G21/'AW Schulen'!$P87)</f>
        <v>0.23791821561338289</v>
      </c>
    </row>
    <row r="22" spans="1:12" ht="9" customHeight="1">
      <c r="A22" s="21" t="s">
        <v>90</v>
      </c>
      <c r="B22" s="120"/>
      <c r="C22" s="42">
        <f t="shared" si="3"/>
        <v>5</v>
      </c>
      <c r="D22" s="42">
        <f t="shared" ref="D22:E22" si="22">SUM(D40,D58,D76)</f>
        <v>3</v>
      </c>
      <c r="E22" s="42">
        <f t="shared" si="22"/>
        <v>3</v>
      </c>
      <c r="F22" s="42">
        <f t="shared" ref="F22:G22" si="23">SUM(F40,F58,F76)</f>
        <v>3</v>
      </c>
      <c r="G22" s="44">
        <f t="shared" si="23"/>
        <v>3</v>
      </c>
      <c r="H22" s="153">
        <f>IF('AW Schulen'!$D88=0,"x",C22/'AW Schulen'!$D88)</f>
        <v>0.27777777777777779</v>
      </c>
      <c r="I22" s="153">
        <f>IF('AW Schulen'!$G88=0,"x",D22/'AW Schulen'!$G88)</f>
        <v>0.27272727272727271</v>
      </c>
      <c r="J22" s="153">
        <f>IF('AW Schulen'!$J88=0,"x",E22/'AW Schulen'!$J88)</f>
        <v>0.3</v>
      </c>
      <c r="K22" s="153">
        <f>IF('AW Schulen'!$M88=0,"x",F22/'AW Schulen'!$M88)</f>
        <v>0.33333333333333331</v>
      </c>
      <c r="L22" s="154">
        <f>IF('AW Schulen'!$P88=0,"x",G22/'AW Schulen'!$P88)</f>
        <v>0.33333333333333331</v>
      </c>
    </row>
    <row r="23" spans="1:12" ht="9" customHeight="1">
      <c r="A23" s="21" t="s">
        <v>91</v>
      </c>
      <c r="B23" s="120"/>
      <c r="C23" s="42">
        <f t="shared" si="3"/>
        <v>3</v>
      </c>
      <c r="D23" s="42">
        <f t="shared" ref="D23:E23" si="24">SUM(D41,D59,D77)</f>
        <v>3</v>
      </c>
      <c r="E23" s="42">
        <f t="shared" si="24"/>
        <v>3</v>
      </c>
      <c r="F23" s="42">
        <f t="shared" ref="F23:G23" si="25">SUM(F41,F59,F77)</f>
        <v>3</v>
      </c>
      <c r="G23" s="44">
        <f t="shared" si="25"/>
        <v>2</v>
      </c>
      <c r="H23" s="153">
        <f>IF('AW Schulen'!$D89=0,"x",C23/'AW Schulen'!$D89)</f>
        <v>1</v>
      </c>
      <c r="I23" s="153">
        <f>IF('AW Schulen'!$G89=0,"x",D23/'AW Schulen'!$G89)</f>
        <v>1</v>
      </c>
      <c r="J23" s="153">
        <f>IF('AW Schulen'!$J89=0,"x",E23/'AW Schulen'!$J89)</f>
        <v>1</v>
      </c>
      <c r="K23" s="153">
        <f>IF('AW Schulen'!$M89=0,"x",F23/'AW Schulen'!$M89)</f>
        <v>1</v>
      </c>
      <c r="L23" s="154">
        <f>IF('AW Schulen'!$P89=0,"x",G23/'AW Schulen'!$P89)</f>
        <v>1</v>
      </c>
    </row>
    <row r="24" spans="1:12" ht="9" customHeight="1">
      <c r="A24" s="21" t="s">
        <v>92</v>
      </c>
      <c r="B24" s="120"/>
      <c r="C24" s="198">
        <f t="shared" si="3"/>
        <v>0</v>
      </c>
      <c r="D24" s="198">
        <f t="shared" ref="D24:E24" si="26">SUM(D42,D60,D78)</f>
        <v>0</v>
      </c>
      <c r="E24" s="198">
        <f t="shared" si="26"/>
        <v>0</v>
      </c>
      <c r="F24" s="198">
        <f t="shared" ref="F24:G24" si="27">SUM(F42,F60,F78)</f>
        <v>0</v>
      </c>
      <c r="G24" s="199">
        <f t="shared" si="27"/>
        <v>0</v>
      </c>
      <c r="H24" s="153" t="str">
        <f>IF('AW Schulen'!$D90=0,"x",C24/'AW Schulen'!$D90)</f>
        <v>x</v>
      </c>
      <c r="I24" s="153" t="str">
        <f>IF('AW Schulen'!$G90=0,"x",D24/'AW Schulen'!$G90)</f>
        <v>x</v>
      </c>
      <c r="J24" s="153" t="str">
        <f>IF('AW Schulen'!$J90=0,"x",E24/'AW Schulen'!$J90)</f>
        <v>x</v>
      </c>
      <c r="K24" s="153" t="str">
        <f>IF('AW Schulen'!$M90=0,"x",F24/'AW Schulen'!$M90)</f>
        <v>x</v>
      </c>
      <c r="L24" s="154" t="str">
        <f>IF('AW Schulen'!$P90=0,"x",G24/'AW Schulen'!$P90)</f>
        <v>x</v>
      </c>
    </row>
    <row r="25" spans="1:12" ht="9" customHeight="1">
      <c r="A25" s="21" t="s">
        <v>93</v>
      </c>
      <c r="B25" s="120"/>
      <c r="C25" s="198">
        <f t="shared" si="3"/>
        <v>0</v>
      </c>
      <c r="D25" s="198">
        <f t="shared" ref="D25:E25" si="28">SUM(D43,D61,D79)</f>
        <v>0</v>
      </c>
      <c r="E25" s="198">
        <f t="shared" si="28"/>
        <v>0</v>
      </c>
      <c r="F25" s="198">
        <f t="shared" ref="F25:G25" si="29">SUM(F43,F61,F79)</f>
        <v>0</v>
      </c>
      <c r="G25" s="199">
        <f t="shared" si="29"/>
        <v>0</v>
      </c>
      <c r="H25" s="153" t="str">
        <f>IF('AW Schulen'!$D91=0,"x",C25/'AW Schulen'!$D91)</f>
        <v>x</v>
      </c>
      <c r="I25" s="153" t="str">
        <f>IF('AW Schulen'!$G91=0,"x",D25/'AW Schulen'!$G91)</f>
        <v>x</v>
      </c>
      <c r="J25" s="153" t="str">
        <f>IF('AW Schulen'!$G91=0,"x",E25/'AW Schulen'!$G91)</f>
        <v>x</v>
      </c>
      <c r="K25" s="153" t="str">
        <f>IF('AW Schulen'!$G91=0,"x",F25/'AW Schulen'!$G91)</f>
        <v>x</v>
      </c>
      <c r="L25" s="154" t="str">
        <f>IF('AW Schulen'!$G91=0,"x",G25/'AW Schulen'!$G91)</f>
        <v>x</v>
      </c>
    </row>
    <row r="26" spans="1:12" ht="9" customHeight="1">
      <c r="A26" s="21" t="s">
        <v>94</v>
      </c>
      <c r="B26" s="120"/>
      <c r="C26" s="42">
        <f t="shared" si="3"/>
        <v>127</v>
      </c>
      <c r="D26" s="42">
        <f t="shared" ref="D26:E26" si="30">SUM(D44,D62,D80)</f>
        <v>69</v>
      </c>
      <c r="E26" s="42">
        <f t="shared" si="30"/>
        <v>24</v>
      </c>
      <c r="F26" s="42">
        <f t="shared" ref="F26:G26" si="31">SUM(F44,F62,F80)</f>
        <v>0</v>
      </c>
      <c r="G26" s="199">
        <f t="shared" si="31"/>
        <v>0</v>
      </c>
      <c r="H26" s="153">
        <f>IF('AW Schulen'!$D92=0,"x",C26/'AW Schulen'!$D92)</f>
        <v>0.85810810810810811</v>
      </c>
      <c r="I26" s="153">
        <f>IF('AW Schulen'!$G92=0,"x",D26/'AW Schulen'!$G92)</f>
        <v>0.88461538461538458</v>
      </c>
      <c r="J26" s="153">
        <f>IF('AW Schulen'!$J92=0,"x",E26/'AW Schulen'!$J92)</f>
        <v>0.8</v>
      </c>
      <c r="K26" s="153">
        <f>IF('AW Schulen'!$M92=0,"x",F26/'AW Schulen'!$M92)</f>
        <v>0</v>
      </c>
      <c r="L26" s="154" t="str">
        <f>IF('AW Schulen'!$P92=0,"x",G26/'AW Schulen'!$P92)</f>
        <v>x</v>
      </c>
    </row>
    <row r="27" spans="1:12" ht="9" customHeight="1">
      <c r="A27" s="21" t="s">
        <v>95</v>
      </c>
      <c r="B27" s="120"/>
      <c r="C27" s="198">
        <f t="shared" si="3"/>
        <v>0</v>
      </c>
      <c r="D27" s="198">
        <f t="shared" ref="D27:E27" si="32">SUM(D45,D63,D81)</f>
        <v>0</v>
      </c>
      <c r="E27" s="198">
        <f t="shared" si="32"/>
        <v>0</v>
      </c>
      <c r="F27" s="198">
        <f t="shared" ref="F27:G27" si="33">SUM(F45,F63,F81)</f>
        <v>0</v>
      </c>
      <c r="G27" s="199">
        <f t="shared" si="33"/>
        <v>0</v>
      </c>
      <c r="H27" s="153" t="str">
        <f>IF('AW Schulen'!$D93=0,"x",C27/'AW Schulen'!$D93)</f>
        <v>x</v>
      </c>
      <c r="I27" s="153" t="str">
        <f>IF('AW Schulen'!$G93=0,"x",D27/'AW Schulen'!$G93)</f>
        <v>x</v>
      </c>
      <c r="J27" s="153" t="str">
        <f>IF('AW Schulen'!$J93=0,"x",E27/'AW Schulen'!$J93)</f>
        <v>x</v>
      </c>
      <c r="K27" s="153" t="str">
        <f>IF('AW Schulen'!$M93=0,"x",F27/'AW Schulen'!$M93)</f>
        <v>x</v>
      </c>
      <c r="L27" s="154" t="str">
        <f>IF('AW Schulen'!$P93=0,"x",G27/'AW Schulen'!$P93)</f>
        <v>x</v>
      </c>
    </row>
    <row r="28" spans="1:12" ht="9" customHeight="1">
      <c r="A28" s="21" t="s">
        <v>96</v>
      </c>
      <c r="B28" s="120"/>
      <c r="C28" s="42">
        <f t="shared" si="3"/>
        <v>1255</v>
      </c>
      <c r="D28" s="42">
        <f t="shared" ref="D28:E28" si="34">SUM(D46,D64,D82)</f>
        <v>1222</v>
      </c>
      <c r="E28" s="42">
        <f t="shared" si="34"/>
        <v>1183</v>
      </c>
      <c r="F28" s="42">
        <f t="shared" ref="F28:G28" si="35">SUM(F46,F64,F82)</f>
        <v>1181</v>
      </c>
      <c r="G28" s="44">
        <f t="shared" si="35"/>
        <v>1085</v>
      </c>
      <c r="H28" s="153">
        <f>IF('AW Schulen'!$D94=0,"x",C28/'AW Schulen'!$D94)</f>
        <v>0.52161263507896927</v>
      </c>
      <c r="I28" s="153">
        <f>IF('AW Schulen'!$G94=0,"x",D28/'AW Schulen'!$G94)</f>
        <v>0.52378911273039008</v>
      </c>
      <c r="J28" s="153">
        <f>IF('AW Schulen'!$J94=0,"x",E28/'AW Schulen'!$J94)</f>
        <v>0.52414709791758973</v>
      </c>
      <c r="K28" s="153">
        <f>IF('AW Schulen'!$M94=0,"x",F28/'AW Schulen'!$M94)</f>
        <v>0.5365742844161745</v>
      </c>
      <c r="L28" s="154">
        <f>IF('AW Schulen'!$P94=0,"x",G28/'AW Schulen'!$P94)</f>
        <v>0.53580246913580243</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'2.2.5'!C30+'2.3.5'!C30</f>
        <v>26</v>
      </c>
      <c r="D30" s="23">
        <f>'2.2.5'!D30+'2.3.5'!D30</f>
        <v>26</v>
      </c>
      <c r="E30" s="23">
        <f>'2.2.5'!E30+'2.3.5'!E30</f>
        <v>25</v>
      </c>
      <c r="F30" s="23">
        <f>'2.2.5'!F30+'2.3.5'!F30</f>
        <v>27</v>
      </c>
      <c r="G30" s="34">
        <f>'2.2.5'!G30+'2.3.5'!G30</f>
        <v>26</v>
      </c>
      <c r="H30" s="155">
        <f>IF('AW Schulen'!$D78=0,"x",C30/'AW Schulen'!$D78)</f>
        <v>5.168986083499006E-2</v>
      </c>
      <c r="I30" s="155">
        <f>IF('AW Schulen'!$G78=0,"x",D30/'AW Schulen'!$G78)</f>
        <v>5.168986083499006E-2</v>
      </c>
      <c r="J30" s="155">
        <f>IF('AW Schulen'!$J78=0,"x",E30/'AW Schulen'!$J78)</f>
        <v>4.9701789264413522E-2</v>
      </c>
      <c r="K30" s="155">
        <f>IF('AW Schulen'!$M78=0,"x",F30/'AW Schulen'!$M78)</f>
        <v>5.3254437869822487E-2</v>
      </c>
      <c r="L30" s="156">
        <f>IF('AW Schulen'!$P78=0,"x",G30/'AW Schulen'!$P78)</f>
        <v>5.0980392156862744E-2</v>
      </c>
    </row>
    <row r="31" spans="1:12" ht="9" customHeight="1">
      <c r="A31" s="21" t="s">
        <v>81</v>
      </c>
      <c r="B31" s="120"/>
      <c r="C31" s="23">
        <f>'2.2.5'!C31+'2.3.5'!C31</f>
        <v>13</v>
      </c>
      <c r="D31" s="23">
        <f>'2.2.5'!D31+'2.3.5'!D31</f>
        <v>16</v>
      </c>
      <c r="E31" s="23">
        <f>'2.2.5'!E31+'2.3.5'!E31</f>
        <v>17</v>
      </c>
      <c r="F31" s="23">
        <f>'2.2.5'!F31+'2.3.5'!F31</f>
        <v>17</v>
      </c>
      <c r="G31" s="34">
        <f>'2.2.5'!G31+'2.3.5'!G31</f>
        <v>17</v>
      </c>
      <c r="H31" s="155">
        <f>IF('AW Schulen'!$D79=0,"x",C31/'AW Schulen'!$D79)</f>
        <v>2.8824833702882482E-2</v>
      </c>
      <c r="I31" s="155">
        <f>IF('AW Schulen'!$G79=0,"x",D31/'AW Schulen'!$G79)</f>
        <v>3.4934497816593885E-2</v>
      </c>
      <c r="J31" s="155">
        <f>IF('AW Schulen'!$J79=0,"x",E31/'AW Schulen'!$J79)</f>
        <v>3.7199124726477024E-2</v>
      </c>
      <c r="K31" s="155">
        <f>IF('AW Schulen'!$M79=0,"x",F31/'AW Schulen'!$M79)</f>
        <v>3.7280701754385963E-2</v>
      </c>
      <c r="L31" s="156">
        <f>IF('AW Schulen'!$P79=0,"x",G31/'AW Schulen'!$P79)</f>
        <v>3.7694013303769404E-2</v>
      </c>
    </row>
    <row r="32" spans="1:12" ht="9" customHeight="1">
      <c r="A32" s="21" t="s">
        <v>82</v>
      </c>
      <c r="B32" s="120"/>
      <c r="C32" s="193">
        <f>'2.2.5'!C32+'2.3.5'!C32</f>
        <v>0</v>
      </c>
      <c r="D32" s="193">
        <f>'2.2.5'!D32+'2.3.5'!D32</f>
        <v>0</v>
      </c>
      <c r="E32" s="193">
        <f>'2.2.5'!E32+'2.3.5'!E32</f>
        <v>0</v>
      </c>
      <c r="F32" s="193">
        <f>'2.2.5'!F32+'2.3.5'!F32</f>
        <v>0</v>
      </c>
      <c r="G32" s="194">
        <f>'2.2.5'!G32+'2.3.5'!G32</f>
        <v>0</v>
      </c>
      <c r="H32" s="155" t="str">
        <f>IF('AW Schulen'!$D80=0,"x",C32/'AW Schulen'!$D80)</f>
        <v>x</v>
      </c>
      <c r="I32" s="155" t="str">
        <f>IF('AW Schulen'!$G80=0,"x",D32/'AW Schulen'!$G80)</f>
        <v>x</v>
      </c>
      <c r="J32" s="155" t="str">
        <f>IF('AW Schulen'!$J80=0,"x",E32/'AW Schulen'!$J80)</f>
        <v>x</v>
      </c>
      <c r="K32" s="155" t="str">
        <f>IF('AW Schulen'!$M80=0,"x",F32/'AW Schulen'!$M80)</f>
        <v>x</v>
      </c>
      <c r="L32" s="156" t="str">
        <f>IF('AW Schulen'!$P80=0,"x",G32/'AW Schulen'!$P80)</f>
        <v>x</v>
      </c>
    </row>
    <row r="33" spans="1:12" ht="9" customHeight="1">
      <c r="A33" s="21" t="s">
        <v>83</v>
      </c>
      <c r="B33" s="120"/>
      <c r="C33" s="151">
        <f>'2.2.5'!C33+'2.3.5'!C33</f>
        <v>0</v>
      </c>
      <c r="D33" s="151">
        <f>'2.2.5'!D33+'2.3.5'!D33</f>
        <v>0</v>
      </c>
      <c r="E33" s="151">
        <f>'2.2.5'!E33+'2.3.5'!E33</f>
        <v>0</v>
      </c>
      <c r="F33" s="151">
        <f>'2.2.5'!F33+'2.3.5'!F33</f>
        <v>0</v>
      </c>
      <c r="G33" s="152">
        <f>'2.2.5'!G33+'2.3.5'!G33</f>
        <v>0</v>
      </c>
      <c r="H33" s="155" t="str">
        <f>IF('AW Schulen'!$D81=0,"x",C33/'AW Schulen'!$D81)</f>
        <v>x</v>
      </c>
      <c r="I33" s="155" t="str">
        <f>IF('AW Schulen'!$G81=0,"x",D33/'AW Schulen'!$G81)</f>
        <v>x</v>
      </c>
      <c r="J33" s="155" t="str">
        <f>IF('AW Schulen'!$J81=0,"x",E33/'AW Schulen'!$J81)</f>
        <v>x</v>
      </c>
      <c r="K33" s="155" t="str">
        <f>IF('AW Schulen'!$M81=0,"x",F33/'AW Schulen'!$M81)</f>
        <v>x</v>
      </c>
      <c r="L33" s="156" t="str">
        <f>IF('AW Schulen'!$P81=0,"x",G33/'AW Schulen'!$P81)</f>
        <v>x</v>
      </c>
    </row>
    <row r="34" spans="1:12" ht="9" customHeight="1">
      <c r="A34" s="21" t="s">
        <v>84</v>
      </c>
      <c r="B34" s="120"/>
      <c r="C34" s="151">
        <f>'2.2.5'!C34+'2.3.5'!C34</f>
        <v>0</v>
      </c>
      <c r="D34" s="151">
        <f>'2.2.5'!D34+'2.3.5'!D34</f>
        <v>0</v>
      </c>
      <c r="E34" s="151">
        <f>'2.2.5'!E34+'2.3.5'!E34</f>
        <v>0</v>
      </c>
      <c r="F34" s="151">
        <f>'2.2.5'!F34+'2.3.5'!F34</f>
        <v>0</v>
      </c>
      <c r="G34" s="152">
        <f>'2.2.5'!G34+'2.3.5'!G34</f>
        <v>0</v>
      </c>
      <c r="H34" s="155" t="str">
        <f>IF('AW Schulen'!$D82=0,"x",C34/'AW Schulen'!$D82)</f>
        <v>x</v>
      </c>
      <c r="I34" s="155" t="str">
        <f>IF('AW Schulen'!$G82=0,"x",D34/'AW Schulen'!$G82)</f>
        <v>x</v>
      </c>
      <c r="J34" s="155" t="str">
        <f>IF('AW Schulen'!$J82=0,"x",E34/'AW Schulen'!$J82)</f>
        <v>x</v>
      </c>
      <c r="K34" s="155" t="str">
        <f>IF('AW Schulen'!$M82=0,"x",F34/'AW Schulen'!$M82)</f>
        <v>x</v>
      </c>
      <c r="L34" s="156" t="str">
        <f>IF('AW Schulen'!$P82=0,"x",G34/'AW Schulen'!$P82)</f>
        <v>x</v>
      </c>
    </row>
    <row r="35" spans="1:12" ht="9" customHeight="1">
      <c r="A35" s="21" t="s">
        <v>85</v>
      </c>
      <c r="B35" s="120"/>
      <c r="C35" s="151">
        <f>'2.2.5'!C35+'2.3.5'!C35</f>
        <v>0</v>
      </c>
      <c r="D35" s="151">
        <f>'2.2.5'!D35+'2.3.5'!D35</f>
        <v>0</v>
      </c>
      <c r="E35" s="151">
        <f>'2.2.5'!E35+'2.3.5'!E35</f>
        <v>0</v>
      </c>
      <c r="F35" s="151">
        <f>'2.2.5'!F35+'2.3.5'!F35</f>
        <v>0</v>
      </c>
      <c r="G35" s="152">
        <f>'2.2.5'!G35+'2.3.5'!G35</f>
        <v>0</v>
      </c>
      <c r="H35" s="155" t="str">
        <f>IF('AW Schulen'!$D83=0,"x",C35/'AW Schulen'!$D83)</f>
        <v>x</v>
      </c>
      <c r="I35" s="155" t="str">
        <f>IF('AW Schulen'!$G83=0,"x",D35/'AW Schulen'!$G83)</f>
        <v>x</v>
      </c>
      <c r="J35" s="155" t="str">
        <f>IF('AW Schulen'!$J83=0,"x",E35/'AW Schulen'!$J83)</f>
        <v>x</v>
      </c>
      <c r="K35" s="155" t="str">
        <f>IF('AW Schulen'!$M83=0,"x",F35/'AW Schulen'!$M83)</f>
        <v>x</v>
      </c>
      <c r="L35" s="156" t="str">
        <f>IF('AW Schulen'!$P83=0,"x",G35/'AW Schulen'!$P83)</f>
        <v>x</v>
      </c>
    </row>
    <row r="36" spans="1:12" ht="9" customHeight="1">
      <c r="A36" s="21" t="s">
        <v>86</v>
      </c>
      <c r="B36" s="120"/>
      <c r="C36" s="23">
        <f>'2.2.5'!C36+'2.3.5'!C36</f>
        <v>4</v>
      </c>
      <c r="D36" s="23">
        <f>'2.2.5'!D36+'2.3.5'!D36</f>
        <v>4</v>
      </c>
      <c r="E36" s="23">
        <f>'2.2.5'!E36+'2.3.5'!E36</f>
        <v>4</v>
      </c>
      <c r="F36" s="23">
        <f>'2.2.5'!F36+'2.3.5'!F36</f>
        <v>5</v>
      </c>
      <c r="G36" s="34">
        <f>'2.2.5'!G36+'2.3.5'!G36</f>
        <v>6</v>
      </c>
      <c r="H36" s="183">
        <v>0</v>
      </c>
      <c r="I36" s="183">
        <v>0</v>
      </c>
      <c r="J36" s="183">
        <v>0</v>
      </c>
      <c r="K36" s="183">
        <v>0</v>
      </c>
      <c r="L36" s="197">
        <v>0</v>
      </c>
    </row>
    <row r="37" spans="1:12" ht="9" customHeight="1">
      <c r="A37" s="21" t="s">
        <v>87</v>
      </c>
      <c r="B37" s="120"/>
      <c r="C37" s="151">
        <f>'2.2.5'!C37+'2.3.5'!C37</f>
        <v>0</v>
      </c>
      <c r="D37" s="151">
        <f>'2.2.5'!D37+'2.3.5'!D37</f>
        <v>0</v>
      </c>
      <c r="E37" s="151">
        <f>'2.2.5'!E37+'2.3.5'!E37</f>
        <v>0</v>
      </c>
      <c r="F37" s="151">
        <f>'2.2.5'!F37+'2.3.5'!F37</f>
        <v>0</v>
      </c>
      <c r="G37" s="152">
        <f>'2.2.5'!G37+'2.3.5'!G37</f>
        <v>0</v>
      </c>
      <c r="H37" s="155" t="str">
        <f>IF('AW Schulen'!$D85=0,"x",C37/'AW Schulen'!$D85)</f>
        <v>x</v>
      </c>
      <c r="I37" s="155" t="str">
        <f>IF('AW Schulen'!$G85=0,"x",D37/'AW Schulen'!$G85)</f>
        <v>x</v>
      </c>
      <c r="J37" s="155" t="str">
        <f>IF('AW Schulen'!$J85=0,"x",E37/'AW Schulen'!$J85)</f>
        <v>x</v>
      </c>
      <c r="K37" s="155" t="str">
        <f>IF('AW Schulen'!$M85=0,"x",F37/'AW Schulen'!$M85)</f>
        <v>x</v>
      </c>
      <c r="L37" s="156" t="str">
        <f>IF('AW Schulen'!$P85=0,"x",G37/'AW Schulen'!$P85)</f>
        <v>x</v>
      </c>
    </row>
    <row r="38" spans="1:12" ht="9" customHeight="1">
      <c r="A38" s="21" t="s">
        <v>88</v>
      </c>
      <c r="B38" s="120"/>
      <c r="C38" s="23">
        <f>'2.2.5'!C38+'2.3.5'!C38</f>
        <v>12</v>
      </c>
      <c r="D38" s="23">
        <f>'2.2.5'!D38+'2.3.5'!D38</f>
        <v>16</v>
      </c>
      <c r="E38" s="23">
        <f>'2.2.5'!E38+'2.3.5'!E38</f>
        <v>10</v>
      </c>
      <c r="F38" s="23">
        <f>'2.2.5'!F38+'2.3.5'!F38</f>
        <v>6</v>
      </c>
      <c r="G38" s="34">
        <f>'2.2.5'!G38+'2.3.5'!G38</f>
        <v>5</v>
      </c>
      <c r="H38" s="183">
        <v>0</v>
      </c>
      <c r="I38" s="183">
        <v>0</v>
      </c>
      <c r="J38" s="183">
        <v>0</v>
      </c>
      <c r="K38" s="183">
        <v>0</v>
      </c>
      <c r="L38" s="197">
        <v>0</v>
      </c>
    </row>
    <row r="39" spans="1:12" ht="9" customHeight="1">
      <c r="A39" s="21" t="s">
        <v>89</v>
      </c>
      <c r="B39" s="120"/>
      <c r="C39" s="23">
        <f>'2.2.5'!C39+'2.3.5'!C39</f>
        <v>122</v>
      </c>
      <c r="D39" s="23">
        <f>'2.2.5'!D39+'2.3.5'!D39</f>
        <v>127</v>
      </c>
      <c r="E39" s="23">
        <f>'2.2.5'!E39+'2.3.5'!E39</f>
        <v>131</v>
      </c>
      <c r="F39" s="23">
        <f>'2.2.5'!F39+'2.3.5'!F39</f>
        <v>131</v>
      </c>
      <c r="G39" s="34">
        <f>'2.2.5'!G39+'2.3.5'!G39</f>
        <v>128</v>
      </c>
      <c r="H39" s="155">
        <f>IF('AW Schulen'!$D87=0,"x",C39/'AW Schulen'!$D87)</f>
        <v>0.21631205673758866</v>
      </c>
      <c r="I39" s="155">
        <f>IF('AW Schulen'!$G87=0,"x",D39/'AW Schulen'!$G87)</f>
        <v>0.22438162544169613</v>
      </c>
      <c r="J39" s="155">
        <f>IF('AW Schulen'!$J87=0,"x",E39/'AW Schulen'!$J87)</f>
        <v>0.23268206039076378</v>
      </c>
      <c r="K39" s="155">
        <f>IF('AW Schulen'!$M87=0,"x",F39/'AW Schulen'!$M87)</f>
        <v>0.23434704830053668</v>
      </c>
      <c r="L39" s="156">
        <f>IF('AW Schulen'!$P87=0,"x",G39/'AW Schulen'!$P87)</f>
        <v>0.23791821561338289</v>
      </c>
    </row>
    <row r="40" spans="1:12" ht="9" customHeight="1">
      <c r="A40" s="21" t="s">
        <v>90</v>
      </c>
      <c r="B40" s="120"/>
      <c r="C40" s="23">
        <f>'2.2.5'!C40+'2.3.5'!C40</f>
        <v>0</v>
      </c>
      <c r="D40" s="23">
        <f>'2.2.5'!D40+'2.3.5'!D40</f>
        <v>0</v>
      </c>
      <c r="E40" s="23">
        <f>'2.2.5'!E40+'2.3.5'!E40</f>
        <v>0</v>
      </c>
      <c r="F40" s="23">
        <f>'2.2.5'!F40+'2.3.5'!F40</f>
        <v>0</v>
      </c>
      <c r="G40" s="34">
        <f>'2.2.5'!G40+'2.3.5'!G40</f>
        <v>0</v>
      </c>
      <c r="H40" s="155">
        <f>IF('AW Schulen'!$D88=0,"x",C40/'AW Schulen'!$D88)</f>
        <v>0</v>
      </c>
      <c r="I40" s="155">
        <f>IF('AW Schulen'!$G88=0,"x",D40/'AW Schulen'!$G88)</f>
        <v>0</v>
      </c>
      <c r="J40" s="155">
        <f>IF('AW Schulen'!$J88=0,"x",E40/'AW Schulen'!$J88)</f>
        <v>0</v>
      </c>
      <c r="K40" s="155">
        <f>IF('AW Schulen'!$M88=0,"x",F40/'AW Schulen'!$M88)</f>
        <v>0</v>
      </c>
      <c r="L40" s="156">
        <f>IF('AW Schulen'!$P88=0,"x",G40/'AW Schulen'!$P88)</f>
        <v>0</v>
      </c>
    </row>
    <row r="41" spans="1:12" ht="9" customHeight="1">
      <c r="A41" s="21" t="s">
        <v>91</v>
      </c>
      <c r="B41" s="120"/>
      <c r="C41" s="23">
        <f>'2.2.5'!C41+'2.3.5'!C41</f>
        <v>0</v>
      </c>
      <c r="D41" s="23">
        <f>'2.2.5'!D41+'2.3.5'!D41</f>
        <v>0</v>
      </c>
      <c r="E41" s="23">
        <f>'2.2.5'!E41+'2.3.5'!E41</f>
        <v>0</v>
      </c>
      <c r="F41" s="23">
        <f>'2.2.5'!F41+'2.3.5'!F41</f>
        <v>0</v>
      </c>
      <c r="G41" s="34">
        <f>'2.2.5'!G41+'2.3.5'!G41</f>
        <v>0</v>
      </c>
      <c r="H41" s="155">
        <f>IF('AW Schulen'!$D89=0,"x",C41/'AW Schulen'!$D89)</f>
        <v>0</v>
      </c>
      <c r="I41" s="155">
        <f>IF('AW Schulen'!$G89=0,"x",D41/'AW Schulen'!$G89)</f>
        <v>0</v>
      </c>
      <c r="J41" s="155">
        <f>IF('AW Schulen'!$J89=0,"x",E41/'AW Schulen'!$J89)</f>
        <v>0</v>
      </c>
      <c r="K41" s="155">
        <f>IF('AW Schulen'!$M89=0,"x",F41/'AW Schulen'!$M89)</f>
        <v>0</v>
      </c>
      <c r="L41" s="156">
        <f>IF('AW Schulen'!$P89=0,"x",G41/'AW Schulen'!$P89)</f>
        <v>0</v>
      </c>
    </row>
    <row r="42" spans="1:12" ht="9" customHeight="1">
      <c r="A42" s="21" t="s">
        <v>92</v>
      </c>
      <c r="B42" s="120"/>
      <c r="C42" s="193">
        <f>'2.2.5'!C42+'2.3.5'!C42</f>
        <v>0</v>
      </c>
      <c r="D42" s="193">
        <f>'2.2.5'!D42+'2.3.5'!D42</f>
        <v>0</v>
      </c>
      <c r="E42" s="193">
        <f>'2.2.5'!E42+'2.3.5'!E42</f>
        <v>0</v>
      </c>
      <c r="F42" s="193">
        <f>'2.2.5'!F42+'2.3.5'!F42</f>
        <v>0</v>
      </c>
      <c r="G42" s="194">
        <f>'2.2.5'!G42+'2.3.5'!G42</f>
        <v>0</v>
      </c>
      <c r="H42" s="155" t="str">
        <f>IF('AW Schulen'!$D90=0,"x",C42/'AW Schulen'!$D90)</f>
        <v>x</v>
      </c>
      <c r="I42" s="155" t="str">
        <f>IF('AW Schulen'!$G90=0,"x",D42/'AW Schulen'!$G90)</f>
        <v>x</v>
      </c>
      <c r="J42" s="155" t="str">
        <f>IF('AW Schulen'!$J90=0,"x",E42/'AW Schulen'!$J90)</f>
        <v>x</v>
      </c>
      <c r="K42" s="155" t="str">
        <f>IF('AW Schulen'!$M90=0,"x",F42/'AW Schulen'!$M90)</f>
        <v>x</v>
      </c>
      <c r="L42" s="156" t="str">
        <f>IF('AW Schulen'!$P90=0,"x",G42/'AW Schulen'!$P90)</f>
        <v>x</v>
      </c>
    </row>
    <row r="43" spans="1:12" ht="9" customHeight="1">
      <c r="A43" s="21" t="s">
        <v>93</v>
      </c>
      <c r="B43" s="120"/>
      <c r="C43" s="193">
        <f>'2.2.5'!C43+'2.3.5'!C43</f>
        <v>0</v>
      </c>
      <c r="D43" s="193">
        <f>'2.2.5'!D43+'2.3.5'!D43</f>
        <v>0</v>
      </c>
      <c r="E43" s="193">
        <f>'2.2.5'!E43+'2.3.5'!E43</f>
        <v>0</v>
      </c>
      <c r="F43" s="193">
        <f>'2.2.5'!F43+'2.3.5'!F43</f>
        <v>0</v>
      </c>
      <c r="G43" s="194">
        <f>'2.2.5'!G43+'2.3.5'!G43</f>
        <v>0</v>
      </c>
      <c r="H43" s="155" t="str">
        <f>IF('AW Schulen'!$D91=0,"x",C43/'AW Schulen'!$D91)</f>
        <v>x</v>
      </c>
      <c r="I43" s="155" t="str">
        <f>IF('AW Schulen'!$G91=0,"x",D43/'AW Schulen'!$G91)</f>
        <v>x</v>
      </c>
      <c r="J43" s="155" t="str">
        <f>IF('AW Schulen'!$G91=0,"x",E43/'AW Schulen'!$G91)</f>
        <v>x</v>
      </c>
      <c r="K43" s="155" t="str">
        <f>IF('AW Schulen'!$G91=0,"x",F43/'AW Schulen'!$G91)</f>
        <v>x</v>
      </c>
      <c r="L43" s="156" t="str">
        <f>IF('AW Schulen'!$G91=0,"x",G43/'AW Schulen'!$G91)</f>
        <v>x</v>
      </c>
    </row>
    <row r="44" spans="1:12" ht="9" customHeight="1">
      <c r="A44" s="21" t="s">
        <v>94</v>
      </c>
      <c r="B44" s="120"/>
      <c r="C44" s="23">
        <f>'2.2.5'!C44+'2.3.5'!C44</f>
        <v>4</v>
      </c>
      <c r="D44" s="23">
        <f>'2.2.5'!D44+'2.3.5'!D44</f>
        <v>3</v>
      </c>
      <c r="E44" s="23">
        <f>'2.2.5'!E44+'2.3.5'!E44</f>
        <v>1</v>
      </c>
      <c r="F44" s="23">
        <f>'2.2.5'!F44+'2.3.5'!F44</f>
        <v>0</v>
      </c>
      <c r="G44" s="194">
        <f>'2.2.5'!G44+'2.3.5'!G44</f>
        <v>0</v>
      </c>
      <c r="H44" s="155">
        <f>IF('AW Schulen'!$D92=0,"x",C44/'AW Schulen'!$D92)</f>
        <v>2.7027027027027029E-2</v>
      </c>
      <c r="I44" s="155">
        <f>IF('AW Schulen'!$G92=0,"x",D44/'AW Schulen'!$G92)</f>
        <v>3.8461538461538464E-2</v>
      </c>
      <c r="J44" s="155">
        <f>IF('AW Schulen'!$J92=0,"x",E44/'AW Schulen'!$J92)</f>
        <v>3.3333333333333333E-2</v>
      </c>
      <c r="K44" s="155">
        <f>IF('AW Schulen'!$M92=0,"x",F44/'AW Schulen'!$M92)</f>
        <v>0</v>
      </c>
      <c r="L44" s="156" t="str">
        <f>IF('AW Schulen'!$P92=0,"x",G44/'AW Schulen'!$P92)</f>
        <v>x</v>
      </c>
    </row>
    <row r="45" spans="1:12" ht="9" customHeight="1">
      <c r="A45" s="21" t="s">
        <v>95</v>
      </c>
      <c r="B45" s="120"/>
      <c r="C45" s="193">
        <f>'2.2.5'!C45+'2.3.5'!C45</f>
        <v>0</v>
      </c>
      <c r="D45" s="193">
        <f>'2.2.5'!D45+'2.3.5'!D45</f>
        <v>0</v>
      </c>
      <c r="E45" s="193">
        <f>'2.2.5'!E45+'2.3.5'!E45</f>
        <v>0</v>
      </c>
      <c r="F45" s="193">
        <f>'2.2.5'!F45+'2.3.5'!F45</f>
        <v>0</v>
      </c>
      <c r="G45" s="194">
        <f>'2.2.5'!G45+'2.3.5'!G45</f>
        <v>0</v>
      </c>
      <c r="H45" s="155" t="str">
        <f>IF('AW Schulen'!$D93=0,"x",C45/'AW Schulen'!$D93)</f>
        <v>x</v>
      </c>
      <c r="I45" s="155" t="str">
        <f>IF('AW Schulen'!$G93=0,"x",D45/'AW Schulen'!$G93)</f>
        <v>x</v>
      </c>
      <c r="J45" s="155" t="str">
        <f>IF('AW Schulen'!$J93=0,"x",E45/'AW Schulen'!$J93)</f>
        <v>x</v>
      </c>
      <c r="K45" s="155" t="str">
        <f>IF('AW Schulen'!$M93=0,"x",F45/'AW Schulen'!$M93)</f>
        <v>x</v>
      </c>
      <c r="L45" s="156" t="str">
        <f>IF('AW Schulen'!$P93=0,"x",G45/'AW Schulen'!$P93)</f>
        <v>x</v>
      </c>
    </row>
    <row r="46" spans="1:12" ht="9" customHeight="1">
      <c r="A46" s="21" t="s">
        <v>96</v>
      </c>
      <c r="B46" s="120"/>
      <c r="C46" s="23">
        <f>'2.2.5'!C46+'2.3.5'!C46</f>
        <v>181</v>
      </c>
      <c r="D46" s="23">
        <f>'2.2.5'!D46+'2.3.5'!D46</f>
        <v>192</v>
      </c>
      <c r="E46" s="23">
        <f>'2.2.5'!E46+'2.3.5'!E46</f>
        <v>188</v>
      </c>
      <c r="F46" s="23">
        <f>'2.2.5'!F46+'2.3.5'!F46</f>
        <v>186</v>
      </c>
      <c r="G46" s="34">
        <f>'2.2.5'!G46+'2.3.5'!G46</f>
        <v>182</v>
      </c>
      <c r="H46" s="155">
        <f>IF('AW Schulen'!$D94=0,"x",C46/'AW Schulen'!$D94)</f>
        <v>7.5228595178719868E-2</v>
      </c>
      <c r="I46" s="155">
        <f>IF('AW Schulen'!$G94=0,"x",D46/'AW Schulen'!$G94)</f>
        <v>8.2297471067295333E-2</v>
      </c>
      <c r="J46" s="155">
        <f>IF('AW Schulen'!$J94=0,"x",E46/'AW Schulen'!$J94)</f>
        <v>8.3296411165263623E-2</v>
      </c>
      <c r="K46" s="155">
        <f>IF('AW Schulen'!$M94=0,"x",F46/'AW Schulen'!$M94)</f>
        <v>8.4507042253521125E-2</v>
      </c>
      <c r="L46" s="156">
        <f>IF('AW Schulen'!$P94=0,"x",G46/'AW Schulen'!$P94)</f>
        <v>8.987654320987655E-2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'2.2.5'!C48+'2.3.5'!C48</f>
        <v>13</v>
      </c>
      <c r="D48" s="23">
        <f>'2.2.5'!D48+'2.3.5'!D48</f>
        <v>12</v>
      </c>
      <c r="E48" s="23">
        <f>'2.2.5'!E48+'2.3.5'!E48</f>
        <v>11</v>
      </c>
      <c r="F48" s="23">
        <f>'2.2.5'!F48+'2.3.5'!F48</f>
        <v>12</v>
      </c>
      <c r="G48" s="34">
        <f>'2.2.5'!G48+'2.3.5'!G48</f>
        <v>13</v>
      </c>
      <c r="H48" s="155">
        <f>IF('AW Schulen'!$D78=0,"x",C48/'AW Schulen'!$D78)</f>
        <v>2.584493041749503E-2</v>
      </c>
      <c r="I48" s="155">
        <f>IF('AW Schulen'!$G78=0,"x",D48/'AW Schulen'!$G78)</f>
        <v>2.3856858846918488E-2</v>
      </c>
      <c r="J48" s="155">
        <f>IF('AW Schulen'!$J78=0,"x",E48/'AW Schulen'!$J78)</f>
        <v>2.186878727634195E-2</v>
      </c>
      <c r="K48" s="155">
        <f>IF('AW Schulen'!$M78=0,"x",F48/'AW Schulen'!$M78)</f>
        <v>2.3668639053254437E-2</v>
      </c>
      <c r="L48" s="156">
        <f>IF('AW Schulen'!$P78=0,"x",G48/'AW Schulen'!$P78)</f>
        <v>2.5490196078431372E-2</v>
      </c>
    </row>
    <row r="49" spans="1:12" ht="9" customHeight="1">
      <c r="A49" s="21" t="s">
        <v>81</v>
      </c>
      <c r="B49" s="120"/>
      <c r="C49" s="23">
        <f>'2.2.5'!C49+'2.3.5'!C49</f>
        <v>60</v>
      </c>
      <c r="D49" s="23">
        <f>'2.2.5'!D49+'2.3.5'!D49</f>
        <v>73</v>
      </c>
      <c r="E49" s="23">
        <f>'2.2.5'!E49+'2.3.5'!E49</f>
        <v>72</v>
      </c>
      <c r="F49" s="23">
        <f>'2.2.5'!F49+'2.3.5'!F49</f>
        <v>78</v>
      </c>
      <c r="G49" s="34">
        <f>'2.2.5'!G49+'2.3.5'!G49</f>
        <v>78</v>
      </c>
      <c r="H49" s="155">
        <f>IF('AW Schulen'!$D79=0,"x",C49/'AW Schulen'!$D79)</f>
        <v>0.13303769401330376</v>
      </c>
      <c r="I49" s="155">
        <f>IF('AW Schulen'!$G79=0,"x",D49/'AW Schulen'!$G79)</f>
        <v>0.15938864628820962</v>
      </c>
      <c r="J49" s="155">
        <f>IF('AW Schulen'!$J79=0,"x",E49/'AW Schulen'!$J79)</f>
        <v>0.1575492341356674</v>
      </c>
      <c r="K49" s="155">
        <f>IF('AW Schulen'!$M79=0,"x",F49/'AW Schulen'!$M79)</f>
        <v>0.17105263157894737</v>
      </c>
      <c r="L49" s="156">
        <f>IF('AW Schulen'!$P79=0,"x",G49/'AW Schulen'!$P79)</f>
        <v>0.17294900221729489</v>
      </c>
    </row>
    <row r="50" spans="1:12" ht="9" customHeight="1">
      <c r="A50" s="21" t="s">
        <v>82</v>
      </c>
      <c r="B50" s="120"/>
      <c r="C50" s="193">
        <f>'2.2.5'!C50+'2.3.5'!C50</f>
        <v>0</v>
      </c>
      <c r="D50" s="193">
        <f>'2.2.5'!D50+'2.3.5'!D50</f>
        <v>0</v>
      </c>
      <c r="E50" s="193">
        <f>'2.2.5'!E50+'2.3.5'!E50</f>
        <v>0</v>
      </c>
      <c r="F50" s="193">
        <f>'2.2.5'!F50+'2.3.5'!F50</f>
        <v>0</v>
      </c>
      <c r="G50" s="194">
        <f>'2.2.5'!G50+'2.3.5'!G50</f>
        <v>0</v>
      </c>
      <c r="H50" s="155" t="str">
        <f>IF('AW Schulen'!$D80=0,"x",C50/'AW Schulen'!$D80)</f>
        <v>x</v>
      </c>
      <c r="I50" s="155" t="str">
        <f>IF('AW Schulen'!$G80=0,"x",D50/'AW Schulen'!$G80)</f>
        <v>x</v>
      </c>
      <c r="J50" s="155" t="str">
        <f>IF('AW Schulen'!$J80=0,"x",E50/'AW Schulen'!$J80)</f>
        <v>x</v>
      </c>
      <c r="K50" s="155" t="str">
        <f>IF('AW Schulen'!$M80=0,"x",F50/'AW Schulen'!$M80)</f>
        <v>x</v>
      </c>
      <c r="L50" s="156" t="str">
        <f>IF('AW Schulen'!$P80=0,"x",G50/'AW Schulen'!$P80)</f>
        <v>x</v>
      </c>
    </row>
    <row r="51" spans="1:12" ht="9" customHeight="1">
      <c r="A51" s="21" t="s">
        <v>83</v>
      </c>
      <c r="B51" s="120"/>
      <c r="C51" s="151">
        <f>'2.2.5'!C51+'2.3.5'!C51</f>
        <v>0</v>
      </c>
      <c r="D51" s="151">
        <f>'2.2.5'!D51+'2.3.5'!D51</f>
        <v>0</v>
      </c>
      <c r="E51" s="151">
        <f>'2.2.5'!E51+'2.3.5'!E51</f>
        <v>0</v>
      </c>
      <c r="F51" s="151">
        <f>'2.2.5'!F51+'2.3.5'!F51</f>
        <v>0</v>
      </c>
      <c r="G51" s="152">
        <f>'2.2.5'!G51+'2.3.5'!G51</f>
        <v>0</v>
      </c>
      <c r="H51" s="155" t="str">
        <f>IF('AW Schulen'!$D81=0,"x",C51/'AW Schulen'!$D81)</f>
        <v>x</v>
      </c>
      <c r="I51" s="155" t="str">
        <f>IF('AW Schulen'!$G81=0,"x",D51/'AW Schulen'!$G81)</f>
        <v>x</v>
      </c>
      <c r="J51" s="155" t="str">
        <f>IF('AW Schulen'!$J81=0,"x",E51/'AW Schulen'!$J81)</f>
        <v>x</v>
      </c>
      <c r="K51" s="155" t="str">
        <f>IF('AW Schulen'!$M81=0,"x",F51/'AW Schulen'!$M81)</f>
        <v>x</v>
      </c>
      <c r="L51" s="156" t="str">
        <f>IF('AW Schulen'!$P81=0,"x",G51/'AW Schulen'!$P81)</f>
        <v>x</v>
      </c>
    </row>
    <row r="52" spans="1:12" ht="9" customHeight="1">
      <c r="A52" s="21" t="s">
        <v>84</v>
      </c>
      <c r="B52" s="120"/>
      <c r="C52" s="151">
        <f>'2.2.5'!C52+'2.3.5'!C52</f>
        <v>0</v>
      </c>
      <c r="D52" s="151">
        <f>'2.2.5'!D52+'2.3.5'!D52</f>
        <v>0</v>
      </c>
      <c r="E52" s="151">
        <f>'2.2.5'!E52+'2.3.5'!E52</f>
        <v>0</v>
      </c>
      <c r="F52" s="151">
        <f>'2.2.5'!F52+'2.3.5'!F52</f>
        <v>0</v>
      </c>
      <c r="G52" s="152">
        <f>'2.2.5'!G52+'2.3.5'!G52</f>
        <v>0</v>
      </c>
      <c r="H52" s="155" t="str">
        <f>IF('AW Schulen'!$D82=0,"x",C52/'AW Schulen'!$D82)</f>
        <v>x</v>
      </c>
      <c r="I52" s="155" t="str">
        <f>IF('AW Schulen'!$G82=0,"x",D52/'AW Schulen'!$G82)</f>
        <v>x</v>
      </c>
      <c r="J52" s="155" t="str">
        <f>IF('AW Schulen'!$J82=0,"x",E52/'AW Schulen'!$J82)</f>
        <v>x</v>
      </c>
      <c r="K52" s="155" t="str">
        <f>IF('AW Schulen'!$M82=0,"x",F52/'AW Schulen'!$M82)</f>
        <v>x</v>
      </c>
      <c r="L52" s="156" t="str">
        <f>IF('AW Schulen'!$P82=0,"x",G52/'AW Schulen'!$P82)</f>
        <v>x</v>
      </c>
    </row>
    <row r="53" spans="1:12" ht="9" customHeight="1">
      <c r="A53" s="21" t="s">
        <v>85</v>
      </c>
      <c r="B53" s="120"/>
      <c r="C53" s="151">
        <f>'2.2.5'!C53+'2.3.5'!C53</f>
        <v>0</v>
      </c>
      <c r="D53" s="151">
        <f>'2.2.5'!D53+'2.3.5'!D53</f>
        <v>0</v>
      </c>
      <c r="E53" s="151">
        <f>'2.2.5'!E53+'2.3.5'!E53</f>
        <v>0</v>
      </c>
      <c r="F53" s="151">
        <f>'2.2.5'!F53+'2.3.5'!F53</f>
        <v>0</v>
      </c>
      <c r="G53" s="152">
        <f>'2.2.5'!G53+'2.3.5'!G53</f>
        <v>0</v>
      </c>
      <c r="H53" s="155" t="str">
        <f>IF('AW Schulen'!$D83=0,"x",C53/'AW Schulen'!$D83)</f>
        <v>x</v>
      </c>
      <c r="I53" s="155" t="str">
        <f>IF('AW Schulen'!$G83=0,"x",D53/'AW Schulen'!$G83)</f>
        <v>x</v>
      </c>
      <c r="J53" s="155" t="str">
        <f>IF('AW Schulen'!$J83=0,"x",E53/'AW Schulen'!$J83)</f>
        <v>x</v>
      </c>
      <c r="K53" s="155" t="str">
        <f>IF('AW Schulen'!$M83=0,"x",F53/'AW Schulen'!$M83)</f>
        <v>x</v>
      </c>
      <c r="L53" s="156" t="str">
        <f>IF('AW Schulen'!$P83=0,"x",G53/'AW Schulen'!$P83)</f>
        <v>x</v>
      </c>
    </row>
    <row r="54" spans="1:12" ht="9" customHeight="1">
      <c r="A54" s="21" t="s">
        <v>86</v>
      </c>
      <c r="B54" s="120"/>
      <c r="C54" s="36">
        <f>'2.2.5'!C54+'2.3.5'!C54</f>
        <v>0</v>
      </c>
      <c r="D54" s="36">
        <f>'2.2.5'!D54+'2.3.5'!D54</f>
        <v>0</v>
      </c>
      <c r="E54" s="36">
        <f>'2.2.5'!E54+'2.3.5'!E54</f>
        <v>0</v>
      </c>
      <c r="F54" s="36">
        <f>'2.2.5'!F54+'2.3.5'!F54</f>
        <v>0</v>
      </c>
      <c r="G54" s="37">
        <f>'2.2.5'!G54+'2.3.5'!G54</f>
        <v>0</v>
      </c>
      <c r="H54" s="183">
        <f>IF('AW Schulen'!$D84=0,"x",C54/'AW Schulen'!$D84)</f>
        <v>0</v>
      </c>
      <c r="I54" s="183">
        <f>IF('AW Schulen'!$G84=0,"x",D54/'AW Schulen'!$G84)</f>
        <v>0</v>
      </c>
      <c r="J54" s="183">
        <f>IF('AW Schulen'!$G84=0,"x",E54/'AW Schulen'!$G84)</f>
        <v>0</v>
      </c>
      <c r="K54" s="183">
        <f>IF('AW Schulen'!$G84=0,"x",F54/'AW Schulen'!$G84)</f>
        <v>0</v>
      </c>
      <c r="L54" s="197">
        <f>IF('AW Schulen'!$G84=0,"x",G54/'AW Schulen'!$G84)</f>
        <v>0</v>
      </c>
    </row>
    <row r="55" spans="1:12" ht="9" customHeight="1">
      <c r="A55" s="21" t="s">
        <v>87</v>
      </c>
      <c r="B55" s="120"/>
      <c r="C55" s="151">
        <f>'2.2.5'!C55+'2.3.5'!C55</f>
        <v>0</v>
      </c>
      <c r="D55" s="151">
        <f>'2.2.5'!D55+'2.3.5'!D55</f>
        <v>0</v>
      </c>
      <c r="E55" s="151">
        <f>'2.2.5'!E55+'2.3.5'!E55</f>
        <v>0</v>
      </c>
      <c r="F55" s="151">
        <f>'2.2.5'!F55+'2.3.5'!F55</f>
        <v>0</v>
      </c>
      <c r="G55" s="152">
        <f>'2.2.5'!G55+'2.3.5'!G55</f>
        <v>0</v>
      </c>
      <c r="H55" s="155" t="str">
        <f>IF('AW Schulen'!$D85=0,"x",C55/'AW Schulen'!$D85)</f>
        <v>x</v>
      </c>
      <c r="I55" s="155" t="str">
        <f>IF('AW Schulen'!$G85=0,"x",D55/'AW Schulen'!$G85)</f>
        <v>x</v>
      </c>
      <c r="J55" s="155" t="str">
        <f>IF('AW Schulen'!$J85=0,"x",E55/'AW Schulen'!$J85)</f>
        <v>x</v>
      </c>
      <c r="K55" s="155" t="str">
        <f>IF('AW Schulen'!$M85=0,"x",F55/'AW Schulen'!$M85)</f>
        <v>x</v>
      </c>
      <c r="L55" s="156" t="str">
        <f>IF('AW Schulen'!$P85=0,"x",G55/'AW Schulen'!$P85)</f>
        <v>x</v>
      </c>
    </row>
    <row r="56" spans="1:12" ht="9" customHeight="1">
      <c r="A56" s="21" t="s">
        <v>88</v>
      </c>
      <c r="B56" s="120"/>
      <c r="C56" s="23">
        <f>'2.2.5'!C56+'2.3.5'!C56</f>
        <v>45</v>
      </c>
      <c r="D56" s="23">
        <f>'2.2.5'!D56+'2.3.5'!D56</f>
        <v>39</v>
      </c>
      <c r="E56" s="23">
        <f>'2.2.5'!E56+'2.3.5'!E56</f>
        <v>56</v>
      </c>
      <c r="F56" s="23">
        <f>'2.2.5'!F56+'2.3.5'!F56</f>
        <v>73</v>
      </c>
      <c r="G56" s="34">
        <f>'2.2.5'!G56+'2.3.5'!G56</f>
        <v>44</v>
      </c>
      <c r="H56" s="183">
        <v>0</v>
      </c>
      <c r="I56" s="183">
        <v>0</v>
      </c>
      <c r="J56" s="183">
        <v>0</v>
      </c>
      <c r="K56" s="183">
        <v>0</v>
      </c>
      <c r="L56" s="197">
        <v>0</v>
      </c>
    </row>
    <row r="57" spans="1:12" ht="9" customHeight="1">
      <c r="A57" s="21" t="s">
        <v>89</v>
      </c>
      <c r="B57" s="120"/>
      <c r="C57" s="23">
        <f>'2.2.5'!C57+'2.3.5'!C57</f>
        <v>0</v>
      </c>
      <c r="D57" s="23">
        <f>'2.2.5'!D57+'2.3.5'!D57</f>
        <v>0</v>
      </c>
      <c r="E57" s="23">
        <f>'2.2.5'!E57+'2.3.5'!E57</f>
        <v>0</v>
      </c>
      <c r="F57" s="23">
        <f>'2.2.5'!F57+'2.3.5'!F57</f>
        <v>0</v>
      </c>
      <c r="G57" s="34">
        <f>'2.2.5'!G57+'2.3.5'!G57</f>
        <v>0</v>
      </c>
      <c r="H57" s="155">
        <f>IF('AW Schulen'!$D87=0,"x",C57/'AW Schulen'!$D87)</f>
        <v>0</v>
      </c>
      <c r="I57" s="155">
        <f>IF('AW Schulen'!$G87=0,"x",D57/'AW Schulen'!$G87)</f>
        <v>0</v>
      </c>
      <c r="J57" s="155">
        <f>IF('AW Schulen'!$J87=0,"x",E57/'AW Schulen'!$J87)</f>
        <v>0</v>
      </c>
      <c r="K57" s="155">
        <f>IF('AW Schulen'!$M87=0,"x",F57/'AW Schulen'!$M87)</f>
        <v>0</v>
      </c>
      <c r="L57" s="156">
        <f>IF('AW Schulen'!$P87=0,"x",G57/'AW Schulen'!$P87)</f>
        <v>0</v>
      </c>
    </row>
    <row r="58" spans="1:12" ht="9" customHeight="1">
      <c r="A58" s="21" t="s">
        <v>90</v>
      </c>
      <c r="B58" s="120"/>
      <c r="C58" s="23">
        <f>'2.2.5'!C58+'2.3.5'!C58</f>
        <v>4</v>
      </c>
      <c r="D58" s="23">
        <f>'2.2.5'!D58+'2.3.5'!D58</f>
        <v>2</v>
      </c>
      <c r="E58" s="23">
        <f>'2.2.5'!E58+'2.3.5'!E58</f>
        <v>2</v>
      </c>
      <c r="F58" s="23">
        <f>'2.2.5'!F58+'2.3.5'!F58</f>
        <v>2</v>
      </c>
      <c r="G58" s="34">
        <f>'2.2.5'!G58+'2.3.5'!G58</f>
        <v>2</v>
      </c>
      <c r="H58" s="155">
        <f>IF('AW Schulen'!$D88=0,"x",C58/'AW Schulen'!$D88)</f>
        <v>0.22222222222222221</v>
      </c>
      <c r="I58" s="155">
        <f>IF('AW Schulen'!$G88=0,"x",D58/'AW Schulen'!$G88)</f>
        <v>0.18181818181818182</v>
      </c>
      <c r="J58" s="155">
        <f>IF('AW Schulen'!$J88=0,"x",E58/'AW Schulen'!$J88)</f>
        <v>0.2</v>
      </c>
      <c r="K58" s="155">
        <f>IF('AW Schulen'!$M88=0,"x",F58/'AW Schulen'!$M88)</f>
        <v>0.22222222222222221</v>
      </c>
      <c r="L58" s="156">
        <f>IF('AW Schulen'!$P88=0,"x",G58/'AW Schulen'!$P88)</f>
        <v>0.22222222222222221</v>
      </c>
    </row>
    <row r="59" spans="1:12" ht="9" customHeight="1">
      <c r="A59" s="21" t="s">
        <v>91</v>
      </c>
      <c r="B59" s="120"/>
      <c r="C59" s="23">
        <f>'2.2.5'!C59+'2.3.5'!C59</f>
        <v>0</v>
      </c>
      <c r="D59" s="23">
        <f>'2.2.5'!D59+'2.3.5'!D59</f>
        <v>0</v>
      </c>
      <c r="E59" s="23">
        <f>'2.2.5'!E59+'2.3.5'!E59</f>
        <v>0</v>
      </c>
      <c r="F59" s="23">
        <f>'2.2.5'!F59+'2.3.5'!F59</f>
        <v>0</v>
      </c>
      <c r="G59" s="34">
        <f>'2.2.5'!G59+'2.3.5'!G59</f>
        <v>0</v>
      </c>
      <c r="H59" s="155">
        <f>IF('AW Schulen'!$D89=0,"x",C59/'AW Schulen'!$D89)</f>
        <v>0</v>
      </c>
      <c r="I59" s="155">
        <f>IF('AW Schulen'!$G89=0,"x",D59/'AW Schulen'!$G89)</f>
        <v>0</v>
      </c>
      <c r="J59" s="155">
        <f>IF('AW Schulen'!$J89=0,"x",E59/'AW Schulen'!$J89)</f>
        <v>0</v>
      </c>
      <c r="K59" s="155">
        <f>IF('AW Schulen'!$M89=0,"x",F59/'AW Schulen'!$M89)</f>
        <v>0</v>
      </c>
      <c r="L59" s="156">
        <f>IF('AW Schulen'!$P89=0,"x",G59/'AW Schulen'!$P89)</f>
        <v>0</v>
      </c>
    </row>
    <row r="60" spans="1:12" ht="9" customHeight="1">
      <c r="A60" s="21" t="s">
        <v>92</v>
      </c>
      <c r="B60" s="120"/>
      <c r="C60" s="193">
        <f>'2.2.5'!C60+'2.3.5'!C60</f>
        <v>0</v>
      </c>
      <c r="D60" s="193">
        <f>'2.2.5'!D60+'2.3.5'!D60</f>
        <v>0</v>
      </c>
      <c r="E60" s="193">
        <f>'2.2.5'!E60+'2.3.5'!E60</f>
        <v>0</v>
      </c>
      <c r="F60" s="193">
        <f>'2.2.5'!F60+'2.3.5'!F60</f>
        <v>0</v>
      </c>
      <c r="G60" s="194">
        <f>'2.2.5'!G60+'2.3.5'!G60</f>
        <v>0</v>
      </c>
      <c r="H60" s="155" t="str">
        <f>IF('AW Schulen'!$D90=0,"x",C60/'AW Schulen'!$D90)</f>
        <v>x</v>
      </c>
      <c r="I60" s="155" t="str">
        <f>IF('AW Schulen'!$G90=0,"x",D60/'AW Schulen'!$G90)</f>
        <v>x</v>
      </c>
      <c r="J60" s="155" t="str">
        <f>IF('AW Schulen'!$J90=0,"x",E60/'AW Schulen'!$J90)</f>
        <v>x</v>
      </c>
      <c r="K60" s="155" t="str">
        <f>IF('AW Schulen'!$M90=0,"x",F60/'AW Schulen'!$M90)</f>
        <v>x</v>
      </c>
      <c r="L60" s="156" t="str">
        <f>IF('AW Schulen'!$P90=0,"x",G60/'AW Schulen'!$P90)</f>
        <v>x</v>
      </c>
    </row>
    <row r="61" spans="1:12" ht="9" customHeight="1">
      <c r="A61" s="21" t="s">
        <v>93</v>
      </c>
      <c r="B61" s="120"/>
      <c r="C61" s="193">
        <f>'2.2.5'!C61+'2.3.5'!C61</f>
        <v>0</v>
      </c>
      <c r="D61" s="193">
        <f>'2.2.5'!D61+'2.3.5'!D61</f>
        <v>0</v>
      </c>
      <c r="E61" s="193">
        <f>'2.2.5'!E61+'2.3.5'!E61</f>
        <v>0</v>
      </c>
      <c r="F61" s="193">
        <f>'2.2.5'!F61+'2.3.5'!F61</f>
        <v>0</v>
      </c>
      <c r="G61" s="194">
        <f>'2.2.5'!G61+'2.3.5'!G61</f>
        <v>0</v>
      </c>
      <c r="H61" s="155" t="str">
        <f>IF('AW Schulen'!$D91=0,"x",C61/'AW Schulen'!$D91)</f>
        <v>x</v>
      </c>
      <c r="I61" s="155" t="str">
        <f>IF('AW Schulen'!$G91=0,"x",D61/'AW Schulen'!$G91)</f>
        <v>x</v>
      </c>
      <c r="J61" s="155" t="str">
        <f>IF('AW Schulen'!$J91=0,"x",E61/'AW Schulen'!$J91)</f>
        <v>x</v>
      </c>
      <c r="K61" s="155" t="str">
        <f>IF('AW Schulen'!$M91=0,"x",F61/'AW Schulen'!$M91)</f>
        <v>x</v>
      </c>
      <c r="L61" s="156" t="str">
        <f>IF('AW Schulen'!$P91=0,"x",G61/'AW Schulen'!$P91)</f>
        <v>x</v>
      </c>
    </row>
    <row r="62" spans="1:12" ht="9" customHeight="1">
      <c r="A62" s="21" t="s">
        <v>94</v>
      </c>
      <c r="B62" s="120"/>
      <c r="C62" s="23">
        <f>'2.2.5'!C62+'2.3.5'!C62</f>
        <v>1</v>
      </c>
      <c r="D62" s="23">
        <f>'2.2.5'!D62+'2.3.5'!D62</f>
        <v>0</v>
      </c>
      <c r="E62" s="23">
        <f>'2.2.5'!E62+'2.3.5'!E62</f>
        <v>0</v>
      </c>
      <c r="F62" s="23">
        <f>'2.2.5'!F62+'2.3.5'!F62</f>
        <v>0</v>
      </c>
      <c r="G62" s="194">
        <f>'2.2.5'!G62+'2.3.5'!G62</f>
        <v>0</v>
      </c>
      <c r="H62" s="155">
        <f>IF('AW Schulen'!$D92=0,"x",C62/'AW Schulen'!$D92)</f>
        <v>6.7567567567567571E-3</v>
      </c>
      <c r="I62" s="155">
        <f>IF('AW Schulen'!$G92=0,"x",D62/'AW Schulen'!$G92)</f>
        <v>0</v>
      </c>
      <c r="J62" s="155">
        <f>IF('AW Schulen'!$J92=0,"x",E62/'AW Schulen'!$J92)</f>
        <v>0</v>
      </c>
      <c r="K62" s="155">
        <f>IF('AW Schulen'!$M92=0,"x",F62/'AW Schulen'!$M92)</f>
        <v>0</v>
      </c>
      <c r="L62" s="156" t="str">
        <f>IF('AW Schulen'!$P92=0,"x",G62/'AW Schulen'!$P92)</f>
        <v>x</v>
      </c>
    </row>
    <row r="63" spans="1:12" ht="9" customHeight="1">
      <c r="A63" s="21" t="s">
        <v>95</v>
      </c>
      <c r="B63" s="120"/>
      <c r="C63" s="193">
        <f>'2.2.5'!C63+'2.3.5'!C63</f>
        <v>0</v>
      </c>
      <c r="D63" s="193">
        <f>'2.2.5'!D63+'2.3.5'!D63</f>
        <v>0</v>
      </c>
      <c r="E63" s="193">
        <f>'2.2.5'!E63+'2.3.5'!E63</f>
        <v>0</v>
      </c>
      <c r="F63" s="193">
        <f>'2.2.5'!F63+'2.3.5'!F63</f>
        <v>0</v>
      </c>
      <c r="G63" s="194">
        <f>'2.2.5'!G63+'2.3.5'!G63</f>
        <v>0</v>
      </c>
      <c r="H63" s="155" t="str">
        <f>IF('AW Schulen'!$D93=0,"x",C63/'AW Schulen'!$D93)</f>
        <v>x</v>
      </c>
      <c r="I63" s="155" t="str">
        <f>IF('AW Schulen'!$G93=0,"x",D63/'AW Schulen'!$G93)</f>
        <v>x</v>
      </c>
      <c r="J63" s="155" t="str">
        <f>IF('AW Schulen'!$J93=0,"x",E63/'AW Schulen'!$J93)</f>
        <v>x</v>
      </c>
      <c r="K63" s="155" t="str">
        <f>IF('AW Schulen'!$M93=0,"x",F63/'AW Schulen'!$M93)</f>
        <v>x</v>
      </c>
      <c r="L63" s="156" t="str">
        <f>IF('AW Schulen'!$P93=0,"x",G63/'AW Schulen'!$P93)</f>
        <v>x</v>
      </c>
    </row>
    <row r="64" spans="1:12" ht="8.65" customHeight="1">
      <c r="A64" s="21" t="s">
        <v>96</v>
      </c>
      <c r="B64" s="120"/>
      <c r="C64" s="23">
        <f>'2.2.5'!C64+'2.3.5'!C64</f>
        <v>123</v>
      </c>
      <c r="D64" s="23">
        <f>'2.2.5'!D64+'2.3.5'!D64</f>
        <v>126</v>
      </c>
      <c r="E64" s="23">
        <f>'2.2.5'!E64+'2.3.5'!E64</f>
        <v>141</v>
      </c>
      <c r="F64" s="23">
        <f>'2.2.5'!F64+'2.3.5'!F64</f>
        <v>165</v>
      </c>
      <c r="G64" s="34">
        <f>'2.2.5'!G64+'2.3.5'!G64</f>
        <v>137</v>
      </c>
      <c r="H64" s="155">
        <f>IF('AW Schulen'!$D94=0,"x",C64/'AW Schulen'!$D94)</f>
        <v>5.1122194513715712E-2</v>
      </c>
      <c r="I64" s="155">
        <f>IF('AW Schulen'!$G94=0,"x",D64/'AW Schulen'!$G94)</f>
        <v>5.4007715387912561E-2</v>
      </c>
      <c r="J64" s="155">
        <f>IF('AW Schulen'!$J94=0,"x",E64/'AW Schulen'!$J94)</f>
        <v>6.2472308373947717E-2</v>
      </c>
      <c r="K64" s="155">
        <f>IF('AW Schulen'!$M94=0,"x",F64/'AW Schulen'!$M94)</f>
        <v>7.4965924579736484E-2</v>
      </c>
      <c r="L64" s="156">
        <f>IF('AW Schulen'!$P94=0,"x",G64/'AW Schulen'!$P94)</f>
        <v>6.7654320987654323E-2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'2.2.5'!C66+'2.3.5'!C66</f>
        <v>115</v>
      </c>
      <c r="D66" s="23">
        <f>'2.2.5'!D66+'2.3.5'!D66</f>
        <v>115</v>
      </c>
      <c r="E66" s="23">
        <f>'2.2.5'!E66+'2.3.5'!E66</f>
        <v>132</v>
      </c>
      <c r="F66" s="23">
        <f>'2.2.5'!F66+'2.3.5'!F66</f>
        <v>141</v>
      </c>
      <c r="G66" s="34">
        <f>'2.2.5'!G66+'2.3.5'!G66</f>
        <v>158</v>
      </c>
      <c r="H66" s="155">
        <f>IF('AW Schulen'!$D78=0,"x",C66/'AW Schulen'!$D78)</f>
        <v>0.22862823061630219</v>
      </c>
      <c r="I66" s="155">
        <f>IF('AW Schulen'!$G78=0,"x",D66/'AW Schulen'!$G78)</f>
        <v>0.22862823061630219</v>
      </c>
      <c r="J66" s="155">
        <f>IF('AW Schulen'!$J78=0,"x",E66/'AW Schulen'!$J78)</f>
        <v>0.2624254473161034</v>
      </c>
      <c r="K66" s="155">
        <f>IF('AW Schulen'!$M78=0,"x",F66/'AW Schulen'!$M78)</f>
        <v>0.27810650887573962</v>
      </c>
      <c r="L66" s="156">
        <f>IF('AW Schulen'!$P78=0,"x",G66/'AW Schulen'!$P78)</f>
        <v>0.30980392156862746</v>
      </c>
    </row>
    <row r="67" spans="1:12" ht="10.15" customHeight="1">
      <c r="A67" s="224" t="s">
        <v>81</v>
      </c>
      <c r="B67" s="120"/>
      <c r="C67" s="23">
        <f>'2.2.5'!C67+'2.3.5'!C67</f>
        <v>217</v>
      </c>
      <c r="D67" s="23">
        <f>'2.2.5'!D67+'2.3.5'!D67</f>
        <v>217</v>
      </c>
      <c r="E67" s="23">
        <f>'2.2.5'!E67+'2.3.5'!E67</f>
        <v>218</v>
      </c>
      <c r="F67" s="23">
        <f>'2.2.5'!F67+'2.3.5'!F67</f>
        <v>237</v>
      </c>
      <c r="G67" s="34">
        <f>'2.2.5'!G67+'2.3.5'!G67</f>
        <v>237</v>
      </c>
      <c r="H67" s="155">
        <f>IF('AW Schulen'!$D79=0,"x",C67/'AW Schulen'!$D79)</f>
        <v>0.48115299334811529</v>
      </c>
      <c r="I67" s="155">
        <f>IF('AW Schulen'!$G79=0,"x",D67/'AW Schulen'!$G79)</f>
        <v>0.47379912663755458</v>
      </c>
      <c r="J67" s="155">
        <f>IF('AW Schulen'!$J79=0,"x",E67/'AW Schulen'!$J79)</f>
        <v>0.47702407002188185</v>
      </c>
      <c r="K67" s="155">
        <f>IF('AW Schulen'!$M79=0,"x",F67/'AW Schulen'!$M79)</f>
        <v>0.51973684210526316</v>
      </c>
      <c r="L67" s="156">
        <f>IF('AW Schulen'!$P79=0,"x",G67/'AW Schulen'!$P79)</f>
        <v>0.5254988913525499</v>
      </c>
    </row>
    <row r="68" spans="1:12" ht="10.15" customHeight="1">
      <c r="A68" s="224" t="s">
        <v>82</v>
      </c>
      <c r="B68" s="120"/>
      <c r="C68" s="193">
        <f>'2.2.5'!C68+'2.3.5'!C68</f>
        <v>0</v>
      </c>
      <c r="D68" s="193">
        <f>'2.2.5'!D68+'2.3.5'!D68</f>
        <v>0</v>
      </c>
      <c r="E68" s="193">
        <f>'2.2.5'!E68+'2.3.5'!E68</f>
        <v>0</v>
      </c>
      <c r="F68" s="193">
        <f>'2.2.5'!F68+'2.3.5'!F68</f>
        <v>0</v>
      </c>
      <c r="G68" s="194">
        <f>'2.2.5'!G68+'2.3.5'!G68</f>
        <v>0</v>
      </c>
      <c r="H68" s="155" t="str">
        <f>IF('AW Schulen'!$D80=0,"x",C68/'AW Schulen'!$D80)</f>
        <v>x</v>
      </c>
      <c r="I68" s="155" t="str">
        <f>IF('AW Schulen'!$G80=0,"x",D68/'AW Schulen'!$G80)</f>
        <v>x</v>
      </c>
      <c r="J68" s="155" t="str">
        <f>IF('AW Schulen'!$J80=0,"x",E68/'AW Schulen'!$J80)</f>
        <v>x</v>
      </c>
      <c r="K68" s="155" t="str">
        <f>IF('AW Schulen'!$M80=0,"x",F68/'AW Schulen'!$M80)</f>
        <v>x</v>
      </c>
      <c r="L68" s="156" t="str">
        <f>IF('AW Schulen'!$P80=0,"x",G68/'AW Schulen'!$P80)</f>
        <v>x</v>
      </c>
    </row>
    <row r="69" spans="1:12" ht="9" customHeight="1">
      <c r="A69" s="21" t="s">
        <v>83</v>
      </c>
      <c r="B69" s="120"/>
      <c r="C69" s="151">
        <f>'2.2.5'!C69+'2.3.5'!C69</f>
        <v>0</v>
      </c>
      <c r="D69" s="151">
        <f>'2.2.5'!D69+'2.3.5'!D69</f>
        <v>0</v>
      </c>
      <c r="E69" s="151">
        <f>'2.2.5'!E69+'2.3.5'!E69</f>
        <v>0</v>
      </c>
      <c r="F69" s="151">
        <f>'2.2.5'!F69+'2.3.5'!F69</f>
        <v>0</v>
      </c>
      <c r="G69" s="152">
        <f>'2.2.5'!G69+'2.3.5'!G69</f>
        <v>0</v>
      </c>
      <c r="H69" s="155" t="str">
        <f>IF('AW Schulen'!$D81=0,"x",C69/'AW Schulen'!$D81)</f>
        <v>x</v>
      </c>
      <c r="I69" s="155" t="str">
        <f>IF('AW Schulen'!$G81=0,"x",D69/'AW Schulen'!$G81)</f>
        <v>x</v>
      </c>
      <c r="J69" s="155" t="str">
        <f>IF('AW Schulen'!$J81=0,"x",E69/'AW Schulen'!$J81)</f>
        <v>x</v>
      </c>
      <c r="K69" s="155" t="str">
        <f>IF('AW Schulen'!$M81=0,"x",F69/'AW Schulen'!$M81)</f>
        <v>x</v>
      </c>
      <c r="L69" s="156" t="str">
        <f>IF('AW Schulen'!$P81=0,"x",G69/'AW Schulen'!$P81)</f>
        <v>x</v>
      </c>
    </row>
    <row r="70" spans="1:12" ht="9" customHeight="1">
      <c r="A70" s="21" t="s">
        <v>84</v>
      </c>
      <c r="B70" s="120"/>
      <c r="C70" s="151">
        <f>'2.2.5'!C70+'2.3.5'!C70</f>
        <v>0</v>
      </c>
      <c r="D70" s="151">
        <f>'2.2.5'!D70+'2.3.5'!D70</f>
        <v>0</v>
      </c>
      <c r="E70" s="151">
        <f>'2.2.5'!E70+'2.3.5'!E70</f>
        <v>0</v>
      </c>
      <c r="F70" s="151">
        <f>'2.2.5'!F70+'2.3.5'!F70</f>
        <v>0</v>
      </c>
      <c r="G70" s="152">
        <f>'2.2.5'!G70+'2.3.5'!G70</f>
        <v>0</v>
      </c>
      <c r="H70" s="155" t="str">
        <f>IF('AW Schulen'!$D82=0,"x",C70/'AW Schulen'!$D82)</f>
        <v>x</v>
      </c>
      <c r="I70" s="155" t="str">
        <f>IF('AW Schulen'!$G82=0,"x",D70/'AW Schulen'!$G82)</f>
        <v>x</v>
      </c>
      <c r="J70" s="155" t="str">
        <f>IF('AW Schulen'!$J82=0,"x",E70/'AW Schulen'!$J82)</f>
        <v>x</v>
      </c>
      <c r="K70" s="155" t="str">
        <f>IF('AW Schulen'!$M82=0,"x",F70/'AW Schulen'!$M82)</f>
        <v>x</v>
      </c>
      <c r="L70" s="156" t="str">
        <f>IF('AW Schulen'!$P82=0,"x",G70/'AW Schulen'!$P82)</f>
        <v>x</v>
      </c>
    </row>
    <row r="71" spans="1:12" ht="9" customHeight="1">
      <c r="A71" s="21" t="s">
        <v>85</v>
      </c>
      <c r="B71" s="120"/>
      <c r="C71" s="151">
        <f>'2.2.5'!C71+'2.3.5'!C71</f>
        <v>0</v>
      </c>
      <c r="D71" s="151">
        <f>'2.2.5'!D71+'2.3.5'!D71</f>
        <v>0</v>
      </c>
      <c r="E71" s="151">
        <f>'2.2.5'!E71+'2.3.5'!E71</f>
        <v>0</v>
      </c>
      <c r="F71" s="151">
        <f>'2.2.5'!F71+'2.3.5'!F71</f>
        <v>0</v>
      </c>
      <c r="G71" s="152">
        <f>'2.2.5'!G71+'2.3.5'!G71</f>
        <v>0</v>
      </c>
      <c r="H71" s="155" t="str">
        <f>IF('AW Schulen'!$D83=0,"x",C71/'AW Schulen'!$D83)</f>
        <v>x</v>
      </c>
      <c r="I71" s="155" t="str">
        <f>IF('AW Schulen'!$G83=0,"x",D71/'AW Schulen'!$G83)</f>
        <v>x</v>
      </c>
      <c r="J71" s="155" t="str">
        <f>IF('AW Schulen'!$J83=0,"x",E71/'AW Schulen'!$J83)</f>
        <v>x</v>
      </c>
      <c r="K71" s="155" t="str">
        <f>IF('AW Schulen'!$M83=0,"x",F71/'AW Schulen'!$M83)</f>
        <v>x</v>
      </c>
      <c r="L71" s="156" t="str">
        <f>IF('AW Schulen'!$P83=0,"x",G71/'AW Schulen'!$P83)</f>
        <v>x</v>
      </c>
    </row>
    <row r="72" spans="1:12" ht="9" customHeight="1">
      <c r="A72" s="21" t="s">
        <v>86</v>
      </c>
      <c r="B72" s="120"/>
      <c r="C72" s="23">
        <f>'2.2.5'!C72+'2.3.5'!C72</f>
        <v>220</v>
      </c>
      <c r="D72" s="23">
        <f>'2.2.5'!D72+'2.3.5'!D72</f>
        <v>224</v>
      </c>
      <c r="E72" s="23">
        <f>'2.2.5'!E72+'2.3.5'!E72</f>
        <v>216</v>
      </c>
      <c r="F72" s="23">
        <f>'2.2.5'!F72+'2.3.5'!F72</f>
        <v>212</v>
      </c>
      <c r="G72" s="34">
        <f>'2.2.5'!G72+'2.3.5'!G72</f>
        <v>200</v>
      </c>
      <c r="H72" s="183">
        <v>0</v>
      </c>
      <c r="I72" s="183">
        <v>0</v>
      </c>
      <c r="J72" s="183">
        <v>0</v>
      </c>
      <c r="K72" s="183">
        <v>0</v>
      </c>
      <c r="L72" s="197">
        <v>0</v>
      </c>
    </row>
    <row r="73" spans="1:12" ht="9" customHeight="1">
      <c r="A73" s="21" t="s">
        <v>87</v>
      </c>
      <c r="B73" s="120"/>
      <c r="C73" s="151">
        <f>'2.2.5'!C73+'2.3.5'!C73</f>
        <v>0</v>
      </c>
      <c r="D73" s="151">
        <f>'2.2.5'!D73+'2.3.5'!D73</f>
        <v>0</v>
      </c>
      <c r="E73" s="151">
        <f>'2.2.5'!E73+'2.3.5'!E73</f>
        <v>0</v>
      </c>
      <c r="F73" s="151">
        <f>'2.2.5'!F73+'2.3.5'!F73</f>
        <v>0</v>
      </c>
      <c r="G73" s="152">
        <f>'2.2.5'!G73+'2.3.5'!G73</f>
        <v>0</v>
      </c>
      <c r="H73" s="155" t="str">
        <f>IF('AW Schulen'!$D85=0,"x",C73/'AW Schulen'!$D85)</f>
        <v>x</v>
      </c>
      <c r="I73" s="155" t="str">
        <f>IF('AW Schulen'!$G85=0,"x",D73/'AW Schulen'!$G85)</f>
        <v>x</v>
      </c>
      <c r="J73" s="155" t="str">
        <f>IF('AW Schulen'!$J85=0,"x",E73/'AW Schulen'!$J85)</f>
        <v>x</v>
      </c>
      <c r="K73" s="155" t="str">
        <f>IF('AW Schulen'!$M85=0,"x",F73/'AW Schulen'!$M85)</f>
        <v>x</v>
      </c>
      <c r="L73" s="156" t="str">
        <f>IF('AW Schulen'!$P85=0,"x",G73/'AW Schulen'!$P85)</f>
        <v>x</v>
      </c>
    </row>
    <row r="74" spans="1:12" ht="9" customHeight="1">
      <c r="A74" s="21" t="s">
        <v>88</v>
      </c>
      <c r="B74" s="120"/>
      <c r="C74" s="23">
        <f>'2.2.5'!C74+'2.3.5'!C74</f>
        <v>273</v>
      </c>
      <c r="D74" s="23">
        <f>'2.2.5'!D74+'2.3.5'!D74</f>
        <v>278</v>
      </c>
      <c r="E74" s="23">
        <f>'2.2.5'!E74+'2.3.5'!E74</f>
        <v>261</v>
      </c>
      <c r="F74" s="23">
        <f>'2.2.5'!F74+'2.3.5'!F74</f>
        <v>236</v>
      </c>
      <c r="G74" s="34">
        <f>'2.2.5'!G74+'2.3.5'!G74</f>
        <v>168</v>
      </c>
      <c r="H74" s="183">
        <v>0</v>
      </c>
      <c r="I74" s="183">
        <v>0</v>
      </c>
      <c r="J74" s="183">
        <v>0</v>
      </c>
      <c r="K74" s="183">
        <v>0</v>
      </c>
      <c r="L74" s="197">
        <v>0</v>
      </c>
    </row>
    <row r="75" spans="1:12" ht="9" customHeight="1">
      <c r="A75" s="21" t="s">
        <v>89</v>
      </c>
      <c r="B75" s="120"/>
      <c r="C75" s="23">
        <f>'2.2.5'!C75+'2.3.5'!C75</f>
        <v>0</v>
      </c>
      <c r="D75" s="23">
        <f>'2.2.5'!D75+'2.3.5'!D75</f>
        <v>0</v>
      </c>
      <c r="E75" s="23">
        <f>'2.2.5'!E75+'2.3.5'!E75</f>
        <v>0</v>
      </c>
      <c r="F75" s="23">
        <f>'2.2.5'!F75+'2.3.5'!F75</f>
        <v>0</v>
      </c>
      <c r="G75" s="34">
        <f>'2.2.5'!G75+'2.3.5'!G75</f>
        <v>0</v>
      </c>
      <c r="H75" s="155">
        <f>IF('AW Schulen'!$D87=0,"x",C75/'AW Schulen'!$D87)</f>
        <v>0</v>
      </c>
      <c r="I75" s="155">
        <f>IF('AW Schulen'!$G87=0,"x",D75/'AW Schulen'!$G87)</f>
        <v>0</v>
      </c>
      <c r="J75" s="155">
        <f>IF('AW Schulen'!$J87=0,"x",E75/'AW Schulen'!$J87)</f>
        <v>0</v>
      </c>
      <c r="K75" s="155">
        <f>IF('AW Schulen'!$M87=0,"x",F75/'AW Schulen'!$M87)</f>
        <v>0</v>
      </c>
      <c r="L75" s="156">
        <f>IF('AW Schulen'!$P87=0,"x",G75/'AW Schulen'!$P87)</f>
        <v>0</v>
      </c>
    </row>
    <row r="76" spans="1:12" ht="9" customHeight="1">
      <c r="A76" s="21" t="s">
        <v>90</v>
      </c>
      <c r="B76" s="120"/>
      <c r="C76" s="23">
        <f>'2.2.5'!C76+'2.3.5'!C76</f>
        <v>1</v>
      </c>
      <c r="D76" s="23">
        <f>'2.2.5'!D76+'2.3.5'!D76</f>
        <v>1</v>
      </c>
      <c r="E76" s="23">
        <f>'2.2.5'!E76+'2.3.5'!E76</f>
        <v>1</v>
      </c>
      <c r="F76" s="23">
        <f>'2.2.5'!F76+'2.3.5'!F76</f>
        <v>1</v>
      </c>
      <c r="G76" s="34">
        <f>'2.2.5'!G76+'2.3.5'!G76</f>
        <v>1</v>
      </c>
      <c r="H76" s="155">
        <f>IF('AW Schulen'!$D88=0,"x",C76/'AW Schulen'!$D88)</f>
        <v>5.5555555555555552E-2</v>
      </c>
      <c r="I76" s="155">
        <f>IF('AW Schulen'!$G88=0,"x",D76/'AW Schulen'!$G88)</f>
        <v>9.0909090909090912E-2</v>
      </c>
      <c r="J76" s="155">
        <f>IF('AW Schulen'!$J88=0,"x",E76/'AW Schulen'!$J88)</f>
        <v>0.1</v>
      </c>
      <c r="K76" s="155">
        <f>IF('AW Schulen'!$M88=0,"x",F76/'AW Schulen'!$M88)</f>
        <v>0.1111111111111111</v>
      </c>
      <c r="L76" s="156">
        <f>IF('AW Schulen'!$P88=0,"x",G76/'AW Schulen'!$P88)</f>
        <v>0.1111111111111111</v>
      </c>
    </row>
    <row r="77" spans="1:12" ht="9" customHeight="1">
      <c r="A77" s="21" t="s">
        <v>91</v>
      </c>
      <c r="B77" s="120"/>
      <c r="C77" s="23">
        <f>'2.2.5'!C77+'2.3.5'!C77</f>
        <v>3</v>
      </c>
      <c r="D77" s="23">
        <f>'2.2.5'!D77+'2.3.5'!D77</f>
        <v>3</v>
      </c>
      <c r="E77" s="23">
        <f>'2.2.5'!E77+'2.3.5'!E77</f>
        <v>3</v>
      </c>
      <c r="F77" s="23">
        <f>'2.2.5'!F77+'2.3.5'!F77</f>
        <v>3</v>
      </c>
      <c r="G77" s="34">
        <f>'2.2.5'!G77+'2.3.5'!G77</f>
        <v>2</v>
      </c>
      <c r="H77" s="155">
        <f>IF('AW Schulen'!$D89=0,"x",C77/'AW Schulen'!$D89)</f>
        <v>1</v>
      </c>
      <c r="I77" s="155">
        <f>IF('AW Schulen'!$G89=0,"x",D77/'AW Schulen'!$G89)</f>
        <v>1</v>
      </c>
      <c r="J77" s="155">
        <f>IF('AW Schulen'!$J89=0,"x",E77/'AW Schulen'!$J89)</f>
        <v>1</v>
      </c>
      <c r="K77" s="155">
        <f>IF('AW Schulen'!$M89=0,"x",F77/'AW Schulen'!$M89)</f>
        <v>1</v>
      </c>
      <c r="L77" s="156">
        <f>IF('AW Schulen'!$P89=0,"x",G77/'AW Schulen'!$P89)</f>
        <v>1</v>
      </c>
    </row>
    <row r="78" spans="1:12" ht="9" customHeight="1">
      <c r="A78" s="21" t="s">
        <v>92</v>
      </c>
      <c r="B78" s="120"/>
      <c r="C78" s="193">
        <f>'2.2.5'!C78+'2.3.5'!C78</f>
        <v>0</v>
      </c>
      <c r="D78" s="193">
        <f>'2.2.5'!D78+'2.3.5'!D78</f>
        <v>0</v>
      </c>
      <c r="E78" s="193">
        <f>'2.2.5'!E78+'2.3.5'!E78</f>
        <v>0</v>
      </c>
      <c r="F78" s="193">
        <f>'2.2.5'!F78+'2.3.5'!F78</f>
        <v>0</v>
      </c>
      <c r="G78" s="194">
        <f>'2.2.5'!G78+'2.3.5'!G78</f>
        <v>0</v>
      </c>
      <c r="H78" s="155" t="str">
        <f>IF('AW Schulen'!$D90=0,"x",C78/'AW Schulen'!$D90)</f>
        <v>x</v>
      </c>
      <c r="I78" s="155" t="str">
        <f>IF('AW Schulen'!$G90=0,"x",D78/'AW Schulen'!$G90)</f>
        <v>x</v>
      </c>
      <c r="J78" s="155" t="str">
        <f>IF('AW Schulen'!$J90=0,"x",E78/'AW Schulen'!$J90)</f>
        <v>x</v>
      </c>
      <c r="K78" s="155" t="str">
        <f>IF('AW Schulen'!$M90=0,"x",F78/'AW Schulen'!$M90)</f>
        <v>x</v>
      </c>
      <c r="L78" s="156" t="str">
        <f>IF('AW Schulen'!$P90=0,"x",G78/'AW Schulen'!$P90)</f>
        <v>x</v>
      </c>
    </row>
    <row r="79" spans="1:12" ht="9" customHeight="1">
      <c r="A79" s="21" t="s">
        <v>93</v>
      </c>
      <c r="B79" s="120"/>
      <c r="C79" s="193">
        <f>'2.2.5'!C79+'2.3.5'!C79</f>
        <v>0</v>
      </c>
      <c r="D79" s="193">
        <f>'2.2.5'!D79+'2.3.5'!D79</f>
        <v>0</v>
      </c>
      <c r="E79" s="193">
        <f>'2.2.5'!E79+'2.3.5'!E79</f>
        <v>0</v>
      </c>
      <c r="F79" s="193">
        <f>'2.2.5'!F79+'2.3.5'!F79</f>
        <v>0</v>
      </c>
      <c r="G79" s="194">
        <f>'2.2.5'!G79+'2.3.5'!G79</f>
        <v>0</v>
      </c>
      <c r="H79" s="155" t="str">
        <f>IF('AW Schulen'!$D91=0,"x",C79/'AW Schulen'!$D91)</f>
        <v>x</v>
      </c>
      <c r="I79" s="155" t="str">
        <f>IF('AW Schulen'!$G91=0,"x",D79/'AW Schulen'!$G91)</f>
        <v>x</v>
      </c>
      <c r="J79" s="155" t="str">
        <f>IF('AW Schulen'!$G91=0,"x",E79/'AW Schulen'!$G91)</f>
        <v>x</v>
      </c>
      <c r="K79" s="155" t="str">
        <f>IF('AW Schulen'!$G91=0,"x",F79/'AW Schulen'!$G91)</f>
        <v>x</v>
      </c>
      <c r="L79" s="156" t="str">
        <f>IF('AW Schulen'!$G91=0,"x",G79/'AW Schulen'!$G91)</f>
        <v>x</v>
      </c>
    </row>
    <row r="80" spans="1:12" ht="9" customHeight="1">
      <c r="A80" s="21" t="s">
        <v>94</v>
      </c>
      <c r="B80" s="120"/>
      <c r="C80" s="23">
        <f>'2.2.5'!C80+'2.3.5'!C80</f>
        <v>122</v>
      </c>
      <c r="D80" s="23">
        <f>'2.2.5'!D80+'2.3.5'!D80</f>
        <v>66</v>
      </c>
      <c r="E80" s="23">
        <f>'2.2.5'!E80+'2.3.5'!E80</f>
        <v>23</v>
      </c>
      <c r="F80" s="23">
        <f>'2.2.5'!F80+'2.3.5'!F80</f>
        <v>0</v>
      </c>
      <c r="G80" s="194">
        <f>'2.2.5'!G80+'2.3.5'!G80</f>
        <v>0</v>
      </c>
      <c r="H80" s="155">
        <f>IF('AW Schulen'!$D92=0,"x",C80/'AW Schulen'!$D92)</f>
        <v>0.82432432432432434</v>
      </c>
      <c r="I80" s="155">
        <f>IF('AW Schulen'!$G92=0,"x",D80/'AW Schulen'!$G92)</f>
        <v>0.84615384615384615</v>
      </c>
      <c r="J80" s="155">
        <f>IF('AW Schulen'!$J92=0,"x",E80/'AW Schulen'!$J92)</f>
        <v>0.76666666666666672</v>
      </c>
      <c r="K80" s="155">
        <f>IF('AW Schulen'!$M92=0,"x",F80/'AW Schulen'!$M92)</f>
        <v>0</v>
      </c>
      <c r="L80" s="156" t="str">
        <f>IF('AW Schulen'!$P92=0,"x",G80/'AW Schulen'!$P92)</f>
        <v>x</v>
      </c>
    </row>
    <row r="81" spans="1:12" ht="9" customHeight="1">
      <c r="A81" s="21" t="s">
        <v>95</v>
      </c>
      <c r="B81" s="120"/>
      <c r="C81" s="193">
        <f>'2.2.5'!C81+'2.3.5'!C81</f>
        <v>0</v>
      </c>
      <c r="D81" s="193">
        <f>'2.2.5'!D81+'2.3.5'!D81</f>
        <v>0</v>
      </c>
      <c r="E81" s="193">
        <f>'2.2.5'!E81+'2.3.5'!E81</f>
        <v>0</v>
      </c>
      <c r="F81" s="193">
        <f>'2.2.5'!F81+'2.3.5'!F81</f>
        <v>0</v>
      </c>
      <c r="G81" s="194">
        <f>'2.2.5'!G81+'2.3.5'!G81</f>
        <v>0</v>
      </c>
      <c r="H81" s="155" t="str">
        <f>IF('AW Schulen'!$D93=0,"x",C81/'AW Schulen'!$D93)</f>
        <v>x</v>
      </c>
      <c r="I81" s="155" t="str">
        <f>IF('AW Schulen'!$G93=0,"x",D81/'AW Schulen'!$G93)</f>
        <v>x</v>
      </c>
      <c r="J81" s="155" t="str">
        <f>IF('AW Schulen'!$J93=0,"x",E81/'AW Schulen'!$J93)</f>
        <v>x</v>
      </c>
      <c r="K81" s="155" t="str">
        <f>IF('AW Schulen'!$M93=0,"x",F81/'AW Schulen'!$M93)</f>
        <v>x</v>
      </c>
      <c r="L81" s="156" t="str">
        <f>IF('AW Schulen'!$P93=0,"x",G81/'AW Schulen'!$P93)</f>
        <v>x</v>
      </c>
    </row>
    <row r="82" spans="1:12" ht="9" customHeight="1">
      <c r="A82" s="24" t="s">
        <v>96</v>
      </c>
      <c r="B82" s="121"/>
      <c r="C82" s="26">
        <f>'2.2.5'!C82+'2.3.5'!C82</f>
        <v>951</v>
      </c>
      <c r="D82" s="26">
        <f>'2.2.5'!D82+'2.3.5'!D82</f>
        <v>904</v>
      </c>
      <c r="E82" s="26">
        <f>'2.2.5'!E82+'2.3.5'!E82</f>
        <v>854</v>
      </c>
      <c r="F82" s="26">
        <f>'2.2.5'!F82+'2.3.5'!F82</f>
        <v>830</v>
      </c>
      <c r="G82" s="47">
        <f>'2.2.5'!G82+'2.3.5'!G82</f>
        <v>766</v>
      </c>
      <c r="H82" s="157">
        <f>IF('AW Schulen'!$D94=0,"x",C82/'AW Schulen'!$D94)</f>
        <v>0.39526184538653364</v>
      </c>
      <c r="I82" s="157">
        <f>IF('AW Schulen'!$G94=0,"x",D82/'AW Schulen'!$G94)</f>
        <v>0.38748392627518219</v>
      </c>
      <c r="J82" s="157">
        <f>IF('AW Schulen'!$J94=0,"x",E82/'AW Schulen'!$J94)</f>
        <v>0.3783783783783784</v>
      </c>
      <c r="K82" s="157">
        <f>IF('AW Schulen'!$M94=0,"x",F82/'AW Schulen'!$M94)</f>
        <v>0.37710131758291687</v>
      </c>
      <c r="L82" s="158">
        <f>IF('AW Schulen'!$P94=0,"x",G82/'AW Schulen'!$P94)</f>
        <v>0.37827160493827161</v>
      </c>
    </row>
    <row r="83" spans="1:12" ht="18.75" customHeight="1">
      <c r="A83" s="396" t="s">
        <v>312</v>
      </c>
      <c r="B83" s="396"/>
      <c r="C83" s="396"/>
      <c r="D83" s="396"/>
      <c r="E83" s="396"/>
      <c r="F83" s="396"/>
      <c r="G83" s="396"/>
      <c r="H83" s="396"/>
      <c r="I83" s="396"/>
      <c r="J83" s="396"/>
      <c r="K83" s="396"/>
      <c r="L83" s="396"/>
    </row>
    <row r="84" spans="1:12" ht="18.600000000000001" customHeight="1">
      <c r="A84" s="381" t="s">
        <v>198</v>
      </c>
      <c r="B84" s="381"/>
      <c r="C84" s="381"/>
      <c r="D84" s="381"/>
      <c r="E84" s="381"/>
      <c r="F84" s="381"/>
      <c r="G84" s="381"/>
      <c r="H84" s="381"/>
      <c r="I84" s="394"/>
      <c r="J84" s="394"/>
      <c r="K84" s="394"/>
      <c r="L84" s="394"/>
    </row>
    <row r="85" spans="1:12" ht="10.5" customHeight="1">
      <c r="A85" s="214" t="s">
        <v>101</v>
      </c>
    </row>
  </sheetData>
  <mergeCells count="9">
    <mergeCell ref="A1:L1"/>
    <mergeCell ref="A84:L84"/>
    <mergeCell ref="C9:G9"/>
    <mergeCell ref="H9:L9"/>
    <mergeCell ref="A11:L11"/>
    <mergeCell ref="A29:L29"/>
    <mergeCell ref="A47:L47"/>
    <mergeCell ref="A65:L65"/>
    <mergeCell ref="A83:L83"/>
  </mergeCells>
  <phoneticPr fontId="18" type="noConversion"/>
  <conditionalFormatting sqref="N25">
    <cfRule type="cellIs" dxfId="6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M88"/>
  <sheetViews>
    <sheetView view="pageBreakPreview" topLeftCell="A13" zoomScale="175" zoomScaleNormal="115" zoomScaleSheetLayoutView="175"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4" width="8.7109375" style="2" customWidth="1"/>
    <col min="15" max="16384" width="11.42578125" style="2"/>
  </cols>
  <sheetData>
    <row r="1" spans="1:13" ht="13.5">
      <c r="A1" s="383">
        <f>'2.1.5'!A1:G1+1</f>
        <v>9</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4.1" customHeight="1">
      <c r="A5" s="13" t="s">
        <v>16</v>
      </c>
      <c r="B5" s="39" t="s">
        <v>135</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148</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230</v>
      </c>
      <c r="D12" s="42">
        <f t="shared" ref="D12:E12" si="1">SUM(D30,D48,D66)</f>
        <v>244</v>
      </c>
      <c r="E12" s="42">
        <f t="shared" si="1"/>
        <v>247</v>
      </c>
      <c r="F12" s="42">
        <f t="shared" ref="F12:G12" si="2">SUM(F30,F48,F66)</f>
        <v>251</v>
      </c>
      <c r="G12" s="44">
        <f t="shared" si="2"/>
        <v>260</v>
      </c>
      <c r="H12" s="153">
        <f>IF('AW Schulen'!$D96=0,"x",C12/'AW Schulen'!$D96)</f>
        <v>0.50549450549450547</v>
      </c>
      <c r="I12" s="153">
        <f>IF('AW Schulen'!$G96=0,"x",D12/'AW Schulen'!$G96)</f>
        <v>0.53275109170305679</v>
      </c>
      <c r="J12" s="153">
        <f>IF('AW Schulen'!$J96=0,"x",E12/'AW Schulen'!$J96)</f>
        <v>0.53812636165577343</v>
      </c>
      <c r="K12" s="153">
        <f>IF('AW Schulen'!$M96=0,"x",F12/'AW Schulen'!$M96)</f>
        <v>0.54684095860566451</v>
      </c>
      <c r="L12" s="154">
        <f>IF('AW Schulen'!$P96=0,"x",G12/'AW Schulen'!$P96)</f>
        <v>0.56644880174291934</v>
      </c>
    </row>
    <row r="13" spans="1:13" ht="9" customHeight="1">
      <c r="A13" s="21" t="s">
        <v>216</v>
      </c>
      <c r="B13" s="120"/>
      <c r="C13" s="42">
        <f t="shared" ref="C13:C28" si="3">SUM(C31,C49,C67)</f>
        <v>303</v>
      </c>
      <c r="D13" s="42">
        <f t="shared" ref="D13:E13" si="4">SUM(D31,D49,D67)</f>
        <v>332</v>
      </c>
      <c r="E13" s="42">
        <f t="shared" si="4"/>
        <v>332</v>
      </c>
      <c r="F13" s="42" t="e">
        <f t="shared" ref="F13:G13" si="5">SUM(F31,F49,F67)</f>
        <v>#VALUE!</v>
      </c>
      <c r="G13" s="44">
        <f t="shared" si="5"/>
        <v>358</v>
      </c>
      <c r="H13" s="153">
        <f>IF('AW Schulen'!$D97=0,"x",C13/'AW Schulen'!$D97)</f>
        <v>0.72488038277511957</v>
      </c>
      <c r="I13" s="153">
        <f>IF('AW Schulen'!$G97=0,"x",D13/'AW Schulen'!$G97)</f>
        <v>0.78672985781990523</v>
      </c>
      <c r="J13" s="153">
        <f>IF('AW Schulen'!$J97=0,"x",E13/'AW Schulen'!$J97)</f>
        <v>0.78301886792452835</v>
      </c>
      <c r="K13" s="153" t="e">
        <f>IF('AW Schulen'!$M97=0,"x",F13/'AW Schulen'!$M97)</f>
        <v>#VALUE!</v>
      </c>
      <c r="L13" s="154">
        <f>IF('AW Schulen'!$P97=0,"x",G13/'AW Schulen'!$P97)</f>
        <v>0.84037558685446012</v>
      </c>
    </row>
    <row r="14" spans="1:13" ht="9" customHeight="1">
      <c r="A14" s="21" t="s">
        <v>82</v>
      </c>
      <c r="B14" s="120"/>
      <c r="C14" s="198">
        <f t="shared" si="3"/>
        <v>34</v>
      </c>
      <c r="D14" s="198">
        <f t="shared" ref="D14:E14" si="6">SUM(D32,D50,D68)</f>
        <v>26</v>
      </c>
      <c r="E14" s="198">
        <f t="shared" si="6"/>
        <v>22</v>
      </c>
      <c r="F14" s="198">
        <f t="shared" ref="F14:G14" si="7">SUM(F32,F50,F68)</f>
        <v>31</v>
      </c>
      <c r="G14" s="199">
        <f t="shared" si="7"/>
        <v>33</v>
      </c>
      <c r="H14" s="153">
        <f>IF('AW Schulen'!$D98=0,"x",C14/'AW Schulen'!$D98)</f>
        <v>0.29310344827586204</v>
      </c>
      <c r="I14" s="153">
        <f>IF('AW Schulen'!$G98=0,"x",D14/'AW Schulen'!$G98)</f>
        <v>0.25742574257425743</v>
      </c>
      <c r="J14" s="153">
        <f>IF('AW Schulen'!$J98=0,"x",E14/'AW Schulen'!$J98)</f>
        <v>0.19469026548672566</v>
      </c>
      <c r="K14" s="153">
        <f>IF('AW Schulen'!$M98=0,"x",F14/'AW Schulen'!$M98)</f>
        <v>0.27433628318584069</v>
      </c>
      <c r="L14" s="154">
        <f>IF('AW Schulen'!$P98=0,"x",G14/'AW Schulen'!$P98)</f>
        <v>0.29203539823008851</v>
      </c>
    </row>
    <row r="15" spans="1:13" ht="9" customHeight="1">
      <c r="A15" s="21" t="s">
        <v>83</v>
      </c>
      <c r="B15" s="120"/>
      <c r="C15" s="149">
        <f t="shared" si="3"/>
        <v>52</v>
      </c>
      <c r="D15" s="149">
        <f t="shared" ref="D15:E15" si="8">SUM(D33,D51,D69)</f>
        <v>52</v>
      </c>
      <c r="E15" s="149">
        <f t="shared" si="8"/>
        <v>55</v>
      </c>
      <c r="F15" s="149">
        <f t="shared" ref="F15:G15" si="9">SUM(F33,F51,F69)</f>
        <v>56</v>
      </c>
      <c r="G15" s="150">
        <f t="shared" si="9"/>
        <v>57</v>
      </c>
      <c r="H15" s="153">
        <f>IF('AW Schulen'!$D99=0,"x",C15/'AW Schulen'!$D99)</f>
        <v>0.52</v>
      </c>
      <c r="I15" s="153">
        <f>IF('AW Schulen'!$G99=0,"x",D15/'AW Schulen'!$G99)</f>
        <v>0.5252525252525253</v>
      </c>
      <c r="J15" s="153">
        <f>IF('AW Schulen'!$J99=0,"x",E15/'AW Schulen'!$J99)</f>
        <v>0.55000000000000004</v>
      </c>
      <c r="K15" s="153">
        <f>IF('AW Schulen'!$M99=0,"x",F15/'AW Schulen'!$M99)</f>
        <v>0.5544554455445545</v>
      </c>
      <c r="L15" s="154">
        <f>IF('AW Schulen'!$P99=0,"x",G15/'AW Schulen'!$P99)</f>
        <v>0.55882352941176472</v>
      </c>
    </row>
    <row r="16" spans="1:13" ht="9" customHeight="1">
      <c r="A16" s="21" t="s">
        <v>84</v>
      </c>
      <c r="B16" s="120"/>
      <c r="C16" s="149">
        <f t="shared" si="3"/>
        <v>7</v>
      </c>
      <c r="D16" s="149">
        <f t="shared" ref="D16:E16" si="10">SUM(D34,D52,D70)</f>
        <v>4</v>
      </c>
      <c r="E16" s="149">
        <f t="shared" si="10"/>
        <v>4</v>
      </c>
      <c r="F16" s="149">
        <f t="shared" ref="F16:G16" si="11">SUM(F34,F52,F70)</f>
        <v>4</v>
      </c>
      <c r="G16" s="150">
        <f t="shared" si="11"/>
        <v>2</v>
      </c>
      <c r="H16" s="153">
        <f>IF('AW Schulen'!$D100=0,"x",C16/'AW Schulen'!$D100)</f>
        <v>0.19444444444444445</v>
      </c>
      <c r="I16" s="153">
        <f>IF('AW Schulen'!$G100=0,"x",D16/'AW Schulen'!$G100)</f>
        <v>0.13333333333333333</v>
      </c>
      <c r="J16" s="153">
        <f>IF('AW Schulen'!$J100=0,"x",E16/'AW Schulen'!$J100)</f>
        <v>0.18181818181818182</v>
      </c>
      <c r="K16" s="153">
        <f>IF('AW Schulen'!$M100=0,"x",F16/'AW Schulen'!$M100)</f>
        <v>0.2857142857142857</v>
      </c>
      <c r="L16" s="154">
        <f>IF('AW Schulen'!$P100=0,"x",G16/'AW Schulen'!$P100)</f>
        <v>0.15384615384615385</v>
      </c>
    </row>
    <row r="17" spans="1:12" ht="9" customHeight="1">
      <c r="A17" s="21" t="s">
        <v>85</v>
      </c>
      <c r="B17" s="120"/>
      <c r="C17" s="149">
        <f t="shared" si="3"/>
        <v>69</v>
      </c>
      <c r="D17" s="149">
        <f t="shared" ref="D17:E17" si="12">SUM(D35,D53,D71)</f>
        <v>69</v>
      </c>
      <c r="E17" s="149">
        <f t="shared" si="12"/>
        <v>69</v>
      </c>
      <c r="F17" s="149">
        <f t="shared" ref="F17:G17" si="13">SUM(F35,F53,F71)</f>
        <v>69</v>
      </c>
      <c r="G17" s="150">
        <f t="shared" si="13"/>
        <v>70</v>
      </c>
      <c r="H17" s="153">
        <f>IF('AW Schulen'!$D101=0,"x",C17/'AW Schulen'!$D101)</f>
        <v>0.88461538461538458</v>
      </c>
      <c r="I17" s="153">
        <f>IF('AW Schulen'!$G101=0,"x",D17/'AW Schulen'!$G101)</f>
        <v>0.88461538461538458</v>
      </c>
      <c r="J17" s="153">
        <f>IF('AW Schulen'!$J101=0,"x",E17/'AW Schulen'!$J101)</f>
        <v>0.9452054794520548</v>
      </c>
      <c r="K17" s="153">
        <f>IF('AW Schulen'!$M101=0,"x",F17/'AW Schulen'!$M101)</f>
        <v>0.9452054794520548</v>
      </c>
      <c r="L17" s="154">
        <f>IF('AW Schulen'!$P101=0,"x",G17/'AW Schulen'!$P101)</f>
        <v>0.94594594594594594</v>
      </c>
    </row>
    <row r="18" spans="1:12" ht="9" customHeight="1">
      <c r="A18" s="21" t="s">
        <v>86</v>
      </c>
      <c r="B18" s="120"/>
      <c r="C18" s="42">
        <f t="shared" si="3"/>
        <v>219</v>
      </c>
      <c r="D18" s="42">
        <f t="shared" ref="D18:E18" si="14">SUM(D36,D54,D72)</f>
        <v>218</v>
      </c>
      <c r="E18" s="42">
        <f t="shared" si="14"/>
        <v>217</v>
      </c>
      <c r="F18" s="42">
        <f t="shared" ref="F18:G18" si="15">SUM(F36,F54,F72)</f>
        <v>219</v>
      </c>
      <c r="G18" s="44">
        <f t="shared" si="15"/>
        <v>220</v>
      </c>
      <c r="H18" s="182">
        <v>0</v>
      </c>
      <c r="I18" s="182">
        <v>0</v>
      </c>
      <c r="J18" s="182">
        <v>0</v>
      </c>
      <c r="K18" s="182">
        <v>0</v>
      </c>
      <c r="L18" s="196">
        <v>0</v>
      </c>
    </row>
    <row r="19" spans="1:12" ht="9" customHeight="1">
      <c r="A19" s="21" t="s">
        <v>223</v>
      </c>
      <c r="B19" s="120"/>
      <c r="C19" s="149">
        <f t="shared" si="3"/>
        <v>62</v>
      </c>
      <c r="D19" s="149">
        <f t="shared" ref="D19:E19" si="16">SUM(D37,D55,D73)</f>
        <v>64</v>
      </c>
      <c r="E19" s="149">
        <f t="shared" si="16"/>
        <v>64</v>
      </c>
      <c r="F19" s="149">
        <f t="shared" ref="F19:G19" si="17">SUM(F37,F55,F73)</f>
        <v>66</v>
      </c>
      <c r="G19" s="150">
        <f t="shared" si="17"/>
        <v>66</v>
      </c>
      <c r="H19" s="153">
        <f>IF('AW Schulen'!$D103=0,"x",C19/'AW Schulen'!$D103)</f>
        <v>0.84931506849315064</v>
      </c>
      <c r="I19" s="153">
        <f>IF('AW Schulen'!$G103=0,"x",D19/'AW Schulen'!$G103)</f>
        <v>0.88888888888888884</v>
      </c>
      <c r="J19" s="153">
        <f>IF('AW Schulen'!$J103=0,"x",E19/'AW Schulen'!$J103)</f>
        <v>0.87671232876712324</v>
      </c>
      <c r="K19" s="153">
        <f>IF('AW Schulen'!$M103=0,"x",F19/'AW Schulen'!$M103)</f>
        <v>0.89189189189189189</v>
      </c>
      <c r="L19" s="154">
        <f>IF('AW Schulen'!$P103=0,"x",G19/'AW Schulen'!$P103)</f>
        <v>0.88</v>
      </c>
    </row>
    <row r="20" spans="1:12" ht="9" customHeight="1">
      <c r="A20" s="21" t="s">
        <v>88</v>
      </c>
      <c r="B20" s="120"/>
      <c r="C20" s="42">
        <f t="shared" si="3"/>
        <v>208</v>
      </c>
      <c r="D20" s="42">
        <f t="shared" ref="D20:E20" si="18">SUM(D38,D56,D74)</f>
        <v>223</v>
      </c>
      <c r="E20" s="42">
        <f t="shared" si="18"/>
        <v>230</v>
      </c>
      <c r="F20" s="42">
        <f t="shared" ref="F20:G20" si="19">SUM(F38,F56,F74)</f>
        <v>233</v>
      </c>
      <c r="G20" s="44">
        <f t="shared" si="19"/>
        <v>239</v>
      </c>
      <c r="H20" s="182">
        <v>0</v>
      </c>
      <c r="I20" s="182">
        <v>0</v>
      </c>
      <c r="J20" s="182">
        <v>0</v>
      </c>
      <c r="K20" s="182">
        <v>0</v>
      </c>
      <c r="L20" s="196">
        <v>0</v>
      </c>
    </row>
    <row r="21" spans="1:12" ht="9" customHeight="1">
      <c r="A21" s="21" t="s">
        <v>89</v>
      </c>
      <c r="B21" s="120"/>
      <c r="C21" s="42">
        <f t="shared" si="3"/>
        <v>150</v>
      </c>
      <c r="D21" s="42">
        <f t="shared" ref="D21:E21" si="20">SUM(D39,D57,D75)</f>
        <v>156</v>
      </c>
      <c r="E21" s="42">
        <f t="shared" si="20"/>
        <v>161</v>
      </c>
      <c r="F21" s="42">
        <f t="shared" ref="F21:G21" si="21">SUM(F39,F57,F75)</f>
        <v>167</v>
      </c>
      <c r="G21" s="44">
        <f t="shared" si="21"/>
        <v>171</v>
      </c>
      <c r="H21" s="153">
        <f>IF('AW Schulen'!$D105=0,"x",C21/'AW Schulen'!$D105)</f>
        <v>0.23923444976076555</v>
      </c>
      <c r="I21" s="153">
        <f>IF('AW Schulen'!$G105=0,"x",D21/'AW Schulen'!$G105)</f>
        <v>0.24880382775119617</v>
      </c>
      <c r="J21" s="153">
        <f>IF('AW Schulen'!$J105=0,"x",E21/'AW Schulen'!$J105)</f>
        <v>0.2576</v>
      </c>
      <c r="K21" s="153">
        <f>IF('AW Schulen'!$M105=0,"x",F21/'AW Schulen'!$M105)</f>
        <v>0.26719999999999999</v>
      </c>
      <c r="L21" s="154">
        <f>IF('AW Schulen'!$P105=0,"x",G21/'AW Schulen'!$P105)</f>
        <v>0.2731629392971246</v>
      </c>
    </row>
    <row r="22" spans="1:12" ht="9" customHeight="1">
      <c r="A22" s="21" t="s">
        <v>90</v>
      </c>
      <c r="B22" s="120"/>
      <c r="C22" s="42">
        <f t="shared" si="3"/>
        <v>73</v>
      </c>
      <c r="D22" s="42">
        <f t="shared" ref="D22:E22" si="22">SUM(D40,D58,D76)</f>
        <v>71</v>
      </c>
      <c r="E22" s="42">
        <f t="shared" si="22"/>
        <v>74</v>
      </c>
      <c r="F22" s="42">
        <f t="shared" ref="F22:G22" si="23">SUM(F40,F58,F76)</f>
        <v>71</v>
      </c>
      <c r="G22" s="44">
        <f t="shared" si="23"/>
        <v>75</v>
      </c>
      <c r="H22" s="153">
        <f>IF('AW Schulen'!$D106=0,"x",C22/'AW Schulen'!$D106)</f>
        <v>0.48993288590604028</v>
      </c>
      <c r="I22" s="153">
        <f>IF('AW Schulen'!$G106=0,"x",D22/'AW Schulen'!$G106)</f>
        <v>0.47651006711409394</v>
      </c>
      <c r="J22" s="153">
        <f>IF('AW Schulen'!$J106=0,"x",E22/'AW Schulen'!$J106)</f>
        <v>0.49333333333333335</v>
      </c>
      <c r="K22" s="153">
        <f>IF('AW Schulen'!$M106=0,"x",F22/'AW Schulen'!$M106)</f>
        <v>0.47019867549668876</v>
      </c>
      <c r="L22" s="154">
        <f>IF('AW Schulen'!$P106=0,"x",G22/'AW Schulen'!$P106)</f>
        <v>0.49668874172185429</v>
      </c>
    </row>
    <row r="23" spans="1:12" ht="9" customHeight="1">
      <c r="A23" s="21" t="s">
        <v>91</v>
      </c>
      <c r="B23" s="120"/>
      <c r="C23" s="42">
        <f t="shared" si="3"/>
        <v>33</v>
      </c>
      <c r="D23" s="42">
        <f t="shared" ref="D23:E23" si="24">SUM(D41,D59,D77)</f>
        <v>33</v>
      </c>
      <c r="E23" s="42">
        <f t="shared" si="24"/>
        <v>33</v>
      </c>
      <c r="F23" s="42">
        <f t="shared" ref="F23:G23" si="25">SUM(F41,F59,F77)</f>
        <v>33</v>
      </c>
      <c r="G23" s="44">
        <f t="shared" si="25"/>
        <v>33</v>
      </c>
      <c r="H23" s="153">
        <f>IF('AW Schulen'!$D107=0,"x",C23/'AW Schulen'!$D107)</f>
        <v>1</v>
      </c>
      <c r="I23" s="153">
        <f>IF('AW Schulen'!$G107=0,"x",D23/'AW Schulen'!$G107)</f>
        <v>1</v>
      </c>
      <c r="J23" s="153">
        <f>IF('AW Schulen'!$J107=0,"x",E23/'AW Schulen'!$J107)</f>
        <v>1</v>
      </c>
      <c r="K23" s="153">
        <f>IF('AW Schulen'!$M107=0,"x",F23/'AW Schulen'!$M107)</f>
        <v>1</v>
      </c>
      <c r="L23" s="154">
        <f>IF('AW Schulen'!$P107=0,"x",G23/'AW Schulen'!$P107)</f>
        <v>1</v>
      </c>
    </row>
    <row r="24" spans="1:12" ht="9" customHeight="1">
      <c r="A24" s="21" t="s">
        <v>92</v>
      </c>
      <c r="B24" s="120"/>
      <c r="C24" s="198">
        <f t="shared" si="3"/>
        <v>142</v>
      </c>
      <c r="D24" s="198">
        <f t="shared" ref="D24:E24" si="26">SUM(D42,D60,D78)</f>
        <v>146</v>
      </c>
      <c r="E24" s="198">
        <f t="shared" si="26"/>
        <v>148</v>
      </c>
      <c r="F24" s="198">
        <f t="shared" ref="F24:G24" si="27">SUM(F42,F60,F78)</f>
        <v>149</v>
      </c>
      <c r="G24" s="199">
        <f t="shared" si="27"/>
        <v>154</v>
      </c>
      <c r="H24" s="153">
        <f>IF('AW Schulen'!$D108=0,"x",C24/'AW Schulen'!$D108)</f>
        <v>0.92810457516339873</v>
      </c>
      <c r="I24" s="153">
        <f>IF('AW Schulen'!$G108=0,"x",D24/'AW Schulen'!$G108)</f>
        <v>0.95424836601307195</v>
      </c>
      <c r="J24" s="153">
        <f>IF('AW Schulen'!$J108=0,"x",E24/'AW Schulen'!$J108)</f>
        <v>0.95483870967741935</v>
      </c>
      <c r="K24" s="153">
        <f>IF('AW Schulen'!$M108=0,"x",F24/'AW Schulen'!$M108)</f>
        <v>0.96129032258064517</v>
      </c>
      <c r="L24" s="154">
        <f>IF('AW Schulen'!$P108=0,"x",G24/'AW Schulen'!$P108)</f>
        <v>0.96250000000000002</v>
      </c>
    </row>
    <row r="25" spans="1:12" ht="9" customHeight="1">
      <c r="A25" s="21" t="s">
        <v>93</v>
      </c>
      <c r="B25" s="120"/>
      <c r="C25" s="198">
        <f t="shared" si="3"/>
        <v>23</v>
      </c>
      <c r="D25" s="198">
        <f t="shared" ref="D25:E25" si="28">SUM(D43,D61,D79)</f>
        <v>24</v>
      </c>
      <c r="E25" s="198">
        <f t="shared" si="28"/>
        <v>25</v>
      </c>
      <c r="F25" s="198">
        <f t="shared" ref="F25:G25" si="29">SUM(F43,F61,F79)</f>
        <v>25</v>
      </c>
      <c r="G25" s="199">
        <f t="shared" si="29"/>
        <v>27</v>
      </c>
      <c r="H25" s="182">
        <v>0</v>
      </c>
      <c r="I25" s="182">
        <v>0</v>
      </c>
      <c r="J25" s="182">
        <v>0</v>
      </c>
      <c r="K25" s="182">
        <v>0</v>
      </c>
      <c r="L25" s="196">
        <v>0</v>
      </c>
    </row>
    <row r="26" spans="1:12" ht="9" customHeight="1">
      <c r="A26" s="21" t="s">
        <v>94</v>
      </c>
      <c r="B26" s="120"/>
      <c r="C26" s="42">
        <f t="shared" si="3"/>
        <v>69</v>
      </c>
      <c r="D26" s="42">
        <f t="shared" ref="D26:E26" si="30">SUM(D44,D62,D80)</f>
        <v>70</v>
      </c>
      <c r="E26" s="42">
        <f t="shared" si="30"/>
        <v>71</v>
      </c>
      <c r="F26" s="42">
        <f t="shared" ref="F26:G26" si="31">SUM(F44,F62,F80)</f>
        <v>70</v>
      </c>
      <c r="G26" s="44">
        <f t="shared" si="31"/>
        <v>71</v>
      </c>
      <c r="H26" s="153">
        <f>IF('AW Schulen'!$D110=0,"x",C26/'AW Schulen'!$D110)</f>
        <v>0.64485981308411211</v>
      </c>
      <c r="I26" s="153">
        <f>IF('AW Schulen'!$G110=0,"x",D26/'AW Schulen'!$G110)</f>
        <v>0.65420560747663548</v>
      </c>
      <c r="J26" s="153">
        <f>IF('AW Schulen'!$J110=0,"x",E26/'AW Schulen'!$J110)</f>
        <v>0.66981132075471694</v>
      </c>
      <c r="K26" s="153">
        <f>IF('AW Schulen'!$M110=0,"x",F26/'AW Schulen'!$M110)</f>
        <v>0.66666666666666663</v>
      </c>
      <c r="L26" s="154">
        <f>IF('AW Schulen'!$P110=0,"x",G26/'AW Schulen'!$P110)</f>
        <v>0.67619047619047623</v>
      </c>
    </row>
    <row r="27" spans="1:12" ht="9" customHeight="1">
      <c r="A27" s="21" t="s">
        <v>224</v>
      </c>
      <c r="B27" s="120"/>
      <c r="C27" s="198">
        <f t="shared" si="3"/>
        <v>23</v>
      </c>
      <c r="D27" s="198">
        <f t="shared" ref="D27:E27" si="32">SUM(D45,D63,D81)</f>
        <v>21</v>
      </c>
      <c r="E27" s="198">
        <f t="shared" si="32"/>
        <v>21</v>
      </c>
      <c r="F27" s="198">
        <f t="shared" ref="F27:G27" si="33">SUM(F45,F63,F81)</f>
        <v>23</v>
      </c>
      <c r="G27" s="199">
        <f t="shared" si="33"/>
        <v>22</v>
      </c>
      <c r="H27" s="153">
        <f>IF('AW Schulen'!$D111=0,"x",C27/'AW Schulen'!$D111)</f>
        <v>0.23711340206185566</v>
      </c>
      <c r="I27" s="153">
        <f>IF('AW Schulen'!$G111=0,"x",D27/'AW Schulen'!$G111)</f>
        <v>0.21649484536082475</v>
      </c>
      <c r="J27" s="153">
        <f>IF('AW Schulen'!$J111=0,"x",E27/'AW Schulen'!$J111)</f>
        <v>0.21649484536082475</v>
      </c>
      <c r="K27" s="153">
        <f>IF('AW Schulen'!$M111=0,"x",F27/'AW Schulen'!$M111)</f>
        <v>0.23469387755102042</v>
      </c>
      <c r="L27" s="154">
        <f>IF('AW Schulen'!$P111=0,"x",G27/'AW Schulen'!$P111)</f>
        <v>0.22222222222222221</v>
      </c>
    </row>
    <row r="28" spans="1:12" ht="9" customHeight="1">
      <c r="A28" s="21" t="s">
        <v>96</v>
      </c>
      <c r="B28" s="120"/>
      <c r="C28" s="42">
        <f t="shared" si="3"/>
        <v>1697</v>
      </c>
      <c r="D28" s="42">
        <f t="shared" ref="D28:E28" si="34">SUM(D46,D64,D82)</f>
        <v>1753</v>
      </c>
      <c r="E28" s="42">
        <f t="shared" si="34"/>
        <v>1773</v>
      </c>
      <c r="F28" s="42">
        <f t="shared" ref="F28:G28" si="35">SUM(F46,F64,F82)</f>
        <v>1800</v>
      </c>
      <c r="G28" s="44">
        <f t="shared" si="35"/>
        <v>1858</v>
      </c>
      <c r="H28" s="153">
        <f>IF('AW Schulen'!$D112=0,"x",C28/'AW Schulen'!$D112)</f>
        <v>0.5677484108397457</v>
      </c>
      <c r="I28" s="153">
        <f>IF('AW Schulen'!$G112=0,"x",D28/'AW Schulen'!$G112)</f>
        <v>0.58983849259757737</v>
      </c>
      <c r="J28" s="153">
        <f>IF('AW Schulen'!$J112=0,"x",E28/'AW Schulen'!$J112)</f>
        <v>0.59596638655462186</v>
      </c>
      <c r="K28" s="153">
        <f>IF('AW Schulen'!$M112=0,"x",F28/'AW Schulen'!$M112)</f>
        <v>0.60483870967741937</v>
      </c>
      <c r="L28" s="154">
        <f>IF('AW Schulen'!$P112=0,"x",G28/'AW Schulen'!$P112)</f>
        <v>0.62244556113902849</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'2.2.6'!C30+'2.3.6'!C30</f>
        <v>32</v>
      </c>
      <c r="D30" s="23">
        <f>'2.2.6'!D30+'2.3.6'!D30</f>
        <v>33</v>
      </c>
      <c r="E30" s="23">
        <f>'2.2.6'!E30+'2.3.6'!E30</f>
        <v>33</v>
      </c>
      <c r="F30" s="23">
        <f>'2.2.6'!F30+'2.3.6'!F30</f>
        <v>35</v>
      </c>
      <c r="G30" s="34">
        <f>'2.2.6'!G30+'2.3.6'!G30</f>
        <v>43</v>
      </c>
      <c r="H30" s="155">
        <f>IF('AW Schulen'!$D96=0,"x",C30/'AW Schulen'!$D96)</f>
        <v>7.032967032967033E-2</v>
      </c>
      <c r="I30" s="155">
        <f>IF('AW Schulen'!$G96=0,"x",D30/'AW Schulen'!$G96)</f>
        <v>7.2052401746724892E-2</v>
      </c>
      <c r="J30" s="155">
        <f>IF('AW Schulen'!$J96=0,"x",E30/'AW Schulen'!$J96)</f>
        <v>7.1895424836601302E-2</v>
      </c>
      <c r="K30" s="155">
        <f>IF('AW Schulen'!$M96=0,"x",F30/'AW Schulen'!$M96)</f>
        <v>7.6252723311546838E-2</v>
      </c>
      <c r="L30" s="156">
        <f>IF('AW Schulen'!$P96=0,"x",G30/'AW Schulen'!$P96)</f>
        <v>9.3681917211328972E-2</v>
      </c>
    </row>
    <row r="31" spans="1:12" ht="9" customHeight="1">
      <c r="A31" s="21" t="s">
        <v>216</v>
      </c>
      <c r="B31" s="120"/>
      <c r="C31" s="23">
        <f>'2.2.6'!C31+'2.3.6'!C31</f>
        <v>14</v>
      </c>
      <c r="D31" s="23">
        <f>'2.2.6'!D31+'2.3.6'!D31</f>
        <v>19</v>
      </c>
      <c r="E31" s="23">
        <f>'2.2.6'!E31+'2.3.6'!E31</f>
        <v>19</v>
      </c>
      <c r="F31" s="23" t="e">
        <f>'2.2.6'!F31+'2.3.6'!F31</f>
        <v>#VALUE!</v>
      </c>
      <c r="G31" s="34">
        <f>'2.2.6'!G31+'2.3.6'!G31</f>
        <v>32</v>
      </c>
      <c r="H31" s="155">
        <f>IF('AW Schulen'!$D97=0,"x",C31/'AW Schulen'!$D97)</f>
        <v>3.3492822966507178E-2</v>
      </c>
      <c r="I31" s="155">
        <f>IF('AW Schulen'!$G97=0,"x",D31/'AW Schulen'!$G97)</f>
        <v>4.5023696682464455E-2</v>
      </c>
      <c r="J31" s="155">
        <f>IF('AW Schulen'!$J97=0,"x",E31/'AW Schulen'!$J97)</f>
        <v>4.4811320754716978E-2</v>
      </c>
      <c r="K31" s="155" t="e">
        <f>IF('AW Schulen'!$M97=0,"x",F31/'AW Schulen'!$M97)</f>
        <v>#VALUE!</v>
      </c>
      <c r="L31" s="156">
        <f>IF('AW Schulen'!$P97=0,"x",G31/'AW Schulen'!$P97)</f>
        <v>7.5117370892018781E-2</v>
      </c>
    </row>
    <row r="32" spans="1:12" ht="9" customHeight="1">
      <c r="A32" s="21" t="s">
        <v>82</v>
      </c>
      <c r="B32" s="120"/>
      <c r="C32" s="23">
        <f>'2.2.6'!C32+'2.3.6'!C32</f>
        <v>12</v>
      </c>
      <c r="D32" s="23">
        <f>'2.2.6'!D32+'2.3.6'!D32</f>
        <v>7</v>
      </c>
      <c r="E32" s="23">
        <f>'2.2.6'!E32+'2.3.6'!E32</f>
        <v>7</v>
      </c>
      <c r="F32" s="23">
        <f>'2.2.6'!F32+'2.3.6'!F32</f>
        <v>8</v>
      </c>
      <c r="G32" s="34">
        <f>'2.2.6'!G32+'2.3.6'!G32</f>
        <v>8</v>
      </c>
      <c r="H32" s="155">
        <f>IF('AW Schulen'!$D98=0,"x",C32/'AW Schulen'!$D98)</f>
        <v>0.10344827586206896</v>
      </c>
      <c r="I32" s="155">
        <f>IF('AW Schulen'!$G98=0,"x",D32/'AW Schulen'!$G98)</f>
        <v>6.9306930693069313E-2</v>
      </c>
      <c r="J32" s="155">
        <f>IF('AW Schulen'!$J98=0,"x",E32/'AW Schulen'!$J98)</f>
        <v>6.1946902654867256E-2</v>
      </c>
      <c r="K32" s="155">
        <f>IF('AW Schulen'!$M98=0,"x",F32/'AW Schulen'!$M98)</f>
        <v>7.0796460176991149E-2</v>
      </c>
      <c r="L32" s="156">
        <f>IF('AW Schulen'!$P98=0,"x",G32/'AW Schulen'!$P98)</f>
        <v>7.0796460176991149E-2</v>
      </c>
    </row>
    <row r="33" spans="1:12" ht="9" customHeight="1">
      <c r="A33" s="21" t="s">
        <v>83</v>
      </c>
      <c r="B33" s="120"/>
      <c r="C33" s="23">
        <f>'2.2.6'!C33+'2.3.6'!C33</f>
        <v>13</v>
      </c>
      <c r="D33" s="23">
        <f>'2.2.6'!D33+'2.3.6'!D33</f>
        <v>12</v>
      </c>
      <c r="E33" s="23">
        <f>'2.2.6'!E33+'2.3.6'!E33</f>
        <v>13</v>
      </c>
      <c r="F33" s="23">
        <f>'2.2.6'!F33+'2.3.6'!F33</f>
        <v>15</v>
      </c>
      <c r="G33" s="34">
        <f>'2.2.6'!G33+'2.3.6'!G33</f>
        <v>15</v>
      </c>
      <c r="H33" s="155">
        <f>IF('AW Schulen'!$D99=0,"x",C33/'AW Schulen'!$D99)</f>
        <v>0.13</v>
      </c>
      <c r="I33" s="155">
        <f>IF('AW Schulen'!$G99=0,"x",D33/'AW Schulen'!$G99)</f>
        <v>0.12121212121212122</v>
      </c>
      <c r="J33" s="155">
        <f>IF('AW Schulen'!$J99=0,"x",E33/'AW Schulen'!$J99)</f>
        <v>0.13</v>
      </c>
      <c r="K33" s="155">
        <f>IF('AW Schulen'!$M99=0,"x",F33/'AW Schulen'!$M99)</f>
        <v>0.14851485148514851</v>
      </c>
      <c r="L33" s="156">
        <f>IF('AW Schulen'!$P99=0,"x",G33/'AW Schulen'!$P99)</f>
        <v>0.14705882352941177</v>
      </c>
    </row>
    <row r="34" spans="1:12" ht="9" customHeight="1">
      <c r="A34" s="21" t="s">
        <v>84</v>
      </c>
      <c r="B34" s="120"/>
      <c r="C34" s="23">
        <f>'2.2.6'!C34+'2.3.6'!C34</f>
        <v>0</v>
      </c>
      <c r="D34" s="23">
        <f>'2.2.6'!D34+'2.3.6'!D34</f>
        <v>0</v>
      </c>
      <c r="E34" s="23">
        <f>'2.2.6'!E34+'2.3.6'!E34</f>
        <v>0</v>
      </c>
      <c r="F34" s="23">
        <f>'2.2.6'!F34+'2.3.6'!F34</f>
        <v>0</v>
      </c>
      <c r="G34" s="34">
        <f>'2.2.6'!G34+'2.3.6'!G34</f>
        <v>0</v>
      </c>
      <c r="H34" s="155">
        <f>IF('AW Schulen'!$D100=0,"x",C34/'AW Schulen'!$D100)</f>
        <v>0</v>
      </c>
      <c r="I34" s="155">
        <f>IF('AW Schulen'!$G100=0,"x",D34/'AW Schulen'!$G100)</f>
        <v>0</v>
      </c>
      <c r="J34" s="155">
        <f>IF('AW Schulen'!$J100=0,"x",E34/'AW Schulen'!$J100)</f>
        <v>0</v>
      </c>
      <c r="K34" s="155">
        <f>IF('AW Schulen'!$M100=0,"x",F34/'AW Schulen'!$M100)</f>
        <v>0</v>
      </c>
      <c r="L34" s="156">
        <f>IF('AW Schulen'!$P100=0,"x",G34/'AW Schulen'!$P100)</f>
        <v>0</v>
      </c>
    </row>
    <row r="35" spans="1:12" ht="9" customHeight="1">
      <c r="A35" s="21" t="s">
        <v>85</v>
      </c>
      <c r="B35" s="120"/>
      <c r="C35" s="23">
        <f>'2.2.6'!C35+'2.3.6'!C35</f>
        <v>4</v>
      </c>
      <c r="D35" s="23">
        <f>'2.2.6'!D35+'2.3.6'!D35</f>
        <v>5</v>
      </c>
      <c r="E35" s="23">
        <f>'2.2.6'!E35+'2.3.6'!E35</f>
        <v>5</v>
      </c>
      <c r="F35" s="23">
        <f>'2.2.6'!F35+'2.3.6'!F35</f>
        <v>5</v>
      </c>
      <c r="G35" s="34">
        <f>'2.2.6'!G35+'2.3.6'!G35</f>
        <v>6</v>
      </c>
      <c r="H35" s="155">
        <f>IF('AW Schulen'!$D101=0,"x",C35/'AW Schulen'!$D101)</f>
        <v>5.128205128205128E-2</v>
      </c>
      <c r="I35" s="155">
        <f>IF('AW Schulen'!$G101=0,"x",D35/'AW Schulen'!$G101)</f>
        <v>6.4102564102564097E-2</v>
      </c>
      <c r="J35" s="155">
        <f>IF('AW Schulen'!$J101=0,"x",E35/'AW Schulen'!$J101)</f>
        <v>6.8493150684931503E-2</v>
      </c>
      <c r="K35" s="155">
        <f>IF('AW Schulen'!$M101=0,"x",F35/'AW Schulen'!$M101)</f>
        <v>6.8493150684931503E-2</v>
      </c>
      <c r="L35" s="156">
        <f>IF('AW Schulen'!$P101=0,"x",G35/'AW Schulen'!$P101)</f>
        <v>8.1081081081081086E-2</v>
      </c>
    </row>
    <row r="36" spans="1:12" ht="9" customHeight="1">
      <c r="A36" s="21" t="s">
        <v>86</v>
      </c>
      <c r="B36" s="120"/>
      <c r="C36" s="23">
        <f>'2.2.6'!C36+'2.3.6'!C36</f>
        <v>4</v>
      </c>
      <c r="D36" s="23">
        <f>'2.2.6'!D36+'2.3.6'!D36</f>
        <v>4</v>
      </c>
      <c r="E36" s="23">
        <f>'2.2.6'!E36+'2.3.6'!E36</f>
        <v>4</v>
      </c>
      <c r="F36" s="23">
        <f>'2.2.6'!F36+'2.3.6'!F36</f>
        <v>5</v>
      </c>
      <c r="G36" s="34">
        <f>'2.2.6'!G36+'2.3.6'!G36</f>
        <v>6</v>
      </c>
      <c r="H36" s="183">
        <v>0</v>
      </c>
      <c r="I36" s="183">
        <v>0</v>
      </c>
      <c r="J36" s="183">
        <v>0</v>
      </c>
      <c r="K36" s="183">
        <v>0</v>
      </c>
      <c r="L36" s="197">
        <v>0</v>
      </c>
    </row>
    <row r="37" spans="1:12" ht="9" customHeight="1">
      <c r="A37" s="21" t="s">
        <v>223</v>
      </c>
      <c r="B37" s="120"/>
      <c r="C37" s="23">
        <f>'2.2.6'!C37+'2.3.6'!C37</f>
        <v>25</v>
      </c>
      <c r="D37" s="23">
        <f>'2.2.6'!D37+'2.3.6'!D37</f>
        <v>28</v>
      </c>
      <c r="E37" s="23">
        <f>'2.2.6'!E37+'2.3.6'!E37</f>
        <v>27</v>
      </c>
      <c r="F37" s="23">
        <f>'2.2.6'!F37+'2.3.6'!F37</f>
        <v>32</v>
      </c>
      <c r="G37" s="34">
        <f>'2.2.6'!G37+'2.3.6'!G37</f>
        <v>34</v>
      </c>
      <c r="H37" s="155">
        <f>IF('AW Schulen'!$D103=0,"x",C37/'AW Schulen'!$D103)</f>
        <v>0.34246575342465752</v>
      </c>
      <c r="I37" s="155">
        <f>IF('AW Schulen'!$G103=0,"x",D37/'AW Schulen'!$G103)</f>
        <v>0.3888888888888889</v>
      </c>
      <c r="J37" s="155">
        <f>IF('AW Schulen'!$J103=0,"x",E37/'AW Schulen'!$J103)</f>
        <v>0.36986301369863012</v>
      </c>
      <c r="K37" s="155">
        <f>IF('AW Schulen'!$M103=0,"x",F37/'AW Schulen'!$M103)</f>
        <v>0.43243243243243246</v>
      </c>
      <c r="L37" s="156">
        <f>IF('AW Schulen'!$P103=0,"x",G37/'AW Schulen'!$P103)</f>
        <v>0.45333333333333331</v>
      </c>
    </row>
    <row r="38" spans="1:12" ht="9" customHeight="1">
      <c r="A38" s="21" t="s">
        <v>88</v>
      </c>
      <c r="B38" s="120"/>
      <c r="C38" s="23">
        <f>'2.2.6'!C38+'2.3.6'!C38</f>
        <v>6</v>
      </c>
      <c r="D38" s="23">
        <f>'2.2.6'!D38+'2.3.6'!D38</f>
        <v>8</v>
      </c>
      <c r="E38" s="23">
        <f>'2.2.6'!E38+'2.3.6'!E38</f>
        <v>5</v>
      </c>
      <c r="F38" s="23">
        <f>'2.2.6'!F38+'2.3.6'!F38</f>
        <v>4</v>
      </c>
      <c r="G38" s="34">
        <f>'2.2.6'!G38+'2.3.6'!G38</f>
        <v>4</v>
      </c>
      <c r="H38" s="183">
        <v>0</v>
      </c>
      <c r="I38" s="183">
        <v>0</v>
      </c>
      <c r="J38" s="183">
        <v>0</v>
      </c>
      <c r="K38" s="183">
        <v>0</v>
      </c>
      <c r="L38" s="197">
        <v>0</v>
      </c>
    </row>
    <row r="39" spans="1:12" ht="9" customHeight="1">
      <c r="A39" s="21" t="s">
        <v>89</v>
      </c>
      <c r="B39" s="120"/>
      <c r="C39" s="23">
        <f>'2.2.6'!C39+'2.3.6'!C39</f>
        <v>150</v>
      </c>
      <c r="D39" s="23">
        <f>'2.2.6'!D39+'2.3.6'!D39</f>
        <v>156</v>
      </c>
      <c r="E39" s="23">
        <f>'2.2.6'!E39+'2.3.6'!E39</f>
        <v>161</v>
      </c>
      <c r="F39" s="23">
        <f>'2.2.6'!F39+'2.3.6'!F39</f>
        <v>167</v>
      </c>
      <c r="G39" s="34">
        <f>'2.2.6'!G39+'2.3.6'!G39</f>
        <v>171</v>
      </c>
      <c r="H39" s="155">
        <f>IF('AW Schulen'!$D105=0,"x",C39/'AW Schulen'!$D105)</f>
        <v>0.23923444976076555</v>
      </c>
      <c r="I39" s="155">
        <f>IF('AW Schulen'!$G105=0,"x",D39/'AW Schulen'!$G105)</f>
        <v>0.24880382775119617</v>
      </c>
      <c r="J39" s="155">
        <f>IF('AW Schulen'!$J105=0,"x",E39/'AW Schulen'!$J105)</f>
        <v>0.2576</v>
      </c>
      <c r="K39" s="155">
        <f>IF('AW Schulen'!$M105=0,"x",F39/'AW Schulen'!$M105)</f>
        <v>0.26719999999999999</v>
      </c>
      <c r="L39" s="156">
        <f>IF('AW Schulen'!$P105=0,"x",G39/'AW Schulen'!$P105)</f>
        <v>0.2731629392971246</v>
      </c>
    </row>
    <row r="40" spans="1:12" ht="9" customHeight="1">
      <c r="A40" s="21" t="s">
        <v>90</v>
      </c>
      <c r="B40" s="120"/>
      <c r="C40" s="23">
        <f>'2.2.6'!C40+'2.3.6'!C40</f>
        <v>18</v>
      </c>
      <c r="D40" s="23">
        <f>'2.2.6'!D40+'2.3.6'!D40</f>
        <v>21</v>
      </c>
      <c r="E40" s="23">
        <f>'2.2.6'!E40+'2.3.6'!E40</f>
        <v>14</v>
      </c>
      <c r="F40" s="23">
        <f>'2.2.6'!F40+'2.3.6'!F40</f>
        <v>16</v>
      </c>
      <c r="G40" s="34">
        <f>'2.2.6'!G40+'2.3.6'!G40</f>
        <v>14</v>
      </c>
      <c r="H40" s="155">
        <f>IF('AW Schulen'!$D106=0,"x",C40/'AW Schulen'!$D106)</f>
        <v>0.12080536912751678</v>
      </c>
      <c r="I40" s="155">
        <f>IF('AW Schulen'!$G106=0,"x",D40/'AW Schulen'!$G106)</f>
        <v>0.14093959731543623</v>
      </c>
      <c r="J40" s="155">
        <f>IF('AW Schulen'!$J106=0,"x",E40/'AW Schulen'!$J106)</f>
        <v>9.3333333333333338E-2</v>
      </c>
      <c r="K40" s="155">
        <f>IF('AW Schulen'!$M106=0,"x",F40/'AW Schulen'!$M106)</f>
        <v>0.10596026490066225</v>
      </c>
      <c r="L40" s="156">
        <f>IF('AW Schulen'!$P106=0,"x",G40/'AW Schulen'!$P106)</f>
        <v>9.2715231788079472E-2</v>
      </c>
    </row>
    <row r="41" spans="1:12" ht="9" customHeight="1">
      <c r="A41" s="21" t="s">
        <v>91</v>
      </c>
      <c r="B41" s="120"/>
      <c r="C41" s="23">
        <f>'2.2.6'!C41+'2.3.6'!C41</f>
        <v>0</v>
      </c>
      <c r="D41" s="23">
        <f>'2.2.6'!D41+'2.3.6'!D41</f>
        <v>0</v>
      </c>
      <c r="E41" s="23">
        <f>'2.2.6'!E41+'2.3.6'!E41</f>
        <v>0</v>
      </c>
      <c r="F41" s="23">
        <f>'2.2.6'!F41+'2.3.6'!F41</f>
        <v>0</v>
      </c>
      <c r="G41" s="34">
        <f>'2.2.6'!G41+'2.3.6'!G41</f>
        <v>0</v>
      </c>
      <c r="H41" s="155">
        <f>IF('AW Schulen'!$D107=0,"x",C41/'AW Schulen'!$D107)</f>
        <v>0</v>
      </c>
      <c r="I41" s="155">
        <f>IF('AW Schulen'!$G107=0,"x",D41/'AW Schulen'!$G107)</f>
        <v>0</v>
      </c>
      <c r="J41" s="155">
        <f>IF('AW Schulen'!$J107=0,"x",E41/'AW Schulen'!$J107)</f>
        <v>0</v>
      </c>
      <c r="K41" s="155">
        <f>IF('AW Schulen'!$M107=0,"x",F41/'AW Schulen'!$M107)</f>
        <v>0</v>
      </c>
      <c r="L41" s="156">
        <f>IF('AW Schulen'!$P107=0,"x",G41/'AW Schulen'!$P107)</f>
        <v>0</v>
      </c>
    </row>
    <row r="42" spans="1:12" ht="9" customHeight="1">
      <c r="A42" s="21" t="s">
        <v>92</v>
      </c>
      <c r="B42" s="120"/>
      <c r="C42" s="23">
        <f>'2.2.6'!C42+'2.3.6'!C42</f>
        <v>12</v>
      </c>
      <c r="D42" s="23">
        <f>'2.2.6'!D42+'2.3.6'!D42</f>
        <v>13</v>
      </c>
      <c r="E42" s="23">
        <f>'2.2.6'!E42+'2.3.6'!E42</f>
        <v>10</v>
      </c>
      <c r="F42" s="23">
        <f>'2.2.6'!F42+'2.3.6'!F42</f>
        <v>10</v>
      </c>
      <c r="G42" s="34">
        <f>'2.2.6'!G42+'2.3.6'!G42</f>
        <v>11</v>
      </c>
      <c r="H42" s="155">
        <f>IF('AW Schulen'!$D108=0,"x",C42/'AW Schulen'!$D108)</f>
        <v>7.8431372549019607E-2</v>
      </c>
      <c r="I42" s="155">
        <f>IF('AW Schulen'!$G108=0,"x",D42/'AW Schulen'!$G108)</f>
        <v>8.4967320261437912E-2</v>
      </c>
      <c r="J42" s="155">
        <f>IF('AW Schulen'!$J108=0,"x",E42/'AW Schulen'!$J108)</f>
        <v>6.4516129032258063E-2</v>
      </c>
      <c r="K42" s="155">
        <f>IF('AW Schulen'!$M108=0,"x",F42/'AW Schulen'!$M108)</f>
        <v>6.4516129032258063E-2</v>
      </c>
      <c r="L42" s="156">
        <f>IF('AW Schulen'!$P108=0,"x",G42/'AW Schulen'!$P108)</f>
        <v>6.8750000000000006E-2</v>
      </c>
    </row>
    <row r="43" spans="1:12" ht="9" customHeight="1">
      <c r="A43" s="21" t="s">
        <v>93</v>
      </c>
      <c r="B43" s="120"/>
      <c r="C43" s="23">
        <f>'2.2.6'!C43+'2.3.6'!C43</f>
        <v>3</v>
      </c>
      <c r="D43" s="23">
        <f>'2.2.6'!D43+'2.3.6'!D43</f>
        <v>3</v>
      </c>
      <c r="E43" s="23">
        <f>'2.2.6'!E43+'2.3.6'!E43</f>
        <v>3</v>
      </c>
      <c r="F43" s="23">
        <f>'2.2.6'!F43+'2.3.6'!F43</f>
        <v>3</v>
      </c>
      <c r="G43" s="34">
        <f>'2.2.6'!G43+'2.3.6'!G43</f>
        <v>4</v>
      </c>
      <c r="H43" s="183">
        <v>0</v>
      </c>
      <c r="I43" s="183">
        <v>0</v>
      </c>
      <c r="J43" s="183">
        <v>0</v>
      </c>
      <c r="K43" s="183">
        <v>0</v>
      </c>
      <c r="L43" s="197">
        <v>0</v>
      </c>
    </row>
    <row r="44" spans="1:12" ht="9" customHeight="1">
      <c r="A44" s="21" t="s">
        <v>94</v>
      </c>
      <c r="B44" s="120"/>
      <c r="C44" s="23">
        <f>'2.2.6'!C44+'2.3.6'!C44</f>
        <v>0</v>
      </c>
      <c r="D44" s="23">
        <f>'2.2.6'!D44+'2.3.6'!D44</f>
        <v>0</v>
      </c>
      <c r="E44" s="23">
        <f>'2.2.6'!E44+'2.3.6'!E44</f>
        <v>0</v>
      </c>
      <c r="F44" s="23">
        <f>'2.2.6'!F44+'2.3.6'!F44</f>
        <v>0</v>
      </c>
      <c r="G44" s="34">
        <f>'2.2.6'!G44+'2.3.6'!G44</f>
        <v>0</v>
      </c>
      <c r="H44" s="155">
        <f>IF('AW Schulen'!$D110=0,"x",C44/'AW Schulen'!$D110)</f>
        <v>0</v>
      </c>
      <c r="I44" s="155">
        <f>IF('AW Schulen'!$G110=0,"x",D44/'AW Schulen'!$G110)</f>
        <v>0</v>
      </c>
      <c r="J44" s="155">
        <f>IF('AW Schulen'!$J110=0,"x",E44/'AW Schulen'!$J110)</f>
        <v>0</v>
      </c>
      <c r="K44" s="155">
        <f>IF('AW Schulen'!$M110=0,"x",F44/'AW Schulen'!$M110)</f>
        <v>0</v>
      </c>
      <c r="L44" s="156">
        <f>IF('AW Schulen'!$P110=0,"x",G44/'AW Schulen'!$P110)</f>
        <v>0</v>
      </c>
    </row>
    <row r="45" spans="1:12" ht="9" customHeight="1">
      <c r="A45" s="21" t="s">
        <v>224</v>
      </c>
      <c r="B45" s="120"/>
      <c r="C45" s="23">
        <f>'2.2.6'!C45+'2.3.6'!C45</f>
        <v>5</v>
      </c>
      <c r="D45" s="23">
        <f>'2.2.6'!D45+'2.3.6'!D45</f>
        <v>3</v>
      </c>
      <c r="E45" s="23">
        <f>'2.2.6'!E45+'2.3.6'!E45</f>
        <v>5</v>
      </c>
      <c r="F45" s="23">
        <f>'2.2.6'!F45+'2.3.6'!F45</f>
        <v>6</v>
      </c>
      <c r="G45" s="34">
        <f>'2.2.6'!G45+'2.3.6'!G45</f>
        <v>6</v>
      </c>
      <c r="H45" s="155">
        <f>IF('AW Schulen'!$D111=0,"x",C45/'AW Schulen'!$D111)</f>
        <v>5.1546391752577317E-2</v>
      </c>
      <c r="I45" s="155">
        <f>IF('AW Schulen'!$G111=0,"x",D45/'AW Schulen'!$G111)</f>
        <v>3.0927835051546393E-2</v>
      </c>
      <c r="J45" s="155">
        <f>IF('AW Schulen'!$J111=0,"x",E45/'AW Schulen'!$J111)</f>
        <v>5.1546391752577317E-2</v>
      </c>
      <c r="K45" s="155">
        <f>IF('AW Schulen'!$M111=0,"x",F45/'AW Schulen'!$M111)</f>
        <v>6.1224489795918366E-2</v>
      </c>
      <c r="L45" s="156">
        <f>IF('AW Schulen'!$P111=0,"x",G45/'AW Schulen'!$P111)</f>
        <v>6.0606060606060608E-2</v>
      </c>
    </row>
    <row r="46" spans="1:12" ht="9" customHeight="1">
      <c r="A46" s="21" t="s">
        <v>96</v>
      </c>
      <c r="B46" s="120"/>
      <c r="C46" s="23">
        <f>'2.2.6'!C46+'2.3.6'!C46</f>
        <v>298</v>
      </c>
      <c r="D46" s="23">
        <f>'2.2.6'!D46+'2.3.6'!D46</f>
        <v>312</v>
      </c>
      <c r="E46" s="23">
        <f>'2.2.6'!E46+'2.3.6'!E46</f>
        <v>306</v>
      </c>
      <c r="F46" s="23">
        <f>'2.2.6'!F46+'2.3.6'!F46</f>
        <v>320</v>
      </c>
      <c r="G46" s="34">
        <f>'2.2.6'!G46+'2.3.6'!G46</f>
        <v>354</v>
      </c>
      <c r="H46" s="155">
        <f>IF('AW Schulen'!$D112=0,"x",C46/'AW Schulen'!$D112)</f>
        <v>9.9698895951823352E-2</v>
      </c>
      <c r="I46" s="155">
        <f>IF('AW Schulen'!$G112=0,"x",D46/'AW Schulen'!$G112)</f>
        <v>0.10497981157469717</v>
      </c>
      <c r="J46" s="155">
        <f>IF('AW Schulen'!$J112=0,"x",E46/'AW Schulen'!$J112)</f>
        <v>0.10285714285714286</v>
      </c>
      <c r="K46" s="155">
        <f>IF('AW Schulen'!$M112=0,"x",F46/'AW Schulen'!$M112)</f>
        <v>0.10752688172043011</v>
      </c>
      <c r="L46" s="156">
        <f>IF('AW Schulen'!$P112=0,"x",G46/'AW Schulen'!$P112)</f>
        <v>0.1185929648241206</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'2.2.6'!C48+'2.3.6'!C48</f>
        <v>14</v>
      </c>
      <c r="D48" s="23">
        <f>'2.2.6'!D48+'2.3.6'!D48</f>
        <v>14</v>
      </c>
      <c r="E48" s="23">
        <f>'2.2.6'!E48+'2.3.6'!E48</f>
        <v>13</v>
      </c>
      <c r="F48" s="23">
        <f>'2.2.6'!F48+'2.3.6'!F48</f>
        <v>12</v>
      </c>
      <c r="G48" s="34">
        <f>'2.2.6'!G48+'2.3.6'!G48</f>
        <v>11</v>
      </c>
      <c r="H48" s="155">
        <f>IF('AW Schulen'!$D96=0,"x",C48/'AW Schulen'!$D96)</f>
        <v>3.0769230769230771E-2</v>
      </c>
      <c r="I48" s="155">
        <f>IF('AW Schulen'!$G96=0,"x",D48/'AW Schulen'!$G96)</f>
        <v>3.0567685589519649E-2</v>
      </c>
      <c r="J48" s="155">
        <f>IF('AW Schulen'!$J96=0,"x",E48/'AW Schulen'!$J96)</f>
        <v>2.8322440087145968E-2</v>
      </c>
      <c r="K48" s="155">
        <f>IF('AW Schulen'!$M96=0,"x",F48/'AW Schulen'!$M96)</f>
        <v>2.6143790849673203E-2</v>
      </c>
      <c r="L48" s="156">
        <f>IF('AW Schulen'!$P96=0,"x",G48/'AW Schulen'!$P96)</f>
        <v>2.3965141612200435E-2</v>
      </c>
    </row>
    <row r="49" spans="1:12" ht="9" customHeight="1">
      <c r="A49" s="21" t="s">
        <v>216</v>
      </c>
      <c r="B49" s="120"/>
      <c r="C49" s="23">
        <f>'2.2.6'!C49+'2.3.6'!C49</f>
        <v>53</v>
      </c>
      <c r="D49" s="23">
        <f>'2.2.6'!D49+'2.3.6'!D49</f>
        <v>73</v>
      </c>
      <c r="E49" s="23">
        <f>'2.2.6'!E49+'2.3.6'!E49</f>
        <v>73</v>
      </c>
      <c r="F49" s="23">
        <f>'2.2.6'!F49+'2.3.6'!F49</f>
        <v>73</v>
      </c>
      <c r="G49" s="34">
        <f>'2.2.6'!G49+'2.3.6'!G49</f>
        <v>72</v>
      </c>
      <c r="H49" s="155">
        <f>IF('AW Schulen'!$D97=0,"x",C49/'AW Schulen'!$D97)</f>
        <v>0.12679425837320574</v>
      </c>
      <c r="I49" s="155">
        <f>IF('AW Schulen'!$G97=0,"x",D49/'AW Schulen'!$G97)</f>
        <v>0.17298578199052134</v>
      </c>
      <c r="J49" s="155">
        <f>IF('AW Schulen'!$J97=0,"x",E49/'AW Schulen'!$J97)</f>
        <v>0.17216981132075471</v>
      </c>
      <c r="K49" s="155">
        <f>IF('AW Schulen'!$M97=0,"x",F49/'AW Schulen'!$M97)</f>
        <v>0.17136150234741784</v>
      </c>
      <c r="L49" s="156">
        <f>IF('AW Schulen'!$P97=0,"x",G49/'AW Schulen'!$P97)</f>
        <v>0.16901408450704225</v>
      </c>
    </row>
    <row r="50" spans="1:12" ht="9" customHeight="1">
      <c r="A50" s="21" t="s">
        <v>82</v>
      </c>
      <c r="B50" s="120"/>
      <c r="C50" s="23">
        <f>'2.2.6'!C50+'2.3.6'!C50</f>
        <v>2</v>
      </c>
      <c r="D50" s="23">
        <f>'2.2.6'!D50+'2.3.6'!D50</f>
        <v>4</v>
      </c>
      <c r="E50" s="23">
        <f>'2.2.6'!E50+'2.3.6'!E50</f>
        <v>2</v>
      </c>
      <c r="F50" s="23">
        <f>'2.2.6'!F50+'2.3.6'!F50</f>
        <v>3</v>
      </c>
      <c r="G50" s="34">
        <f>'2.2.6'!G50+'2.3.6'!G50</f>
        <v>3</v>
      </c>
      <c r="H50" s="155">
        <f>IF('AW Schulen'!$D98=0,"x",C50/'AW Schulen'!$D98)</f>
        <v>1.7241379310344827E-2</v>
      </c>
      <c r="I50" s="155">
        <f>IF('AW Schulen'!$G98=0,"x",D50/'AW Schulen'!$G98)</f>
        <v>3.9603960396039604E-2</v>
      </c>
      <c r="J50" s="155">
        <f>IF('AW Schulen'!$J98=0,"x",E50/'AW Schulen'!$J98)</f>
        <v>1.7699115044247787E-2</v>
      </c>
      <c r="K50" s="155">
        <f>IF('AW Schulen'!$M98=0,"x",F50/'AW Schulen'!$M98)</f>
        <v>2.6548672566371681E-2</v>
      </c>
      <c r="L50" s="156">
        <f>IF('AW Schulen'!$P98=0,"x",G50/'AW Schulen'!$P98)</f>
        <v>2.6548672566371681E-2</v>
      </c>
    </row>
    <row r="51" spans="1:12" ht="9" customHeight="1">
      <c r="A51" s="21" t="s">
        <v>83</v>
      </c>
      <c r="B51" s="120"/>
      <c r="C51" s="23">
        <f>'2.2.6'!C51+'2.3.6'!C51</f>
        <v>2</v>
      </c>
      <c r="D51" s="23">
        <f>'2.2.6'!D51+'2.3.6'!D51</f>
        <v>3</v>
      </c>
      <c r="E51" s="23">
        <f>'2.2.6'!E51+'2.3.6'!E51</f>
        <v>3</v>
      </c>
      <c r="F51" s="23">
        <f>'2.2.6'!F51+'2.3.6'!F51</f>
        <v>2</v>
      </c>
      <c r="G51" s="34">
        <f>'2.2.6'!G51+'2.3.6'!G51</f>
        <v>2</v>
      </c>
      <c r="H51" s="155">
        <f>IF('AW Schulen'!$D99=0,"x",C51/'AW Schulen'!$D99)</f>
        <v>0.02</v>
      </c>
      <c r="I51" s="155">
        <f>IF('AW Schulen'!$G99=0,"x",D51/'AW Schulen'!$G99)</f>
        <v>3.0303030303030304E-2</v>
      </c>
      <c r="J51" s="155">
        <f>IF('AW Schulen'!$J99=0,"x",E51/'AW Schulen'!$J99)</f>
        <v>0.03</v>
      </c>
      <c r="K51" s="155">
        <f>IF('AW Schulen'!$M99=0,"x",F51/'AW Schulen'!$M99)</f>
        <v>1.9801980198019802E-2</v>
      </c>
      <c r="L51" s="156">
        <f>IF('AW Schulen'!$P99=0,"x",G51/'AW Schulen'!$P99)</f>
        <v>1.9607843137254902E-2</v>
      </c>
    </row>
    <row r="52" spans="1:12" ht="9" customHeight="1">
      <c r="A52" s="21" t="s">
        <v>84</v>
      </c>
      <c r="B52" s="120"/>
      <c r="C52" s="23">
        <f>'2.2.6'!C52+'2.3.6'!C52</f>
        <v>6</v>
      </c>
      <c r="D52" s="23">
        <f>'2.2.6'!D52+'2.3.6'!D52</f>
        <v>3</v>
      </c>
      <c r="E52" s="23">
        <f>'2.2.6'!E52+'2.3.6'!E52</f>
        <v>3</v>
      </c>
      <c r="F52" s="23">
        <f>'2.2.6'!F52+'2.3.6'!F52</f>
        <v>2</v>
      </c>
      <c r="G52" s="34">
        <f>'2.2.6'!G52+'2.3.6'!G52</f>
        <v>2</v>
      </c>
      <c r="H52" s="155">
        <f>IF('AW Schulen'!$D100=0,"x",C52/'AW Schulen'!$D100)</f>
        <v>0.16666666666666666</v>
      </c>
      <c r="I52" s="155">
        <f>IF('AW Schulen'!$G100=0,"x",D52/'AW Schulen'!$G100)</f>
        <v>0.1</v>
      </c>
      <c r="J52" s="155">
        <f>IF('AW Schulen'!$J100=0,"x",E52/'AW Schulen'!$J100)</f>
        <v>0.13636363636363635</v>
      </c>
      <c r="K52" s="155">
        <f>IF('AW Schulen'!$M100=0,"x",F52/'AW Schulen'!$M100)</f>
        <v>0.14285714285714285</v>
      </c>
      <c r="L52" s="156">
        <f>IF('AW Schulen'!$P100=0,"x",G52/'AW Schulen'!$P100)</f>
        <v>0.15384615384615385</v>
      </c>
    </row>
    <row r="53" spans="1:12" ht="9" customHeight="1">
      <c r="A53" s="21" t="s">
        <v>85</v>
      </c>
      <c r="B53" s="120"/>
      <c r="C53" s="23">
        <f>'2.2.6'!C53+'2.3.6'!C53</f>
        <v>2</v>
      </c>
      <c r="D53" s="23">
        <f>'2.2.6'!D53+'2.3.6'!D53</f>
        <v>2</v>
      </c>
      <c r="E53" s="23">
        <f>'2.2.6'!E53+'2.3.6'!E53</f>
        <v>3</v>
      </c>
      <c r="F53" s="23">
        <f>'2.2.6'!F53+'2.3.6'!F53</f>
        <v>3</v>
      </c>
      <c r="G53" s="34">
        <f>'2.2.6'!G53+'2.3.6'!G53</f>
        <v>6</v>
      </c>
      <c r="H53" s="155">
        <f>IF('AW Schulen'!$D101=0,"x",C53/'AW Schulen'!$D101)</f>
        <v>2.564102564102564E-2</v>
      </c>
      <c r="I53" s="155">
        <f>IF('AW Schulen'!$G101=0,"x",D53/'AW Schulen'!$G101)</f>
        <v>2.564102564102564E-2</v>
      </c>
      <c r="J53" s="155">
        <f>IF('AW Schulen'!$J101=0,"x",E53/'AW Schulen'!$J101)</f>
        <v>4.1095890410958902E-2</v>
      </c>
      <c r="K53" s="155">
        <f>IF('AW Schulen'!$M101=0,"x",F53/'AW Schulen'!$M101)</f>
        <v>4.1095890410958902E-2</v>
      </c>
      <c r="L53" s="156">
        <f>IF('AW Schulen'!$P101=0,"x",G53/'AW Schulen'!$P101)</f>
        <v>8.1081081081081086E-2</v>
      </c>
    </row>
    <row r="54" spans="1:12" ht="9" customHeight="1">
      <c r="A54" s="21" t="s">
        <v>86</v>
      </c>
      <c r="B54" s="120"/>
      <c r="C54" s="36">
        <f>'2.2.6'!C54+'2.3.6'!C54</f>
        <v>0</v>
      </c>
      <c r="D54" s="36">
        <f>'2.2.6'!D54+'2.3.6'!D54</f>
        <v>0</v>
      </c>
      <c r="E54" s="36">
        <f>'2.2.6'!E54+'2.3.6'!E54</f>
        <v>0</v>
      </c>
      <c r="F54" s="36">
        <f>'2.2.6'!F54+'2.3.6'!F54</f>
        <v>0</v>
      </c>
      <c r="G54" s="37">
        <f>'2.2.6'!G54+'2.3.6'!G54</f>
        <v>0</v>
      </c>
      <c r="H54" s="183">
        <f>IF('AW Schulen'!$D102=0,"x",C54/'AW Schulen'!$D102)</f>
        <v>0</v>
      </c>
      <c r="I54" s="183">
        <f>IF('AW Schulen'!$G102=0,"x",D54/'AW Schulen'!$G102)</f>
        <v>0</v>
      </c>
      <c r="J54" s="183">
        <f>IF('AW Schulen'!$G102=0,"x",E54/'AW Schulen'!$G102)</f>
        <v>0</v>
      </c>
      <c r="K54" s="183">
        <f>IF('AW Schulen'!$G102=0,"x",F54/'AW Schulen'!$G102)</f>
        <v>0</v>
      </c>
      <c r="L54" s="197">
        <f>IF('AW Schulen'!$G102=0,"x",G54/'AW Schulen'!$G102)</f>
        <v>0</v>
      </c>
    </row>
    <row r="55" spans="1:12" ht="9" customHeight="1">
      <c r="A55" s="21" t="s">
        <v>223</v>
      </c>
      <c r="B55" s="120"/>
      <c r="C55" s="23">
        <f>'2.2.6'!C55+'2.3.6'!C55</f>
        <v>15</v>
      </c>
      <c r="D55" s="23">
        <f>'2.2.6'!D55+'2.3.6'!D55</f>
        <v>12</v>
      </c>
      <c r="E55" s="23">
        <f>'2.2.6'!E55+'2.3.6'!E55</f>
        <v>13</v>
      </c>
      <c r="F55" s="23">
        <f>'2.2.6'!F55+'2.3.6'!F55</f>
        <v>12</v>
      </c>
      <c r="G55" s="34">
        <f>'2.2.6'!G55+'2.3.6'!G55</f>
        <v>15</v>
      </c>
      <c r="H55" s="155">
        <f>IF('AW Schulen'!$D103=0,"x",C55/'AW Schulen'!$D103)</f>
        <v>0.20547945205479451</v>
      </c>
      <c r="I55" s="155">
        <f>IF('AW Schulen'!$G103=0,"x",D55/'AW Schulen'!$G103)</f>
        <v>0.16666666666666666</v>
      </c>
      <c r="J55" s="155">
        <f>IF('AW Schulen'!$J103=0,"x",E55/'AW Schulen'!$J103)</f>
        <v>0.17808219178082191</v>
      </c>
      <c r="K55" s="155">
        <f>IF('AW Schulen'!$M103=0,"x",F55/'AW Schulen'!$M103)</f>
        <v>0.16216216216216217</v>
      </c>
      <c r="L55" s="156">
        <f>IF('AW Schulen'!$P103=0,"x",G55/'AW Schulen'!$P103)</f>
        <v>0.2</v>
      </c>
    </row>
    <row r="56" spans="1:12" ht="9" customHeight="1">
      <c r="A56" s="21" t="s">
        <v>88</v>
      </c>
      <c r="B56" s="120"/>
      <c r="C56" s="23">
        <f>'2.2.6'!C56+'2.3.6'!C56</f>
        <v>9</v>
      </c>
      <c r="D56" s="23">
        <f>'2.2.6'!D56+'2.3.6'!D56</f>
        <v>7</v>
      </c>
      <c r="E56" s="23">
        <f>'2.2.6'!E56+'2.3.6'!E56</f>
        <v>14</v>
      </c>
      <c r="F56" s="23">
        <f>'2.2.6'!F56+'2.3.6'!F56</f>
        <v>21</v>
      </c>
      <c r="G56" s="34">
        <f>'2.2.6'!G56+'2.3.6'!G56</f>
        <v>24</v>
      </c>
      <c r="H56" s="183">
        <v>0</v>
      </c>
      <c r="I56" s="183">
        <v>0</v>
      </c>
      <c r="J56" s="183">
        <v>0</v>
      </c>
      <c r="K56" s="183">
        <v>0</v>
      </c>
      <c r="L56" s="197">
        <v>0</v>
      </c>
    </row>
    <row r="57" spans="1:12" ht="9" customHeight="1">
      <c r="A57" s="21" t="s">
        <v>89</v>
      </c>
      <c r="B57" s="120"/>
      <c r="C57" s="23">
        <f>'2.2.6'!C57+'2.3.6'!C57</f>
        <v>0</v>
      </c>
      <c r="D57" s="23">
        <f>'2.2.6'!D57+'2.3.6'!D57</f>
        <v>0</v>
      </c>
      <c r="E57" s="23">
        <f>'2.2.6'!E57+'2.3.6'!E57</f>
        <v>0</v>
      </c>
      <c r="F57" s="23">
        <f>'2.2.6'!F57+'2.3.6'!F57</f>
        <v>0</v>
      </c>
      <c r="G57" s="34">
        <f>'2.2.6'!G57+'2.3.6'!G57</f>
        <v>0</v>
      </c>
      <c r="H57" s="155">
        <f>IF('AW Schulen'!$D105=0,"x",C57/'AW Schulen'!$D105)</f>
        <v>0</v>
      </c>
      <c r="I57" s="155">
        <f>IF('AW Schulen'!$G105=0,"x",D57/'AW Schulen'!$G105)</f>
        <v>0</v>
      </c>
      <c r="J57" s="155">
        <f>IF('AW Schulen'!$J105=0,"x",E57/'AW Schulen'!$J105)</f>
        <v>0</v>
      </c>
      <c r="K57" s="155">
        <f>IF('AW Schulen'!$M105=0,"x",F57/'AW Schulen'!$M105)</f>
        <v>0</v>
      </c>
      <c r="L57" s="156">
        <f>IF('AW Schulen'!$P105=0,"x",G57/'AW Schulen'!$P105)</f>
        <v>0</v>
      </c>
    </row>
    <row r="58" spans="1:12" ht="9" customHeight="1">
      <c r="A58" s="21" t="s">
        <v>90</v>
      </c>
      <c r="B58" s="120"/>
      <c r="C58" s="23">
        <f>'2.2.6'!C58+'2.3.6'!C58</f>
        <v>51</v>
      </c>
      <c r="D58" s="23">
        <f>'2.2.6'!D58+'2.3.6'!D58</f>
        <v>46</v>
      </c>
      <c r="E58" s="23">
        <f>'2.2.6'!E58+'2.3.6'!E58</f>
        <v>56</v>
      </c>
      <c r="F58" s="23">
        <f>'2.2.6'!F58+'2.3.6'!F58</f>
        <v>53</v>
      </c>
      <c r="G58" s="34">
        <f>'2.2.6'!G58+'2.3.6'!G58</f>
        <v>59</v>
      </c>
      <c r="H58" s="155">
        <f>IF('AW Schulen'!$D106=0,"x",C58/'AW Schulen'!$D106)</f>
        <v>0.34228187919463088</v>
      </c>
      <c r="I58" s="155">
        <f>IF('AW Schulen'!$G106=0,"x",D58/'AW Schulen'!$G106)</f>
        <v>0.3087248322147651</v>
      </c>
      <c r="J58" s="155">
        <f>IF('AW Schulen'!$J106=0,"x",E58/'AW Schulen'!$J106)</f>
        <v>0.37333333333333335</v>
      </c>
      <c r="K58" s="155">
        <f>IF('AW Schulen'!$M106=0,"x",F58/'AW Schulen'!$M106)</f>
        <v>0.35099337748344372</v>
      </c>
      <c r="L58" s="156">
        <f>IF('AW Schulen'!$P106=0,"x",G58/'AW Schulen'!$P106)</f>
        <v>0.39072847682119205</v>
      </c>
    </row>
    <row r="59" spans="1:12" ht="9" customHeight="1">
      <c r="A59" s="21" t="s">
        <v>91</v>
      </c>
      <c r="B59" s="120"/>
      <c r="C59" s="23">
        <f>'2.2.6'!C59+'2.3.6'!C59</f>
        <v>3</v>
      </c>
      <c r="D59" s="23">
        <f>'2.2.6'!D59+'2.3.6'!D59</f>
        <v>3</v>
      </c>
      <c r="E59" s="23">
        <f>'2.2.6'!E59+'2.3.6'!E59</f>
        <v>4</v>
      </c>
      <c r="F59" s="23">
        <f>'2.2.6'!F59+'2.3.6'!F59</f>
        <v>4</v>
      </c>
      <c r="G59" s="34">
        <f>'2.2.6'!G59+'2.3.6'!G59</f>
        <v>4</v>
      </c>
      <c r="H59" s="155">
        <f>IF('AW Schulen'!$D107=0,"x",C59/'AW Schulen'!$D107)</f>
        <v>9.0909090909090912E-2</v>
      </c>
      <c r="I59" s="155">
        <f>IF('AW Schulen'!$G107=0,"x",D59/'AW Schulen'!$G107)</f>
        <v>9.0909090909090912E-2</v>
      </c>
      <c r="J59" s="155">
        <f>IF('AW Schulen'!$J107=0,"x",E59/'AW Schulen'!$J107)</f>
        <v>0.12121212121212122</v>
      </c>
      <c r="K59" s="155">
        <f>IF('AW Schulen'!$M107=0,"x",F59/'AW Schulen'!$M107)</f>
        <v>0.12121212121212122</v>
      </c>
      <c r="L59" s="156">
        <f>IF('AW Schulen'!$P107=0,"x",G59/'AW Schulen'!$P107)</f>
        <v>0.12121212121212122</v>
      </c>
    </row>
    <row r="60" spans="1:12" ht="9" customHeight="1">
      <c r="A60" s="21" t="s">
        <v>92</v>
      </c>
      <c r="B60" s="120"/>
      <c r="C60" s="23">
        <f>'2.2.6'!C60+'2.3.6'!C60</f>
        <v>39</v>
      </c>
      <c r="D60" s="23">
        <f>'2.2.6'!D60+'2.3.6'!D60</f>
        <v>34</v>
      </c>
      <c r="E60" s="23">
        <f>'2.2.6'!E60+'2.3.6'!E60</f>
        <v>38</v>
      </c>
      <c r="F60" s="23">
        <f>'2.2.6'!F60+'2.3.6'!F60</f>
        <v>41</v>
      </c>
      <c r="G60" s="34">
        <f>'2.2.6'!G60+'2.3.6'!G60</f>
        <v>41</v>
      </c>
      <c r="H60" s="155">
        <f>IF('AW Schulen'!$D108=0,"x",C60/'AW Schulen'!$D108)</f>
        <v>0.25490196078431371</v>
      </c>
      <c r="I60" s="155">
        <f>IF('AW Schulen'!$G108=0,"x",D60/'AW Schulen'!$G108)</f>
        <v>0.22222222222222221</v>
      </c>
      <c r="J60" s="155">
        <f>IF('AW Schulen'!$J108=0,"x",E60/'AW Schulen'!$J108)</f>
        <v>0.24516129032258063</v>
      </c>
      <c r="K60" s="155">
        <f>IF('AW Schulen'!$M108=0,"x",F60/'AW Schulen'!$M108)</f>
        <v>0.26451612903225807</v>
      </c>
      <c r="L60" s="156">
        <f>IF('AW Schulen'!$P108=0,"x",G60/'AW Schulen'!$P108)</f>
        <v>0.25624999999999998</v>
      </c>
    </row>
    <row r="61" spans="1:12" ht="9" customHeight="1">
      <c r="A61" s="21" t="s">
        <v>93</v>
      </c>
      <c r="B61" s="120"/>
      <c r="C61" s="23">
        <f>'2.2.6'!C61+'2.3.6'!C61</f>
        <v>5</v>
      </c>
      <c r="D61" s="23">
        <f>'2.2.6'!D61+'2.3.6'!D61</f>
        <v>5</v>
      </c>
      <c r="E61" s="23">
        <f>'2.2.6'!E61+'2.3.6'!E61</f>
        <v>7</v>
      </c>
      <c r="F61" s="23">
        <f>'2.2.6'!F61+'2.3.6'!F61</f>
        <v>7</v>
      </c>
      <c r="G61" s="34">
        <f>'2.2.6'!G61+'2.3.6'!G61</f>
        <v>7</v>
      </c>
      <c r="H61" s="183">
        <v>0</v>
      </c>
      <c r="I61" s="183">
        <v>0</v>
      </c>
      <c r="J61" s="183">
        <v>0</v>
      </c>
      <c r="K61" s="183">
        <v>0</v>
      </c>
      <c r="L61" s="197">
        <v>0</v>
      </c>
    </row>
    <row r="62" spans="1:12" ht="9" customHeight="1">
      <c r="A62" s="21" t="s">
        <v>94</v>
      </c>
      <c r="B62" s="120"/>
      <c r="C62" s="23">
        <f>'2.2.6'!C62+'2.3.6'!C62</f>
        <v>1</v>
      </c>
      <c r="D62" s="23">
        <f>'2.2.6'!D62+'2.3.6'!D62</f>
        <v>1</v>
      </c>
      <c r="E62" s="23">
        <f>'2.2.6'!E62+'2.3.6'!E62</f>
        <v>1</v>
      </c>
      <c r="F62" s="23">
        <f>'2.2.6'!F62+'2.3.6'!F62</f>
        <v>1</v>
      </c>
      <c r="G62" s="34">
        <f>'2.2.6'!G62+'2.3.6'!G62</f>
        <v>1</v>
      </c>
      <c r="H62" s="155">
        <f>IF('AW Schulen'!$D110=0,"x",C62/'AW Schulen'!$D110)</f>
        <v>9.3457943925233638E-3</v>
      </c>
      <c r="I62" s="155">
        <f>IF('AW Schulen'!$G110=0,"x",D62/'AW Schulen'!$G110)</f>
        <v>9.3457943925233638E-3</v>
      </c>
      <c r="J62" s="155">
        <f>IF('AW Schulen'!$J110=0,"x",E62/'AW Schulen'!$J110)</f>
        <v>9.433962264150943E-3</v>
      </c>
      <c r="K62" s="155">
        <f>IF('AW Schulen'!$M110=0,"x",F62/'AW Schulen'!$M110)</f>
        <v>9.5238095238095247E-3</v>
      </c>
      <c r="L62" s="156">
        <f>IF('AW Schulen'!$P110=0,"x",G62/'AW Schulen'!$P110)</f>
        <v>9.5238095238095247E-3</v>
      </c>
    </row>
    <row r="63" spans="1:12" ht="9" customHeight="1">
      <c r="A63" s="21" t="s">
        <v>224</v>
      </c>
      <c r="B63" s="120"/>
      <c r="C63" s="23">
        <f>'2.2.6'!C63+'2.3.6'!C63</f>
        <v>3</v>
      </c>
      <c r="D63" s="23">
        <f>'2.2.6'!D63+'2.3.6'!D63</f>
        <v>6</v>
      </c>
      <c r="E63" s="23">
        <f>'2.2.6'!E63+'2.3.6'!E63</f>
        <v>5</v>
      </c>
      <c r="F63" s="23">
        <f>'2.2.6'!F63+'2.3.6'!F63</f>
        <v>6</v>
      </c>
      <c r="G63" s="34">
        <f>'2.2.6'!G63+'2.3.6'!G63</f>
        <v>6</v>
      </c>
      <c r="H63" s="155">
        <f>IF('AW Schulen'!$D111=0,"x",C63/'AW Schulen'!$D111)</f>
        <v>3.0927835051546393E-2</v>
      </c>
      <c r="I63" s="155">
        <f>IF('AW Schulen'!$G111=0,"x",D63/'AW Schulen'!$G111)</f>
        <v>6.1855670103092786E-2</v>
      </c>
      <c r="J63" s="155">
        <f>IF('AW Schulen'!$J111=0,"x",E63/'AW Schulen'!$J111)</f>
        <v>5.1546391752577317E-2</v>
      </c>
      <c r="K63" s="155">
        <f>IF('AW Schulen'!$M111=0,"x",F63/'AW Schulen'!$M111)</f>
        <v>6.1224489795918366E-2</v>
      </c>
      <c r="L63" s="156">
        <f>IF('AW Schulen'!$P111=0,"x",G63/'AW Schulen'!$P111)</f>
        <v>6.0606060606060608E-2</v>
      </c>
    </row>
    <row r="64" spans="1:12" ht="8.65" customHeight="1">
      <c r="A64" s="21" t="s">
        <v>96</v>
      </c>
      <c r="B64" s="120"/>
      <c r="C64" s="23">
        <f>'2.2.6'!C64+'2.3.6'!C64</f>
        <v>205</v>
      </c>
      <c r="D64" s="23">
        <f>'2.2.6'!D64+'2.3.6'!D64</f>
        <v>213</v>
      </c>
      <c r="E64" s="23">
        <f>'2.2.6'!E64+'2.3.6'!E64</f>
        <v>235</v>
      </c>
      <c r="F64" s="23">
        <f>'2.2.6'!F64+'2.3.6'!F64</f>
        <v>240</v>
      </c>
      <c r="G64" s="34">
        <f>'2.2.6'!G64+'2.3.6'!G64</f>
        <v>253</v>
      </c>
      <c r="H64" s="155">
        <f>IF('AW Schulen'!$D112=0,"x",C64/'AW Schulen'!$D112)</f>
        <v>6.8584810973569763E-2</v>
      </c>
      <c r="I64" s="155">
        <f>IF('AW Schulen'!$G112=0,"x",D64/'AW Schulen'!$G112)</f>
        <v>7.1668909825033641E-2</v>
      </c>
      <c r="J64" s="155">
        <f>IF('AW Schulen'!$J112=0,"x",E64/'AW Schulen'!$J112)</f>
        <v>7.8991596638655459E-2</v>
      </c>
      <c r="K64" s="155">
        <f>IF('AW Schulen'!$M112=0,"x",F64/'AW Schulen'!$M112)</f>
        <v>8.0645161290322578E-2</v>
      </c>
      <c r="L64" s="156">
        <f>IF('AW Schulen'!$P112=0,"x",G64/'AW Schulen'!$P112)</f>
        <v>8.4757118927973205E-2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'2.2.6'!C66+'2.3.6'!C66</f>
        <v>184</v>
      </c>
      <c r="D66" s="23">
        <f>'2.2.6'!D66+'2.3.6'!D66</f>
        <v>197</v>
      </c>
      <c r="E66" s="23">
        <f>'2.2.6'!E66+'2.3.6'!E66</f>
        <v>201</v>
      </c>
      <c r="F66" s="23">
        <f>'2.2.6'!F66+'2.3.6'!F66</f>
        <v>204</v>
      </c>
      <c r="G66" s="34">
        <f>'2.2.6'!G66+'2.3.6'!G66</f>
        <v>206</v>
      </c>
      <c r="H66" s="155">
        <f>IF('AW Schulen'!$D96=0,"x",C66/'AW Schulen'!$D96)</f>
        <v>0.4043956043956044</v>
      </c>
      <c r="I66" s="155">
        <f>IF('AW Schulen'!$G96=0,"x",D66/'AW Schulen'!$G96)</f>
        <v>0.43013100436681223</v>
      </c>
      <c r="J66" s="155">
        <f>IF('AW Schulen'!$J96=0,"x",E66/'AW Schulen'!$J96)</f>
        <v>0.43790849673202614</v>
      </c>
      <c r="K66" s="155">
        <f>IF('AW Schulen'!$M96=0,"x",F66/'AW Schulen'!$M96)</f>
        <v>0.44444444444444442</v>
      </c>
      <c r="L66" s="156">
        <f>IF('AW Schulen'!$P96=0,"x",G66/'AW Schulen'!$P96)</f>
        <v>0.44880174291938996</v>
      </c>
    </row>
    <row r="67" spans="1:12" ht="10.15" customHeight="1">
      <c r="A67" s="21" t="s">
        <v>216</v>
      </c>
      <c r="B67" s="120"/>
      <c r="C67" s="23">
        <f>'2.2.6'!C67+'2.3.6'!C67</f>
        <v>236</v>
      </c>
      <c r="D67" s="23">
        <f>'2.2.6'!D67+'2.3.6'!D67</f>
        <v>240</v>
      </c>
      <c r="E67" s="23">
        <f>'2.2.6'!E67+'2.3.6'!E67</f>
        <v>240</v>
      </c>
      <c r="F67" s="23">
        <f>'2.2.6'!F67+'2.3.6'!F67</f>
        <v>246</v>
      </c>
      <c r="G67" s="34">
        <f>'2.2.6'!G67+'2.3.6'!G67</f>
        <v>254</v>
      </c>
      <c r="H67" s="155">
        <f>IF('AW Schulen'!$D97=0,"x",C67/'AW Schulen'!$D97)</f>
        <v>0.56459330143540665</v>
      </c>
      <c r="I67" s="155">
        <f>IF('AW Schulen'!$G97=0,"x",D67/'AW Schulen'!$G97)</f>
        <v>0.56872037914691942</v>
      </c>
      <c r="J67" s="155">
        <f>IF('AW Schulen'!$J97=0,"x",E67/'AW Schulen'!$J97)</f>
        <v>0.56603773584905659</v>
      </c>
      <c r="K67" s="155">
        <f>IF('AW Schulen'!$M97=0,"x",F67/'AW Schulen'!$M97)</f>
        <v>0.57746478873239437</v>
      </c>
      <c r="L67" s="156">
        <f>IF('AW Schulen'!$P97=0,"x",G67/'AW Schulen'!$P97)</f>
        <v>0.59624413145539901</v>
      </c>
    </row>
    <row r="68" spans="1:12" ht="10.15" customHeight="1">
      <c r="A68" s="224" t="s">
        <v>82</v>
      </c>
      <c r="B68" s="120"/>
      <c r="C68" s="23">
        <f>'2.2.6'!C68+'2.3.6'!C68</f>
        <v>20</v>
      </c>
      <c r="D68" s="23">
        <f>'2.2.6'!D68+'2.3.6'!D68</f>
        <v>15</v>
      </c>
      <c r="E68" s="23">
        <f>'2.2.6'!E68+'2.3.6'!E68</f>
        <v>13</v>
      </c>
      <c r="F68" s="23">
        <f>'2.2.6'!F68+'2.3.6'!F68</f>
        <v>20</v>
      </c>
      <c r="G68" s="34">
        <f>'2.2.6'!G68+'2.3.6'!G68</f>
        <v>22</v>
      </c>
      <c r="H68" s="155">
        <f>IF('AW Schulen'!$D98=0,"x",C68/'AW Schulen'!$D98)</f>
        <v>0.17241379310344829</v>
      </c>
      <c r="I68" s="155">
        <f>IF('AW Schulen'!$G98=0,"x",D68/'AW Schulen'!$G98)</f>
        <v>0.14851485148514851</v>
      </c>
      <c r="J68" s="155">
        <f>IF('AW Schulen'!$J98=0,"x",E68/'AW Schulen'!$J98)</f>
        <v>0.11504424778761062</v>
      </c>
      <c r="K68" s="155">
        <f>IF('AW Schulen'!$M98=0,"x",F68/'AW Schulen'!$M98)</f>
        <v>0.17699115044247787</v>
      </c>
      <c r="L68" s="156">
        <f>IF('AW Schulen'!$P98=0,"x",G68/'AW Schulen'!$P98)</f>
        <v>0.19469026548672566</v>
      </c>
    </row>
    <row r="69" spans="1:12" ht="9" customHeight="1">
      <c r="A69" s="21" t="s">
        <v>83</v>
      </c>
      <c r="B69" s="120"/>
      <c r="C69" s="23">
        <f>'2.2.6'!C69+'2.3.6'!C69</f>
        <v>37</v>
      </c>
      <c r="D69" s="23">
        <f>'2.2.6'!D69+'2.3.6'!D69</f>
        <v>37</v>
      </c>
      <c r="E69" s="23">
        <f>'2.2.6'!E69+'2.3.6'!E69</f>
        <v>39</v>
      </c>
      <c r="F69" s="23">
        <f>'2.2.6'!F69+'2.3.6'!F69</f>
        <v>39</v>
      </c>
      <c r="G69" s="34">
        <f>'2.2.6'!G69+'2.3.6'!G69</f>
        <v>40</v>
      </c>
      <c r="H69" s="155">
        <f>IF('AW Schulen'!$D99=0,"x",C69/'AW Schulen'!$D99)</f>
        <v>0.37</v>
      </c>
      <c r="I69" s="155">
        <f>IF('AW Schulen'!$G99=0,"x",D69/'AW Schulen'!$G99)</f>
        <v>0.37373737373737376</v>
      </c>
      <c r="J69" s="155">
        <f>IF('AW Schulen'!$J99=0,"x",E69/'AW Schulen'!$J99)</f>
        <v>0.39</v>
      </c>
      <c r="K69" s="155">
        <f>IF('AW Schulen'!$M99=0,"x",F69/'AW Schulen'!$M99)</f>
        <v>0.38613861386138615</v>
      </c>
      <c r="L69" s="156">
        <f>IF('AW Schulen'!$P99=0,"x",G69/'AW Schulen'!$P99)</f>
        <v>0.39215686274509803</v>
      </c>
    </row>
    <row r="70" spans="1:12" ht="9" customHeight="1">
      <c r="A70" s="21" t="s">
        <v>84</v>
      </c>
      <c r="B70" s="120"/>
      <c r="C70" s="23">
        <f>'2.2.6'!C70+'2.3.6'!C70</f>
        <v>1</v>
      </c>
      <c r="D70" s="23">
        <f>'2.2.6'!D70+'2.3.6'!D70</f>
        <v>1</v>
      </c>
      <c r="E70" s="23">
        <f>'2.2.6'!E70+'2.3.6'!E70</f>
        <v>1</v>
      </c>
      <c r="F70" s="23">
        <f>'2.2.6'!F70+'2.3.6'!F70</f>
        <v>2</v>
      </c>
      <c r="G70" s="34">
        <f>'2.2.6'!G70+'2.3.6'!G70</f>
        <v>0</v>
      </c>
      <c r="H70" s="155">
        <f>IF('AW Schulen'!$D100=0,"x",C70/'AW Schulen'!$D100)</f>
        <v>2.7777777777777776E-2</v>
      </c>
      <c r="I70" s="155">
        <f>IF('AW Schulen'!$G100=0,"x",D70/'AW Schulen'!$G100)</f>
        <v>3.3333333333333333E-2</v>
      </c>
      <c r="J70" s="155">
        <f>IF('AW Schulen'!$J100=0,"x",E70/'AW Schulen'!$J100)</f>
        <v>4.5454545454545456E-2</v>
      </c>
      <c r="K70" s="155">
        <f>IF('AW Schulen'!$M100=0,"x",F70/'AW Schulen'!$M100)</f>
        <v>0.14285714285714285</v>
      </c>
      <c r="L70" s="156">
        <f>IF('AW Schulen'!$P100=0,"x",G70/'AW Schulen'!$P100)</f>
        <v>0</v>
      </c>
    </row>
    <row r="71" spans="1:12" ht="9" customHeight="1">
      <c r="A71" s="21" t="s">
        <v>85</v>
      </c>
      <c r="B71" s="120"/>
      <c r="C71" s="23">
        <f>'2.2.6'!C71+'2.3.6'!C71</f>
        <v>63</v>
      </c>
      <c r="D71" s="23">
        <f>'2.2.6'!D71+'2.3.6'!D71</f>
        <v>62</v>
      </c>
      <c r="E71" s="23">
        <f>'2.2.6'!E71+'2.3.6'!E71</f>
        <v>61</v>
      </c>
      <c r="F71" s="23">
        <f>'2.2.6'!F71+'2.3.6'!F71</f>
        <v>61</v>
      </c>
      <c r="G71" s="34">
        <f>'2.2.6'!G71+'2.3.6'!G71</f>
        <v>58</v>
      </c>
      <c r="H71" s="155">
        <f>IF('AW Schulen'!$D101=0,"x",C71/'AW Schulen'!$D101)</f>
        <v>0.80769230769230771</v>
      </c>
      <c r="I71" s="155">
        <f>IF('AW Schulen'!$G101=0,"x",D71/'AW Schulen'!$G101)</f>
        <v>0.79487179487179482</v>
      </c>
      <c r="J71" s="155">
        <f>IF('AW Schulen'!$J101=0,"x",E71/'AW Schulen'!$J101)</f>
        <v>0.83561643835616439</v>
      </c>
      <c r="K71" s="155">
        <f>IF('AW Schulen'!$M101=0,"x",F71/'AW Schulen'!$M101)</f>
        <v>0.83561643835616439</v>
      </c>
      <c r="L71" s="156">
        <f>IF('AW Schulen'!$P101=0,"x",G71/'AW Schulen'!$P101)</f>
        <v>0.78378378378378377</v>
      </c>
    </row>
    <row r="72" spans="1:12" ht="9" customHeight="1">
      <c r="A72" s="21" t="s">
        <v>86</v>
      </c>
      <c r="B72" s="120"/>
      <c r="C72" s="23">
        <f>'2.2.6'!C72+'2.3.6'!C72</f>
        <v>215</v>
      </c>
      <c r="D72" s="23">
        <f>'2.2.6'!D72+'2.3.6'!D72</f>
        <v>214</v>
      </c>
      <c r="E72" s="23">
        <f>'2.2.6'!E72+'2.3.6'!E72</f>
        <v>213</v>
      </c>
      <c r="F72" s="23">
        <f>'2.2.6'!F72+'2.3.6'!F72</f>
        <v>214</v>
      </c>
      <c r="G72" s="34">
        <f>'2.2.6'!G72+'2.3.6'!G72</f>
        <v>214</v>
      </c>
      <c r="H72" s="183">
        <v>0</v>
      </c>
      <c r="I72" s="183">
        <v>0</v>
      </c>
      <c r="J72" s="183">
        <v>0</v>
      </c>
      <c r="K72" s="183">
        <v>0</v>
      </c>
      <c r="L72" s="197">
        <v>0</v>
      </c>
    </row>
    <row r="73" spans="1:12" ht="9" customHeight="1">
      <c r="A73" s="21" t="s">
        <v>223</v>
      </c>
      <c r="B73" s="120"/>
      <c r="C73" s="23">
        <f>'2.2.6'!C73+'2.3.6'!C73</f>
        <v>22</v>
      </c>
      <c r="D73" s="23">
        <f>'2.2.6'!D73+'2.3.6'!D73</f>
        <v>24</v>
      </c>
      <c r="E73" s="23">
        <f>'2.2.6'!E73+'2.3.6'!E73</f>
        <v>24</v>
      </c>
      <c r="F73" s="23">
        <f>'2.2.6'!F73+'2.3.6'!F73</f>
        <v>22</v>
      </c>
      <c r="G73" s="34">
        <f>'2.2.6'!G73+'2.3.6'!G73</f>
        <v>17</v>
      </c>
      <c r="H73" s="155">
        <f>IF('AW Schulen'!$D103=0,"x",C73/'AW Schulen'!$D103)</f>
        <v>0.30136986301369861</v>
      </c>
      <c r="I73" s="155">
        <f>IF('AW Schulen'!$G103=0,"x",D73/'AW Schulen'!$G103)</f>
        <v>0.33333333333333331</v>
      </c>
      <c r="J73" s="155">
        <f>IF('AW Schulen'!$J103=0,"x",E73/'AW Schulen'!$J103)</f>
        <v>0.32876712328767121</v>
      </c>
      <c r="K73" s="155">
        <f>IF('AW Schulen'!$M103=0,"x",F73/'AW Schulen'!$M103)</f>
        <v>0.29729729729729731</v>
      </c>
      <c r="L73" s="156">
        <f>IF('AW Schulen'!$P103=0,"x",G73/'AW Schulen'!$P103)</f>
        <v>0.22666666666666666</v>
      </c>
    </row>
    <row r="74" spans="1:12" ht="9" customHeight="1">
      <c r="A74" s="21" t="s">
        <v>88</v>
      </c>
      <c r="B74" s="120"/>
      <c r="C74" s="23">
        <f>'2.2.6'!C74+'2.3.6'!C74</f>
        <v>193</v>
      </c>
      <c r="D74" s="23">
        <f>'2.2.6'!D74+'2.3.6'!D74</f>
        <v>208</v>
      </c>
      <c r="E74" s="23">
        <f>'2.2.6'!E74+'2.3.6'!E74</f>
        <v>211</v>
      </c>
      <c r="F74" s="23">
        <f>'2.2.6'!F74+'2.3.6'!F74</f>
        <v>208</v>
      </c>
      <c r="G74" s="34">
        <f>'2.2.6'!G74+'2.3.6'!G74</f>
        <v>211</v>
      </c>
      <c r="H74" s="183">
        <v>0</v>
      </c>
      <c r="I74" s="183">
        <v>0</v>
      </c>
      <c r="J74" s="183">
        <v>0</v>
      </c>
      <c r="K74" s="183">
        <v>0</v>
      </c>
      <c r="L74" s="197">
        <v>0</v>
      </c>
    </row>
    <row r="75" spans="1:12" ht="9" customHeight="1">
      <c r="A75" s="21" t="s">
        <v>89</v>
      </c>
      <c r="B75" s="120"/>
      <c r="C75" s="23">
        <f>'2.2.6'!C75+'2.3.6'!C75</f>
        <v>0</v>
      </c>
      <c r="D75" s="23">
        <f>'2.2.6'!D75+'2.3.6'!D75</f>
        <v>0</v>
      </c>
      <c r="E75" s="23">
        <f>'2.2.6'!E75+'2.3.6'!E75</f>
        <v>0</v>
      </c>
      <c r="F75" s="23">
        <f>'2.2.6'!F75+'2.3.6'!F75</f>
        <v>0</v>
      </c>
      <c r="G75" s="34">
        <f>'2.2.6'!G75+'2.3.6'!G75</f>
        <v>0</v>
      </c>
      <c r="H75" s="155">
        <f>IF('AW Schulen'!$D105=0,"x",C75/'AW Schulen'!$D105)</f>
        <v>0</v>
      </c>
      <c r="I75" s="155">
        <f>IF('AW Schulen'!$G105=0,"x",D75/'AW Schulen'!$G105)</f>
        <v>0</v>
      </c>
      <c r="J75" s="155">
        <f>IF('AW Schulen'!$J105=0,"x",E75/'AW Schulen'!$J105)</f>
        <v>0</v>
      </c>
      <c r="K75" s="155">
        <f>IF('AW Schulen'!$M105=0,"x",F75/'AW Schulen'!$M105)</f>
        <v>0</v>
      </c>
      <c r="L75" s="156">
        <f>IF('AW Schulen'!$P105=0,"x",G75/'AW Schulen'!$P105)</f>
        <v>0</v>
      </c>
    </row>
    <row r="76" spans="1:12" ht="9" customHeight="1">
      <c r="A76" s="21" t="s">
        <v>90</v>
      </c>
      <c r="B76" s="120"/>
      <c r="C76" s="23">
        <f>'2.2.6'!C76+'2.3.6'!C76</f>
        <v>4</v>
      </c>
      <c r="D76" s="23">
        <f>'2.2.6'!D76+'2.3.6'!D76</f>
        <v>4</v>
      </c>
      <c r="E76" s="23">
        <f>'2.2.6'!E76+'2.3.6'!E76</f>
        <v>4</v>
      </c>
      <c r="F76" s="23">
        <f>'2.2.6'!F76+'2.3.6'!F76</f>
        <v>2</v>
      </c>
      <c r="G76" s="34">
        <f>'2.2.6'!G76+'2.3.6'!G76</f>
        <v>2</v>
      </c>
      <c r="H76" s="155">
        <f>IF('AW Schulen'!$D106=0,"x",C76/'AW Schulen'!$D106)</f>
        <v>2.6845637583892617E-2</v>
      </c>
      <c r="I76" s="155">
        <f>IF('AW Schulen'!$G106=0,"x",D76/'AW Schulen'!$G106)</f>
        <v>2.6845637583892617E-2</v>
      </c>
      <c r="J76" s="155">
        <f>IF('AW Schulen'!$J106=0,"x",E76/'AW Schulen'!$J106)</f>
        <v>2.6666666666666668E-2</v>
      </c>
      <c r="K76" s="155">
        <f>IF('AW Schulen'!$M106=0,"x",F76/'AW Schulen'!$M106)</f>
        <v>1.3245033112582781E-2</v>
      </c>
      <c r="L76" s="156">
        <f>IF('AW Schulen'!$P106=0,"x",G76/'AW Schulen'!$P106)</f>
        <v>1.3245033112582781E-2</v>
      </c>
    </row>
    <row r="77" spans="1:12" ht="9" customHeight="1">
      <c r="A77" s="21" t="s">
        <v>91</v>
      </c>
      <c r="B77" s="120"/>
      <c r="C77" s="23">
        <f>'2.2.6'!C77+'2.3.6'!C77</f>
        <v>30</v>
      </c>
      <c r="D77" s="23">
        <f>'2.2.6'!D77+'2.3.6'!D77</f>
        <v>30</v>
      </c>
      <c r="E77" s="23">
        <f>'2.2.6'!E77+'2.3.6'!E77</f>
        <v>29</v>
      </c>
      <c r="F77" s="23">
        <f>'2.2.6'!F77+'2.3.6'!F77</f>
        <v>29</v>
      </c>
      <c r="G77" s="34">
        <f>'2.2.6'!G77+'2.3.6'!G77</f>
        <v>29</v>
      </c>
      <c r="H77" s="155">
        <f>IF('AW Schulen'!$D107=0,"x",C77/'AW Schulen'!$D107)</f>
        <v>0.90909090909090906</v>
      </c>
      <c r="I77" s="155">
        <f>IF('AW Schulen'!$G107=0,"x",D77/'AW Schulen'!$G107)</f>
        <v>0.90909090909090906</v>
      </c>
      <c r="J77" s="155">
        <f>IF('AW Schulen'!$J107=0,"x",E77/'AW Schulen'!$J107)</f>
        <v>0.87878787878787878</v>
      </c>
      <c r="K77" s="155">
        <f>IF('AW Schulen'!$M107=0,"x",F77/'AW Schulen'!$M107)</f>
        <v>0.87878787878787878</v>
      </c>
      <c r="L77" s="156">
        <f>IF('AW Schulen'!$P107=0,"x",G77/'AW Schulen'!$P107)</f>
        <v>0.87878787878787878</v>
      </c>
    </row>
    <row r="78" spans="1:12" ht="9" customHeight="1">
      <c r="A78" s="21" t="s">
        <v>92</v>
      </c>
      <c r="B78" s="120"/>
      <c r="C78" s="23">
        <f>'2.2.6'!C78+'2.3.6'!C78</f>
        <v>91</v>
      </c>
      <c r="D78" s="23">
        <f>'2.2.6'!D78+'2.3.6'!D78</f>
        <v>99</v>
      </c>
      <c r="E78" s="23">
        <f>'2.2.6'!E78+'2.3.6'!E78</f>
        <v>100</v>
      </c>
      <c r="F78" s="23">
        <f>'2.2.6'!F78+'2.3.6'!F78</f>
        <v>98</v>
      </c>
      <c r="G78" s="34">
        <f>'2.2.6'!G78+'2.3.6'!G78</f>
        <v>102</v>
      </c>
      <c r="H78" s="155">
        <f>IF('AW Schulen'!$D108=0,"x",C78/'AW Schulen'!$D108)</f>
        <v>0.59477124183006536</v>
      </c>
      <c r="I78" s="155">
        <f>IF('AW Schulen'!$G108=0,"x",D78/'AW Schulen'!$G108)</f>
        <v>0.6470588235294118</v>
      </c>
      <c r="J78" s="155">
        <f>IF('AW Schulen'!$J108=0,"x",E78/'AW Schulen'!$J108)</f>
        <v>0.64516129032258063</v>
      </c>
      <c r="K78" s="155">
        <f>IF('AW Schulen'!$M108=0,"x",F78/'AW Schulen'!$M108)</f>
        <v>0.63225806451612898</v>
      </c>
      <c r="L78" s="156">
        <f>IF('AW Schulen'!$P108=0,"x",G78/'AW Schulen'!$P108)</f>
        <v>0.63749999999999996</v>
      </c>
    </row>
    <row r="79" spans="1:12" ht="9" customHeight="1">
      <c r="A79" s="21" t="s">
        <v>93</v>
      </c>
      <c r="B79" s="120"/>
      <c r="C79" s="23">
        <f>'2.2.6'!C79+'2.3.6'!C79</f>
        <v>15</v>
      </c>
      <c r="D79" s="23">
        <f>'2.2.6'!D79+'2.3.6'!D79</f>
        <v>16</v>
      </c>
      <c r="E79" s="23">
        <f>'2.2.6'!E79+'2.3.6'!E79</f>
        <v>15</v>
      </c>
      <c r="F79" s="23">
        <f>'2.2.6'!F79+'2.3.6'!F79</f>
        <v>15</v>
      </c>
      <c r="G79" s="34">
        <f>'2.2.6'!G79+'2.3.6'!G79</f>
        <v>16</v>
      </c>
      <c r="H79" s="183">
        <v>0</v>
      </c>
      <c r="I79" s="183">
        <v>0</v>
      </c>
      <c r="J79" s="183">
        <v>0</v>
      </c>
      <c r="K79" s="183">
        <v>0</v>
      </c>
      <c r="L79" s="197">
        <v>0</v>
      </c>
    </row>
    <row r="80" spans="1:12" ht="9" customHeight="1">
      <c r="A80" s="21" t="s">
        <v>94</v>
      </c>
      <c r="B80" s="120"/>
      <c r="C80" s="23">
        <f>'2.2.6'!C80+'2.3.6'!C80</f>
        <v>68</v>
      </c>
      <c r="D80" s="23">
        <f>'2.2.6'!D80+'2.3.6'!D80</f>
        <v>69</v>
      </c>
      <c r="E80" s="23">
        <f>'2.2.6'!E80+'2.3.6'!E80</f>
        <v>70</v>
      </c>
      <c r="F80" s="23">
        <f>'2.2.6'!F80+'2.3.6'!F80</f>
        <v>69</v>
      </c>
      <c r="G80" s="34">
        <f>'2.2.6'!G80+'2.3.6'!G80</f>
        <v>70</v>
      </c>
      <c r="H80" s="155">
        <f>IF('AW Schulen'!$D110=0,"x",C80/'AW Schulen'!$D110)</f>
        <v>0.63551401869158874</v>
      </c>
      <c r="I80" s="155">
        <f>IF('AW Schulen'!$G110=0,"x",D80/'AW Schulen'!$G110)</f>
        <v>0.64485981308411211</v>
      </c>
      <c r="J80" s="155">
        <f>IF('AW Schulen'!$J110=0,"x",E80/'AW Schulen'!$J110)</f>
        <v>0.660377358490566</v>
      </c>
      <c r="K80" s="155">
        <f>IF('AW Schulen'!$M110=0,"x",F80/'AW Schulen'!$M110)</f>
        <v>0.65714285714285714</v>
      </c>
      <c r="L80" s="156">
        <f>IF('AW Schulen'!$P110=0,"x",G80/'AW Schulen'!$P110)</f>
        <v>0.66666666666666663</v>
      </c>
    </row>
    <row r="81" spans="1:12" ht="9" customHeight="1">
      <c r="A81" s="21" t="s">
        <v>224</v>
      </c>
      <c r="B81" s="120"/>
      <c r="C81" s="23">
        <f>'2.2.6'!C81+'2.3.6'!C81</f>
        <v>15</v>
      </c>
      <c r="D81" s="23">
        <f>'2.2.6'!D81+'2.3.6'!D81</f>
        <v>12</v>
      </c>
      <c r="E81" s="23">
        <f>'2.2.6'!E81+'2.3.6'!E81</f>
        <v>11</v>
      </c>
      <c r="F81" s="23">
        <f>'2.2.6'!F81+'2.3.6'!F81</f>
        <v>11</v>
      </c>
      <c r="G81" s="34">
        <f>'2.2.6'!G81+'2.3.6'!G81</f>
        <v>10</v>
      </c>
      <c r="H81" s="155">
        <f>IF('AW Schulen'!$D111=0,"x",C81/'AW Schulen'!$D111)</f>
        <v>0.15463917525773196</v>
      </c>
      <c r="I81" s="155">
        <f>IF('AW Schulen'!$G111=0,"x",D81/'AW Schulen'!$G111)</f>
        <v>0.12371134020618557</v>
      </c>
      <c r="J81" s="155">
        <f>IF('AW Schulen'!$J111=0,"x",E81/'AW Schulen'!$J111)</f>
        <v>0.1134020618556701</v>
      </c>
      <c r="K81" s="155">
        <f>IF('AW Schulen'!$M111=0,"x",F81/'AW Schulen'!$M111)</f>
        <v>0.11224489795918367</v>
      </c>
      <c r="L81" s="156">
        <f>IF('AW Schulen'!$P111=0,"x",G81/'AW Schulen'!$P111)</f>
        <v>0.10101010101010101</v>
      </c>
    </row>
    <row r="82" spans="1:12" ht="9" customHeight="1">
      <c r="A82" s="24" t="s">
        <v>96</v>
      </c>
      <c r="B82" s="121"/>
      <c r="C82" s="26">
        <f>'2.2.6'!C82+'2.3.6'!C82</f>
        <v>1194</v>
      </c>
      <c r="D82" s="26">
        <f>'2.2.6'!D82+'2.3.6'!D82</f>
        <v>1228</v>
      </c>
      <c r="E82" s="26">
        <f>'2.2.6'!E82+'2.3.6'!E82</f>
        <v>1232</v>
      </c>
      <c r="F82" s="26">
        <f>'2.2.6'!F82+'2.3.6'!F82</f>
        <v>1240</v>
      </c>
      <c r="G82" s="47">
        <f>'2.2.6'!G82+'2.3.6'!G82</f>
        <v>1251</v>
      </c>
      <c r="H82" s="157">
        <f>IF('AW Schulen'!$D112=0,"x",C82/'AW Schulen'!$D112)</f>
        <v>0.39946470391435263</v>
      </c>
      <c r="I82" s="157">
        <f>IF('AW Schulen'!$G112=0,"x",D82/'AW Schulen'!$G112)</f>
        <v>0.41318977119784656</v>
      </c>
      <c r="J82" s="157">
        <f>IF('AW Schulen'!$J112=0,"x",E82/'AW Schulen'!$J112)</f>
        <v>0.41411764705882353</v>
      </c>
      <c r="K82" s="157">
        <f>IF('AW Schulen'!$M112=0,"x",F82/'AW Schulen'!$M112)</f>
        <v>0.41666666666666669</v>
      </c>
      <c r="L82" s="158">
        <f>IF('AW Schulen'!$P112=0,"x",G82/'AW Schulen'!$P112)</f>
        <v>0.4190954773869347</v>
      </c>
    </row>
    <row r="83" spans="1:12" ht="18.75" customHeight="1">
      <c r="A83" s="396" t="s">
        <v>312</v>
      </c>
      <c r="B83" s="396"/>
      <c r="C83" s="396"/>
      <c r="D83" s="396"/>
      <c r="E83" s="396"/>
      <c r="F83" s="396"/>
      <c r="G83" s="396"/>
      <c r="H83" s="396"/>
      <c r="I83" s="396"/>
      <c r="J83" s="396"/>
      <c r="K83" s="396"/>
      <c r="L83" s="396"/>
    </row>
    <row r="84" spans="1:12" ht="10.15" customHeight="1">
      <c r="A84" s="399" t="s">
        <v>184</v>
      </c>
      <c r="B84" s="399"/>
      <c r="C84" s="399"/>
      <c r="D84" s="399"/>
      <c r="E84" s="399"/>
      <c r="F84" s="399"/>
      <c r="G84" s="399"/>
      <c r="H84" s="399"/>
      <c r="I84" s="236"/>
      <c r="J84" s="250"/>
      <c r="K84" s="315"/>
      <c r="L84" s="342"/>
    </row>
    <row r="85" spans="1:12" s="215" customFormat="1" ht="18.75" customHeight="1">
      <c r="A85" s="381" t="s">
        <v>199</v>
      </c>
      <c r="B85" s="381"/>
      <c r="C85" s="381"/>
      <c r="D85" s="381"/>
      <c r="E85" s="381"/>
      <c r="F85" s="381"/>
      <c r="G85" s="381"/>
      <c r="H85" s="381"/>
      <c r="I85" s="381"/>
      <c r="J85" s="381"/>
      <c r="K85" s="394"/>
      <c r="L85" s="394"/>
    </row>
    <row r="86" spans="1:12" s="264" customFormat="1" ht="10.15" customHeight="1">
      <c r="A86" s="381" t="s">
        <v>214</v>
      </c>
      <c r="B86" s="381"/>
      <c r="C86" s="381"/>
      <c r="D86" s="381"/>
      <c r="E86" s="381"/>
      <c r="F86" s="381"/>
      <c r="G86" s="381"/>
      <c r="H86" s="381"/>
      <c r="I86" s="381"/>
      <c r="J86" s="381"/>
      <c r="K86" s="312"/>
      <c r="L86" s="339"/>
    </row>
    <row r="87" spans="1:12" s="268" customFormat="1" ht="10.15" customHeight="1">
      <c r="A87" s="306" t="s">
        <v>222</v>
      </c>
      <c r="B87" s="266"/>
      <c r="C87" s="266"/>
      <c r="D87" s="266"/>
      <c r="E87" s="266"/>
      <c r="F87" s="314"/>
      <c r="G87" s="341"/>
      <c r="H87" s="266"/>
      <c r="I87" s="266"/>
      <c r="J87" s="266"/>
      <c r="K87" s="314"/>
      <c r="L87" s="341"/>
    </row>
    <row r="88" spans="1:12" ht="10.5" customHeight="1">
      <c r="A88" s="306" t="s">
        <v>272</v>
      </c>
    </row>
  </sheetData>
  <mergeCells count="11">
    <mergeCell ref="A1:L1"/>
    <mergeCell ref="A86:J86"/>
    <mergeCell ref="A84:H84"/>
    <mergeCell ref="A65:L65"/>
    <mergeCell ref="A85:L85"/>
    <mergeCell ref="A47:L47"/>
    <mergeCell ref="C9:G9"/>
    <mergeCell ref="H9:L9"/>
    <mergeCell ref="A11:L11"/>
    <mergeCell ref="A29:L29"/>
    <mergeCell ref="A83:L83"/>
  </mergeCells>
  <phoneticPr fontId="18" type="noConversion"/>
  <conditionalFormatting sqref="N25">
    <cfRule type="cellIs" dxfId="61"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M89"/>
  <sheetViews>
    <sheetView view="pageBreakPreview" topLeftCell="A16" zoomScale="175" zoomScaleNormal="115" zoomScaleSheetLayoutView="175" workbookViewId="0">
      <selection activeCell="N23" sqref="N23:N24"/>
    </sheetView>
  </sheetViews>
  <sheetFormatPr baseColWidth="10" defaultColWidth="11.42578125" defaultRowHeight="9"/>
  <cols>
    <col min="1" max="1" width="9.42578125" style="2" customWidth="1"/>
    <col min="2" max="2" width="0.5703125" style="2" customWidth="1"/>
    <col min="3" max="12" width="6.7109375" style="2" customWidth="1"/>
    <col min="13" max="16384" width="11.42578125" style="2"/>
  </cols>
  <sheetData>
    <row r="1" spans="1:13" ht="13.5">
      <c r="A1" s="383">
        <f>'2.1.6'!A1:G1+1</f>
        <v>10</v>
      </c>
      <c r="B1" s="383"/>
      <c r="C1" s="383"/>
      <c r="D1" s="383"/>
      <c r="E1" s="383"/>
      <c r="F1" s="383"/>
      <c r="G1" s="383"/>
      <c r="H1" s="383"/>
      <c r="I1" s="383"/>
      <c r="J1" s="383"/>
      <c r="K1" s="383"/>
      <c r="L1" s="383"/>
      <c r="M1" s="58" t="s">
        <v>108</v>
      </c>
    </row>
    <row r="2" spans="1:13" ht="6" customHeight="1">
      <c r="C2" s="209"/>
      <c r="D2" s="209"/>
      <c r="E2" s="209"/>
      <c r="F2" s="209"/>
      <c r="G2" s="209"/>
    </row>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4.1" customHeight="1">
      <c r="A5" s="13" t="s">
        <v>17</v>
      </c>
      <c r="B5" s="39" t="s">
        <v>134</v>
      </c>
      <c r="C5" s="14"/>
      <c r="D5" s="14"/>
      <c r="E5" s="14"/>
      <c r="F5" s="14"/>
      <c r="G5" s="14"/>
    </row>
    <row r="6" spans="1:13" s="3" customFormat="1" ht="10.5" customHeight="1">
      <c r="A6" s="40"/>
      <c r="B6" s="39"/>
      <c r="C6" s="41"/>
      <c r="D6" s="41"/>
      <c r="E6" s="41"/>
      <c r="F6" s="41"/>
      <c r="G6" s="41"/>
    </row>
    <row r="7" spans="1:13" s="3" customFormat="1" ht="5.25" customHeight="1">
      <c r="A7" s="40"/>
      <c r="B7" s="39"/>
      <c r="C7" s="41"/>
      <c r="D7" s="41"/>
      <c r="E7" s="41"/>
      <c r="F7" s="41"/>
      <c r="G7" s="41"/>
    </row>
    <row r="8" spans="1:13" ht="6" customHeight="1"/>
    <row r="9" spans="1:13" ht="12" customHeight="1">
      <c r="A9" s="16" t="s">
        <v>77</v>
      </c>
      <c r="B9" s="27"/>
      <c r="C9" s="384" t="s">
        <v>78</v>
      </c>
      <c r="D9" s="385"/>
      <c r="E9" s="385"/>
      <c r="F9" s="385"/>
      <c r="G9" s="386"/>
      <c r="H9" s="384" t="s">
        <v>148</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1.25" customHeight="1">
      <c r="A11" s="388" t="s">
        <v>79</v>
      </c>
      <c r="B11" s="389"/>
      <c r="C11" s="389"/>
      <c r="D11" s="389"/>
      <c r="E11" s="389"/>
      <c r="F11" s="389"/>
      <c r="G11" s="389"/>
      <c r="H11" s="389"/>
      <c r="I11" s="389"/>
      <c r="J11" s="389"/>
      <c r="K11" s="389"/>
      <c r="L11" s="390"/>
    </row>
    <row r="12" spans="1:13" ht="9" customHeight="1">
      <c r="A12" s="21" t="s">
        <v>173</v>
      </c>
      <c r="B12" s="120"/>
      <c r="C12" s="42">
        <f t="shared" ref="C12" si="0">SUM(C30,C48,C66)</f>
        <v>63</v>
      </c>
      <c r="D12" s="42">
        <f t="shared" ref="D12:E12" si="1">SUM(D30,D48,D66)</f>
        <v>182</v>
      </c>
      <c r="E12" s="42">
        <f t="shared" si="1"/>
        <v>317</v>
      </c>
      <c r="F12" s="42">
        <f t="shared" ref="F12:G12" si="2">SUM(F30,F48,F66)</f>
        <v>410</v>
      </c>
      <c r="G12" s="44">
        <f t="shared" si="2"/>
        <v>451</v>
      </c>
      <c r="H12" s="153">
        <f>IF('AW Schulen'!$D114=0,"x",C12/'AW Schulen'!$D114)</f>
        <v>0.77777777777777779</v>
      </c>
      <c r="I12" s="153">
        <f>IF('AW Schulen'!$G114=0,"x",D12/'AW Schulen'!$G114)</f>
        <v>0.75206611570247939</v>
      </c>
      <c r="J12" s="153">
        <f>IF('AW Schulen'!$J114=0,"x",E12/'AW Schulen'!$J114)</f>
        <v>0.8107416879795396</v>
      </c>
      <c r="K12" s="153">
        <f>IF('AW Schulen'!$M114=0,"x",F12/'AW Schulen'!$M114)</f>
        <v>0.82164328657314634</v>
      </c>
      <c r="L12" s="154">
        <f>IF('AW Schulen'!$P114=0,"x",G12/'AW Schulen'!$P114)</f>
        <v>0.82299270072992703</v>
      </c>
    </row>
    <row r="13" spans="1:13" ht="9" customHeight="1">
      <c r="A13" s="21" t="s">
        <v>81</v>
      </c>
      <c r="B13" s="120"/>
      <c r="C13" s="42">
        <f t="shared" ref="C13:C28" si="3">SUM(C31,C49,C67)</f>
        <v>2</v>
      </c>
      <c r="D13" s="42">
        <f t="shared" ref="D13:E13" si="4">SUM(D31,D49,D67)</f>
        <v>2</v>
      </c>
      <c r="E13" s="42">
        <f t="shared" si="4"/>
        <v>2</v>
      </c>
      <c r="F13" s="42" t="e">
        <f t="shared" ref="F13:G13" si="5">SUM(F31,F49,F67)</f>
        <v>#VALUE!</v>
      </c>
      <c r="G13" s="44">
        <f t="shared" si="5"/>
        <v>2</v>
      </c>
      <c r="H13" s="153">
        <f>IF('AW Schulen'!$D115=0,"x",C13/'AW Schulen'!$D115)</f>
        <v>1</v>
      </c>
      <c r="I13" s="153">
        <f>IF('AW Schulen'!$G115=0,"x",D13/'AW Schulen'!$G115)</f>
        <v>1</v>
      </c>
      <c r="J13" s="153">
        <f>IF('AW Schulen'!$J115=0,"x",E13/'AW Schulen'!$J115)</f>
        <v>1</v>
      </c>
      <c r="K13" s="153" t="e">
        <f>IF('AW Schulen'!$M115=0,"x",F13/'AW Schulen'!$M115)</f>
        <v>#VALUE!</v>
      </c>
      <c r="L13" s="154">
        <f>IF('AW Schulen'!$P115=0,"x",G13/'AW Schulen'!$P115)</f>
        <v>1</v>
      </c>
    </row>
    <row r="14" spans="1:13" ht="9" customHeight="1">
      <c r="A14" s="21" t="s">
        <v>82</v>
      </c>
      <c r="B14" s="120"/>
      <c r="C14" s="198">
        <f t="shared" si="3"/>
        <v>147</v>
      </c>
      <c r="D14" s="198">
        <f t="shared" ref="D14:E14" si="6">SUM(D32,D50,D68)</f>
        <v>144</v>
      </c>
      <c r="E14" s="198">
        <f t="shared" si="6"/>
        <v>145</v>
      </c>
      <c r="F14" s="198">
        <f t="shared" ref="F14:G14" si="7">SUM(F32,F50,F68)</f>
        <v>152</v>
      </c>
      <c r="G14" s="199">
        <f t="shared" si="7"/>
        <v>141</v>
      </c>
      <c r="H14" s="153">
        <f>IF('AW Schulen'!$D116=0,"x",C14/'AW Schulen'!$D116)</f>
        <v>0.98657718120805371</v>
      </c>
      <c r="I14" s="153">
        <f>IF('AW Schulen'!$G116=0,"x",D14/'AW Schulen'!$G116)</f>
        <v>0.97959183673469385</v>
      </c>
      <c r="J14" s="153">
        <f>IF('AW Schulen'!$J116=0,"x",E14/'AW Schulen'!$J116)</f>
        <v>0.87878787878787878</v>
      </c>
      <c r="K14" s="153">
        <f>IF('AW Schulen'!$M116=0,"x",F14/'AW Schulen'!$M116)</f>
        <v>0.88888888888888884</v>
      </c>
      <c r="L14" s="154">
        <f>IF('AW Schulen'!$P116=0,"x",G14/'AW Schulen'!$P116)</f>
        <v>0.80571428571428572</v>
      </c>
    </row>
    <row r="15" spans="1:13" ht="9" customHeight="1">
      <c r="A15" s="21" t="s">
        <v>83</v>
      </c>
      <c r="B15" s="120"/>
      <c r="C15" s="149">
        <f t="shared" si="3"/>
        <v>21</v>
      </c>
      <c r="D15" s="149">
        <f t="shared" ref="D15:E15" si="8">SUM(D33,D51,D69)</f>
        <v>23</v>
      </c>
      <c r="E15" s="149">
        <f t="shared" si="8"/>
        <v>24</v>
      </c>
      <c r="F15" s="149">
        <f t="shared" ref="F15:G15" si="9">SUM(F33,F51,F69)</f>
        <v>28</v>
      </c>
      <c r="G15" s="150">
        <f t="shared" si="9"/>
        <v>28</v>
      </c>
      <c r="H15" s="153">
        <f>IF('AW Schulen'!$D117=0,"x",C15/'AW Schulen'!$D117)</f>
        <v>0.77777777777777779</v>
      </c>
      <c r="I15" s="153">
        <f>IF('AW Schulen'!$G117=0,"x",D15/'AW Schulen'!$G117)</f>
        <v>0.7931034482758621</v>
      </c>
      <c r="J15" s="153">
        <f>IF('AW Schulen'!$J117=0,"x",E15/'AW Schulen'!$J117)</f>
        <v>0.77419354838709675</v>
      </c>
      <c r="K15" s="153">
        <f>IF('AW Schulen'!$M117=0,"x",F15/'AW Schulen'!$M117)</f>
        <v>0.8</v>
      </c>
      <c r="L15" s="154">
        <f>IF('AW Schulen'!$P117=0,"x",G15/'AW Schulen'!$P117)</f>
        <v>0.8</v>
      </c>
    </row>
    <row r="16" spans="1:13" ht="9" customHeight="1">
      <c r="A16" s="21" t="s">
        <v>84</v>
      </c>
      <c r="B16" s="120"/>
      <c r="C16" s="149">
        <f t="shared" si="3"/>
        <v>31</v>
      </c>
      <c r="D16" s="149">
        <f t="shared" ref="D16:E16" si="10">SUM(D34,D52,D70)</f>
        <v>32</v>
      </c>
      <c r="E16" s="149">
        <f t="shared" si="10"/>
        <v>33</v>
      </c>
      <c r="F16" s="149">
        <f t="shared" ref="F16:G16" si="11">SUM(F34,F52,F70)</f>
        <v>34</v>
      </c>
      <c r="G16" s="150">
        <f t="shared" si="11"/>
        <v>32</v>
      </c>
      <c r="H16" s="153">
        <f>IF('AW Schulen'!$D118=0,"x",C16/'AW Schulen'!$D118)</f>
        <v>0.51666666666666672</v>
      </c>
      <c r="I16" s="153">
        <f>IF('AW Schulen'!$G118=0,"x",D16/'AW Schulen'!$G118)</f>
        <v>0.53333333333333333</v>
      </c>
      <c r="J16" s="153">
        <f>IF('AW Schulen'!$J118=0,"x",E16/'AW Schulen'!$J118)</f>
        <v>0.55932203389830504</v>
      </c>
      <c r="K16" s="153">
        <f>IF('AW Schulen'!$M118=0,"x",F16/'AW Schulen'!$M118)</f>
        <v>0.53968253968253965</v>
      </c>
      <c r="L16" s="154">
        <f>IF('AW Schulen'!$P118=0,"x",G16/'AW Schulen'!$P118)</f>
        <v>0.5423728813559322</v>
      </c>
    </row>
    <row r="17" spans="1:12" ht="9" customHeight="1">
      <c r="A17" s="21" t="s">
        <v>85</v>
      </c>
      <c r="B17" s="120"/>
      <c r="C17" s="149">
        <f t="shared" si="3"/>
        <v>62</v>
      </c>
      <c r="D17" s="149">
        <f t="shared" ref="D17:E17" si="12">SUM(D35,D53,D71)</f>
        <v>67</v>
      </c>
      <c r="E17" s="149">
        <f t="shared" si="12"/>
        <v>72</v>
      </c>
      <c r="F17" s="149">
        <f t="shared" ref="F17:G17" si="13">SUM(F35,F53,F71)</f>
        <v>72</v>
      </c>
      <c r="G17" s="150">
        <f t="shared" si="13"/>
        <v>74</v>
      </c>
      <c r="H17" s="153">
        <f>IF('AW Schulen'!$D119=0,"x",C17/'AW Schulen'!$D119)</f>
        <v>0.6966292134831461</v>
      </c>
      <c r="I17" s="153">
        <f>IF('AW Schulen'!$G119=0,"x",D17/'AW Schulen'!$G119)</f>
        <v>0.81707317073170727</v>
      </c>
      <c r="J17" s="153">
        <f>IF('AW Schulen'!$J119=0,"x",E17/'AW Schulen'!$J119)</f>
        <v>0.9</v>
      </c>
      <c r="K17" s="153">
        <f>IF('AW Schulen'!$M119=0,"x",F17/'AW Schulen'!$M119)</f>
        <v>0.88888888888888884</v>
      </c>
      <c r="L17" s="154">
        <f>IF('AW Schulen'!$P119=0,"x",G17/'AW Schulen'!$P119)</f>
        <v>0.94871794871794868</v>
      </c>
    </row>
    <row r="18" spans="1:12" ht="9" customHeight="1">
      <c r="A18" s="21" t="s">
        <v>86</v>
      </c>
      <c r="B18" s="120"/>
      <c r="C18" s="42">
        <f t="shared" si="3"/>
        <v>91</v>
      </c>
      <c r="D18" s="42">
        <f t="shared" ref="D18:E18" si="14">SUM(D36,D54,D72)</f>
        <v>94</v>
      </c>
      <c r="E18" s="42">
        <f t="shared" si="14"/>
        <v>95</v>
      </c>
      <c r="F18" s="42">
        <f t="shared" ref="F18:G18" si="15">SUM(F36,F54,F72)</f>
        <v>96</v>
      </c>
      <c r="G18" s="44">
        <f t="shared" si="15"/>
        <v>98</v>
      </c>
      <c r="H18" s="182">
        <v>0</v>
      </c>
      <c r="I18" s="182">
        <v>0</v>
      </c>
      <c r="J18" s="182">
        <v>0</v>
      </c>
      <c r="K18" s="182">
        <v>0</v>
      </c>
      <c r="L18" s="196">
        <v>0</v>
      </c>
    </row>
    <row r="19" spans="1:12" ht="9" customHeight="1">
      <c r="A19" s="21" t="s">
        <v>223</v>
      </c>
      <c r="B19" s="120"/>
      <c r="C19" s="149">
        <f t="shared" si="3"/>
        <v>19</v>
      </c>
      <c r="D19" s="149">
        <f t="shared" ref="D19:E19" si="16">SUM(D37,D55,D73)</f>
        <v>20</v>
      </c>
      <c r="E19" s="149">
        <f t="shared" si="16"/>
        <v>19</v>
      </c>
      <c r="F19" s="149">
        <f t="shared" ref="F19:G19" si="17">SUM(F37,F55,F73)</f>
        <v>20</v>
      </c>
      <c r="G19" s="150">
        <f t="shared" si="17"/>
        <v>20</v>
      </c>
      <c r="H19" s="153">
        <f>IF('AW Schulen'!$D121=0,"x",C19/'AW Schulen'!$D121)</f>
        <v>0.90476190476190477</v>
      </c>
      <c r="I19" s="153">
        <f>IF('AW Schulen'!$G121=0,"x",D19/'AW Schulen'!$G121)</f>
        <v>0.90909090909090906</v>
      </c>
      <c r="J19" s="153">
        <f>IF('AW Schulen'!$J121=0,"x",E19/'AW Schulen'!$J121)</f>
        <v>0.90476190476190477</v>
      </c>
      <c r="K19" s="153">
        <f>IF('AW Schulen'!$M121=0,"x",F19/'AW Schulen'!$M121)</f>
        <v>0.95238095238095233</v>
      </c>
      <c r="L19" s="154">
        <f>IF('AW Schulen'!$P121=0,"x",G19/'AW Schulen'!$P121)</f>
        <v>0.95238095238095233</v>
      </c>
    </row>
    <row r="20" spans="1:12" ht="9" customHeight="1">
      <c r="A20" s="21" t="s">
        <v>88</v>
      </c>
      <c r="B20" s="120"/>
      <c r="C20" s="42">
        <f t="shared" si="3"/>
        <v>66</v>
      </c>
      <c r="D20" s="42">
        <f t="shared" ref="D20:E20" si="18">SUM(D38,D56,D74)</f>
        <v>71</v>
      </c>
      <c r="E20" s="42">
        <f t="shared" si="18"/>
        <v>81</v>
      </c>
      <c r="F20" s="42">
        <f t="shared" ref="F20:G20" si="19">SUM(F38,F56,F74)</f>
        <v>87</v>
      </c>
      <c r="G20" s="44">
        <f t="shared" si="19"/>
        <v>91</v>
      </c>
      <c r="H20" s="182">
        <v>0</v>
      </c>
      <c r="I20" s="182">
        <v>0</v>
      </c>
      <c r="J20" s="182">
        <v>0</v>
      </c>
      <c r="K20" s="182">
        <v>0</v>
      </c>
      <c r="L20" s="196">
        <v>0</v>
      </c>
    </row>
    <row r="21" spans="1:12" ht="9" customHeight="1">
      <c r="A21" s="21" t="s">
        <v>89</v>
      </c>
      <c r="B21" s="120"/>
      <c r="C21" s="42">
        <f t="shared" si="3"/>
        <v>246</v>
      </c>
      <c r="D21" s="42">
        <f t="shared" ref="D21:E21" si="20">SUM(D39,D57,D75)</f>
        <v>276</v>
      </c>
      <c r="E21" s="42">
        <f t="shared" si="20"/>
        <v>304</v>
      </c>
      <c r="F21" s="42">
        <f t="shared" ref="F21:G21" si="21">SUM(F39,F57,F75)</f>
        <v>312</v>
      </c>
      <c r="G21" s="44">
        <f t="shared" si="21"/>
        <v>323</v>
      </c>
      <c r="H21" s="153">
        <f>IF('AW Schulen'!$D123=0,"x",C21/'AW Schulen'!$D123)</f>
        <v>0.97619047619047616</v>
      </c>
      <c r="I21" s="153">
        <f>IF('AW Schulen'!$G123=0,"x",D21/'AW Schulen'!$G123)</f>
        <v>0.97526501766784457</v>
      </c>
      <c r="J21" s="153">
        <f>IF('AW Schulen'!$J123=0,"x",E21/'AW Schulen'!$J123)</f>
        <v>0.977491961414791</v>
      </c>
      <c r="K21" s="153">
        <f>IF('AW Schulen'!$M123=0,"x",F21/'AW Schulen'!$M123)</f>
        <v>0.9780564263322884</v>
      </c>
      <c r="L21" s="154">
        <f>IF('AW Schulen'!$P123=0,"x",G21/'AW Schulen'!$P123)</f>
        <v>0.97289156626506024</v>
      </c>
    </row>
    <row r="22" spans="1:12" ht="9" customHeight="1">
      <c r="A22" s="21" t="s">
        <v>90</v>
      </c>
      <c r="B22" s="120"/>
      <c r="C22" s="42">
        <f t="shared" si="3"/>
        <v>48</v>
      </c>
      <c r="D22" s="42">
        <f t="shared" ref="D22:E22" si="22">SUM(D40,D58,D76)</f>
        <v>49</v>
      </c>
      <c r="E22" s="42">
        <f t="shared" si="22"/>
        <v>49</v>
      </c>
      <c r="F22" s="42">
        <f t="shared" ref="F22:G22" si="23">SUM(F40,F58,F76)</f>
        <v>49</v>
      </c>
      <c r="G22" s="44">
        <f t="shared" si="23"/>
        <v>51</v>
      </c>
      <c r="H22" s="153">
        <f>IF('AW Schulen'!$D124=0,"x",C22/'AW Schulen'!$D124)</f>
        <v>0.88888888888888884</v>
      </c>
      <c r="I22" s="153">
        <f>IF('AW Schulen'!$G124=0,"x",D22/'AW Schulen'!$G124)</f>
        <v>0.89090909090909087</v>
      </c>
      <c r="J22" s="153">
        <f>IF('AW Schulen'!$J124=0,"x",E22/'AW Schulen'!$J124)</f>
        <v>0.89090909090909087</v>
      </c>
      <c r="K22" s="153">
        <f>IF('AW Schulen'!$M124=0,"x",F22/'AW Schulen'!$M124)</f>
        <v>0.89090909090909087</v>
      </c>
      <c r="L22" s="154">
        <f>IF('AW Schulen'!$P124=0,"x",G22/'AW Schulen'!$P124)</f>
        <v>0.92727272727272725</v>
      </c>
    </row>
    <row r="23" spans="1:12" ht="9" customHeight="1">
      <c r="A23" s="21" t="s">
        <v>91</v>
      </c>
      <c r="B23" s="120"/>
      <c r="C23" s="42">
        <f t="shared" si="3"/>
        <v>18</v>
      </c>
      <c r="D23" s="42">
        <f t="shared" ref="D23:E23" si="24">SUM(D41,D59,D77)</f>
        <v>18</v>
      </c>
      <c r="E23" s="42">
        <f t="shared" si="24"/>
        <v>65</v>
      </c>
      <c r="F23" s="42">
        <f t="shared" ref="F23:G23" si="25">SUM(F41,F59,F77)</f>
        <v>61</v>
      </c>
      <c r="G23" s="44">
        <f t="shared" si="25"/>
        <v>61</v>
      </c>
      <c r="H23" s="153">
        <f>IF('AW Schulen'!$D125=0,"x",C23/'AW Schulen'!$D125)</f>
        <v>1</v>
      </c>
      <c r="I23" s="153">
        <f>IF('AW Schulen'!$G125=0,"x",D23/'AW Schulen'!$G125)</f>
        <v>1</v>
      </c>
      <c r="J23" s="153">
        <f>IF('AW Schulen'!$J125=0,"x",E23/'AW Schulen'!$J125)</f>
        <v>1</v>
      </c>
      <c r="K23" s="153">
        <f>IF('AW Schulen'!$M125=0,"x",F23/'AW Schulen'!$M125)</f>
        <v>1</v>
      </c>
      <c r="L23" s="154">
        <f>IF('AW Schulen'!$P125=0,"x",G23/'AW Schulen'!$P125)</f>
        <v>1</v>
      </c>
    </row>
    <row r="24" spans="1:12" ht="9" customHeight="1">
      <c r="A24" s="21" t="s">
        <v>92</v>
      </c>
      <c r="B24" s="120"/>
      <c r="C24" s="198">
        <f t="shared" si="3"/>
        <v>0</v>
      </c>
      <c r="D24" s="198">
        <f t="shared" ref="D24:E24" si="26">SUM(D42,D60,D78)</f>
        <v>0</v>
      </c>
      <c r="E24" s="198">
        <f t="shared" si="26"/>
        <v>0</v>
      </c>
      <c r="F24" s="198">
        <f t="shared" ref="F24:G24" si="27">SUM(F42,F60,F78)</f>
        <v>0</v>
      </c>
      <c r="G24" s="199">
        <f t="shared" si="27"/>
        <v>0</v>
      </c>
      <c r="H24" s="153" t="str">
        <f>IF('AW Schulen'!$D126=0,"x",C24/'AW Schulen'!$D126)</f>
        <v>x</v>
      </c>
      <c r="I24" s="153" t="str">
        <f>IF('AW Schulen'!$G126=0,"x",D24/'AW Schulen'!$G126)</f>
        <v>x</v>
      </c>
      <c r="J24" s="153" t="str">
        <f>IF('AW Schulen'!$J126=0,"x",E24/'AW Schulen'!$J126)</f>
        <v>x</v>
      </c>
      <c r="K24" s="153" t="str">
        <f>IF('AW Schulen'!$M126=0,"x",F24/'AW Schulen'!$M126)</f>
        <v>x</v>
      </c>
      <c r="L24" s="154" t="str">
        <f>IF('AW Schulen'!$P126=0,"x",G24/'AW Schulen'!$P126)</f>
        <v>x</v>
      </c>
    </row>
    <row r="25" spans="1:12" ht="9" customHeight="1">
      <c r="A25" s="21" t="s">
        <v>93</v>
      </c>
      <c r="B25" s="120"/>
      <c r="C25" s="198">
        <f t="shared" si="3"/>
        <v>3</v>
      </c>
      <c r="D25" s="198">
        <f t="shared" ref="D25:E25" si="28">SUM(D43,D61,D79)</f>
        <v>3</v>
      </c>
      <c r="E25" s="198">
        <f t="shared" si="28"/>
        <v>12</v>
      </c>
      <c r="F25" s="198">
        <f t="shared" ref="F25:G25" si="29">SUM(F43,F61,F79)</f>
        <v>19</v>
      </c>
      <c r="G25" s="199">
        <f t="shared" si="29"/>
        <v>22</v>
      </c>
      <c r="H25" s="182">
        <v>0</v>
      </c>
      <c r="I25" s="182">
        <v>0</v>
      </c>
      <c r="J25" s="182">
        <v>0</v>
      </c>
      <c r="K25" s="182">
        <v>0</v>
      </c>
      <c r="L25" s="196">
        <v>0</v>
      </c>
    </row>
    <row r="26" spans="1:12" ht="9" customHeight="1">
      <c r="A26" s="21" t="s">
        <v>226</v>
      </c>
      <c r="B26" s="120"/>
      <c r="C26" s="42">
        <f t="shared" si="3"/>
        <v>143</v>
      </c>
      <c r="D26" s="42">
        <f t="shared" ref="D26:E26" si="30">SUM(D44,D62,D80)</f>
        <v>154</v>
      </c>
      <c r="E26" s="42">
        <f t="shared" si="30"/>
        <v>192</v>
      </c>
      <c r="F26" s="42">
        <f t="shared" ref="F26:G26" si="31">SUM(F44,F62,F80)</f>
        <v>254</v>
      </c>
      <c r="G26" s="44">
        <f t="shared" si="31"/>
        <v>292</v>
      </c>
      <c r="H26" s="153">
        <f>IF('AW Schulen'!$D128=0,"x",C26/'AW Schulen'!$D128)</f>
        <v>0.76063829787234039</v>
      </c>
      <c r="I26" s="153">
        <f>IF('AW Schulen'!$G128=0,"x",D26/'AW Schulen'!$G128)</f>
        <v>0.76616915422885568</v>
      </c>
      <c r="J26" s="153">
        <f>IF('AW Schulen'!$J128=0,"x",E26/'AW Schulen'!$J128)</f>
        <v>0.76800000000000002</v>
      </c>
      <c r="K26" s="153">
        <f>IF('AW Schulen'!$M128=0,"x",F26/'AW Schulen'!$M128)</f>
        <v>0.82200647249190939</v>
      </c>
      <c r="L26" s="154">
        <f>IF('AW Schulen'!$P128=0,"x",G26/'AW Schulen'!$P128)</f>
        <v>0.82954545454545459</v>
      </c>
    </row>
    <row r="27" spans="1:12" ht="9" customHeight="1">
      <c r="A27" s="21" t="s">
        <v>95</v>
      </c>
      <c r="B27" s="120"/>
      <c r="C27" s="198">
        <f t="shared" si="3"/>
        <v>27</v>
      </c>
      <c r="D27" s="198">
        <f t="shared" ref="D27:E27" si="32">SUM(D45,D63,D81)</f>
        <v>36</v>
      </c>
      <c r="E27" s="198">
        <f t="shared" si="32"/>
        <v>48</v>
      </c>
      <c r="F27" s="198">
        <f t="shared" ref="F27:G27" si="33">SUM(F45,F63,F81)</f>
        <v>57</v>
      </c>
      <c r="G27" s="199">
        <f t="shared" si="33"/>
        <v>63</v>
      </c>
      <c r="H27" s="153">
        <f>IF('AW Schulen'!$D129=0,"x",C27/'AW Schulen'!$D129)</f>
        <v>0.9</v>
      </c>
      <c r="I27" s="153">
        <f>IF('AW Schulen'!$G129=0,"x",D27/'AW Schulen'!$G129)</f>
        <v>0.92307692307692313</v>
      </c>
      <c r="J27" s="153">
        <f>IF('AW Schulen'!$J129=0,"x",E27/'AW Schulen'!$J129)</f>
        <v>0.92307692307692313</v>
      </c>
      <c r="K27" s="153">
        <f>IF('AW Schulen'!$M129=0,"x",F27/'AW Schulen'!$M129)</f>
        <v>0.96610169491525422</v>
      </c>
      <c r="L27" s="154">
        <f>IF('AW Schulen'!$P129=0,"x",G27/'AW Schulen'!$P129)</f>
        <v>0.91304347826086951</v>
      </c>
    </row>
    <row r="28" spans="1:12" ht="9" customHeight="1">
      <c r="A28" s="21" t="s">
        <v>96</v>
      </c>
      <c r="B28" s="120"/>
      <c r="C28" s="42">
        <f t="shared" si="3"/>
        <v>987</v>
      </c>
      <c r="D28" s="42">
        <f t="shared" ref="D28:E28" si="34">SUM(D46,D64,D82)</f>
        <v>1171</v>
      </c>
      <c r="E28" s="42">
        <f t="shared" si="34"/>
        <v>1458</v>
      </c>
      <c r="F28" s="42">
        <f t="shared" ref="F28:G28" si="35">SUM(F46,F64,F82)</f>
        <v>1653</v>
      </c>
      <c r="G28" s="44">
        <f t="shared" si="35"/>
        <v>1749</v>
      </c>
      <c r="H28" s="153">
        <f>IF('AW Schulen'!$D130=0,"x",C28/'AW Schulen'!$D130)</f>
        <v>0.87267904509283822</v>
      </c>
      <c r="I28" s="153">
        <f>IF('AW Schulen'!$G130=0,"x",D28/'AW Schulen'!$G130)</f>
        <v>0.86869436201780414</v>
      </c>
      <c r="J28" s="153">
        <f>IF('AW Schulen'!$J130=0,"x",E28/'AW Schulen'!$J130)</f>
        <v>0.86940966010733456</v>
      </c>
      <c r="K28" s="153">
        <f>IF('AW Schulen'!$M130=0,"x",F28/'AW Schulen'!$M130)</f>
        <v>0.87552966101694918</v>
      </c>
      <c r="L28" s="154">
        <f>IF('AW Schulen'!$P130=0,"x",G28/'AW Schulen'!$P130)</f>
        <v>0.86971655892590749</v>
      </c>
    </row>
    <row r="29" spans="1:12" ht="11.25" customHeight="1">
      <c r="A29" s="391" t="s">
        <v>98</v>
      </c>
      <c r="B29" s="392"/>
      <c r="C29" s="392"/>
      <c r="D29" s="392"/>
      <c r="E29" s="392"/>
      <c r="F29" s="392"/>
      <c r="G29" s="392"/>
      <c r="H29" s="392"/>
      <c r="I29" s="392"/>
      <c r="J29" s="392"/>
      <c r="K29" s="392"/>
      <c r="L29" s="393"/>
    </row>
    <row r="30" spans="1:12" ht="9" customHeight="1">
      <c r="A30" s="21" t="s">
        <v>173</v>
      </c>
      <c r="B30" s="120"/>
      <c r="C30" s="23">
        <f>'2.2.7'!C30+'2.3.7'!C30</f>
        <v>49</v>
      </c>
      <c r="D30" s="23">
        <f>'2.2.7'!D30+'2.3.7'!D30</f>
        <v>138</v>
      </c>
      <c r="E30" s="23">
        <f>'2.2.7'!E30+'2.3.7'!E30</f>
        <v>229</v>
      </c>
      <c r="F30" s="23">
        <f>'2.2.7'!F30+'2.3.7'!F30</f>
        <v>300</v>
      </c>
      <c r="G30" s="34">
        <f>'2.2.7'!G30+'2.3.7'!G30</f>
        <v>331</v>
      </c>
      <c r="H30" s="155">
        <f>IF('AW Schulen'!$D114=0,"x",C30/'AW Schulen'!$D114)</f>
        <v>0.60493827160493829</v>
      </c>
      <c r="I30" s="155">
        <f>IF('AW Schulen'!$G114=0,"x",D30/'AW Schulen'!$G114)</f>
        <v>0.57024793388429751</v>
      </c>
      <c r="J30" s="155">
        <f>IF('AW Schulen'!$J114=0,"x",E30/'AW Schulen'!$J114)</f>
        <v>0.58567774936061379</v>
      </c>
      <c r="K30" s="155">
        <f>IF('AW Schulen'!$M114=0,"x",F30/'AW Schulen'!$M114)</f>
        <v>0.60120240480961928</v>
      </c>
      <c r="L30" s="156">
        <f>IF('AW Schulen'!$P114=0,"x",G30/'AW Schulen'!$P114)</f>
        <v>0.60401459854014594</v>
      </c>
    </row>
    <row r="31" spans="1:12" ht="9" customHeight="1">
      <c r="A31" s="21" t="s">
        <v>81</v>
      </c>
      <c r="B31" s="120"/>
      <c r="C31" s="23">
        <f>'2.2.7'!C31+'2.3.7'!C31</f>
        <v>0</v>
      </c>
      <c r="D31" s="23">
        <f>'2.2.7'!D31+'2.3.7'!D31</f>
        <v>0</v>
      </c>
      <c r="E31" s="23">
        <f>'2.2.7'!E31+'2.3.7'!E31</f>
        <v>0</v>
      </c>
      <c r="F31" s="23" t="e">
        <f>'2.2.7'!F31+'2.3.7'!F31</f>
        <v>#VALUE!</v>
      </c>
      <c r="G31" s="34">
        <f>'2.2.7'!G31+'2.3.7'!G31</f>
        <v>1</v>
      </c>
      <c r="H31" s="155">
        <f>IF('AW Schulen'!$D115=0,"x",C31/'AW Schulen'!$D115)</f>
        <v>0</v>
      </c>
      <c r="I31" s="155">
        <f>IF('AW Schulen'!$G115=0,"x",D31/'AW Schulen'!$G115)</f>
        <v>0</v>
      </c>
      <c r="J31" s="155">
        <f>IF('AW Schulen'!$J115=0,"x",E31/'AW Schulen'!$J115)</f>
        <v>0</v>
      </c>
      <c r="K31" s="155" t="e">
        <f>IF('AW Schulen'!$M115=0,"x",F31/'AW Schulen'!$M115)</f>
        <v>#VALUE!</v>
      </c>
      <c r="L31" s="156">
        <f>IF('AW Schulen'!$P115=0,"x",G31/'AW Schulen'!$P115)</f>
        <v>0.5</v>
      </c>
    </row>
    <row r="32" spans="1:12" ht="9" customHeight="1">
      <c r="A32" s="21" t="s">
        <v>82</v>
      </c>
      <c r="B32" s="120"/>
      <c r="C32" s="23">
        <f>'2.2.7'!C32+'2.3.7'!C32</f>
        <v>47</v>
      </c>
      <c r="D32" s="23">
        <f>'2.2.7'!D32+'2.3.7'!D32</f>
        <v>50</v>
      </c>
      <c r="E32" s="23">
        <f>'2.2.7'!E32+'2.3.7'!E32</f>
        <v>56</v>
      </c>
      <c r="F32" s="23">
        <f>'2.2.7'!F32+'2.3.7'!F32</f>
        <v>45</v>
      </c>
      <c r="G32" s="34">
        <f>'2.2.7'!G32+'2.3.7'!G32</f>
        <v>63</v>
      </c>
      <c r="H32" s="155">
        <f>IF('AW Schulen'!$D116=0,"x",C32/'AW Schulen'!$D116)</f>
        <v>0.31543624161073824</v>
      </c>
      <c r="I32" s="155">
        <f>IF('AW Schulen'!$G116=0,"x",D32/'AW Schulen'!$G116)</f>
        <v>0.3401360544217687</v>
      </c>
      <c r="J32" s="155">
        <f>IF('AW Schulen'!$J116=0,"x",E32/'AW Schulen'!$J116)</f>
        <v>0.33939393939393941</v>
      </c>
      <c r="K32" s="155">
        <f>IF('AW Schulen'!$M116=0,"x",F32/'AW Schulen'!$M116)</f>
        <v>0.26315789473684209</v>
      </c>
      <c r="L32" s="156">
        <f>IF('AW Schulen'!$P116=0,"x",G32/'AW Schulen'!$P116)</f>
        <v>0.36</v>
      </c>
    </row>
    <row r="33" spans="1:12" ht="9" customHeight="1">
      <c r="A33" s="21" t="s">
        <v>83</v>
      </c>
      <c r="B33" s="120"/>
      <c r="C33" s="23">
        <f>'2.2.7'!C33+'2.3.7'!C33</f>
        <v>15</v>
      </c>
      <c r="D33" s="23">
        <f>'2.2.7'!D33+'2.3.7'!D33</f>
        <v>16</v>
      </c>
      <c r="E33" s="23">
        <f>'2.2.7'!E33+'2.3.7'!E33</f>
        <v>18</v>
      </c>
      <c r="F33" s="23">
        <f>'2.2.7'!F33+'2.3.7'!F33</f>
        <v>21</v>
      </c>
      <c r="G33" s="34">
        <f>'2.2.7'!G33+'2.3.7'!G33</f>
        <v>20</v>
      </c>
      <c r="H33" s="155">
        <f>IF('AW Schulen'!$D117=0,"x",C33/'AW Schulen'!$D117)</f>
        <v>0.55555555555555558</v>
      </c>
      <c r="I33" s="155">
        <f>IF('AW Schulen'!$G117=0,"x",D33/'AW Schulen'!$G117)</f>
        <v>0.55172413793103448</v>
      </c>
      <c r="J33" s="155">
        <f>IF('AW Schulen'!$J117=0,"x",E33/'AW Schulen'!$J117)</f>
        <v>0.58064516129032262</v>
      </c>
      <c r="K33" s="155">
        <f>IF('AW Schulen'!$M117=0,"x",F33/'AW Schulen'!$M117)</f>
        <v>0.6</v>
      </c>
      <c r="L33" s="156">
        <f>IF('AW Schulen'!$P117=0,"x",G33/'AW Schulen'!$P117)</f>
        <v>0.5714285714285714</v>
      </c>
    </row>
    <row r="34" spans="1:12" ht="9" customHeight="1">
      <c r="A34" s="21" t="s">
        <v>84</v>
      </c>
      <c r="B34" s="120"/>
      <c r="C34" s="23">
        <f>'2.2.7'!C34+'2.3.7'!C34</f>
        <v>5</v>
      </c>
      <c r="D34" s="23">
        <f>'2.2.7'!D34+'2.3.7'!D34</f>
        <v>5</v>
      </c>
      <c r="E34" s="23">
        <f>'2.2.7'!E34+'2.3.7'!E34</f>
        <v>6</v>
      </c>
      <c r="F34" s="23">
        <f>'2.2.7'!F34+'2.3.7'!F34</f>
        <v>6</v>
      </c>
      <c r="G34" s="34">
        <f>'2.2.7'!G34+'2.3.7'!G34</f>
        <v>6</v>
      </c>
      <c r="H34" s="155">
        <f>IF('AW Schulen'!$D118=0,"x",C34/'AW Schulen'!$D118)</f>
        <v>8.3333333333333329E-2</v>
      </c>
      <c r="I34" s="155">
        <f>IF('AW Schulen'!$G118=0,"x",D34/'AW Schulen'!$G118)</f>
        <v>8.3333333333333329E-2</v>
      </c>
      <c r="J34" s="155">
        <f>IF('AW Schulen'!$J118=0,"x",E34/'AW Schulen'!$J118)</f>
        <v>0.10169491525423729</v>
      </c>
      <c r="K34" s="155">
        <f>IF('AW Schulen'!$M118=0,"x",F34/'AW Schulen'!$M118)</f>
        <v>9.5238095238095233E-2</v>
      </c>
      <c r="L34" s="156">
        <f>IF('AW Schulen'!$P118=0,"x",G34/'AW Schulen'!$P118)</f>
        <v>0.10169491525423729</v>
      </c>
    </row>
    <row r="35" spans="1:12" ht="9" customHeight="1">
      <c r="A35" s="21" t="s">
        <v>85</v>
      </c>
      <c r="B35" s="120"/>
      <c r="C35" s="23">
        <f>'2.2.7'!C35+'2.3.7'!C35</f>
        <v>28</v>
      </c>
      <c r="D35" s="23">
        <f>'2.2.7'!D35+'2.3.7'!D35</f>
        <v>33</v>
      </c>
      <c r="E35" s="23">
        <f>'2.2.7'!E35+'2.3.7'!E35</f>
        <v>31</v>
      </c>
      <c r="F35" s="23">
        <f>'2.2.7'!F35+'2.3.7'!F35</f>
        <v>30</v>
      </c>
      <c r="G35" s="34">
        <f>'2.2.7'!G35+'2.3.7'!G35</f>
        <v>31</v>
      </c>
      <c r="H35" s="155">
        <f>IF('AW Schulen'!$D119=0,"x",C35/'AW Schulen'!$D119)</f>
        <v>0.3146067415730337</v>
      </c>
      <c r="I35" s="155">
        <f>IF('AW Schulen'!$G119=0,"x",D35/'AW Schulen'!$G119)</f>
        <v>0.40243902439024393</v>
      </c>
      <c r="J35" s="155">
        <f>IF('AW Schulen'!$J119=0,"x",E35/'AW Schulen'!$J119)</f>
        <v>0.38750000000000001</v>
      </c>
      <c r="K35" s="155">
        <f>IF('AW Schulen'!$M119=0,"x",F35/'AW Schulen'!$M119)</f>
        <v>0.37037037037037035</v>
      </c>
      <c r="L35" s="156">
        <f>IF('AW Schulen'!$P119=0,"x",G35/'AW Schulen'!$P119)</f>
        <v>0.39743589743589741</v>
      </c>
    </row>
    <row r="36" spans="1:12" ht="9" customHeight="1">
      <c r="A36" s="21" t="s">
        <v>86</v>
      </c>
      <c r="B36" s="120"/>
      <c r="C36" s="23">
        <f>'2.2.7'!C36+'2.3.7'!C36</f>
        <v>11</v>
      </c>
      <c r="D36" s="23">
        <f>'2.2.7'!D36+'2.3.7'!D36</f>
        <v>13</v>
      </c>
      <c r="E36" s="23">
        <f>'2.2.7'!E36+'2.3.7'!E36</f>
        <v>13</v>
      </c>
      <c r="F36" s="23">
        <f>'2.2.7'!F36+'2.3.7'!F36</f>
        <v>14</v>
      </c>
      <c r="G36" s="34">
        <f>'2.2.7'!G36+'2.3.7'!G36</f>
        <v>15</v>
      </c>
      <c r="H36" s="183">
        <v>0</v>
      </c>
      <c r="I36" s="183">
        <v>0</v>
      </c>
      <c r="J36" s="183">
        <v>0</v>
      </c>
      <c r="K36" s="183">
        <v>0</v>
      </c>
      <c r="L36" s="197">
        <v>0</v>
      </c>
    </row>
    <row r="37" spans="1:12" ht="9" customHeight="1">
      <c r="A37" s="21" t="s">
        <v>223</v>
      </c>
      <c r="B37" s="120"/>
      <c r="C37" s="23">
        <f>'2.2.7'!C37+'2.3.7'!C37</f>
        <v>12</v>
      </c>
      <c r="D37" s="23">
        <f>'2.2.7'!D37+'2.3.7'!D37</f>
        <v>13</v>
      </c>
      <c r="E37" s="23">
        <f>'2.2.7'!E37+'2.3.7'!E37</f>
        <v>12</v>
      </c>
      <c r="F37" s="23">
        <f>'2.2.7'!F37+'2.3.7'!F37</f>
        <v>13</v>
      </c>
      <c r="G37" s="34">
        <f>'2.2.7'!G37+'2.3.7'!G37</f>
        <v>13</v>
      </c>
      <c r="H37" s="155">
        <f>IF('AW Schulen'!$D121=0,"x",C37/'AW Schulen'!$D121)</f>
        <v>0.5714285714285714</v>
      </c>
      <c r="I37" s="155">
        <f>IF('AW Schulen'!$G121=0,"x",D37/'AW Schulen'!$G121)</f>
        <v>0.59090909090909094</v>
      </c>
      <c r="J37" s="155">
        <f>IF('AW Schulen'!$J121=0,"x",E37/'AW Schulen'!$J121)</f>
        <v>0.5714285714285714</v>
      </c>
      <c r="K37" s="155">
        <f>IF('AW Schulen'!$M121=0,"x",F37/'AW Schulen'!$M121)</f>
        <v>0.61904761904761907</v>
      </c>
      <c r="L37" s="156">
        <f>IF('AW Schulen'!$P121=0,"x",G37/'AW Schulen'!$P121)</f>
        <v>0.61904761904761907</v>
      </c>
    </row>
    <row r="38" spans="1:12" ht="9" customHeight="1">
      <c r="A38" s="21" t="s">
        <v>88</v>
      </c>
      <c r="B38" s="120"/>
      <c r="C38" s="23">
        <f>'2.2.7'!C38+'2.3.7'!C38</f>
        <v>24</v>
      </c>
      <c r="D38" s="23">
        <f>'2.2.7'!D38+'2.3.7'!D38</f>
        <v>24</v>
      </c>
      <c r="E38" s="23">
        <f>'2.2.7'!E38+'2.3.7'!E38</f>
        <v>31</v>
      </c>
      <c r="F38" s="23">
        <f>'2.2.7'!F38+'2.3.7'!F38</f>
        <v>37</v>
      </c>
      <c r="G38" s="34">
        <f>'2.2.7'!G38+'2.3.7'!G38</f>
        <v>36</v>
      </c>
      <c r="H38" s="183">
        <v>0</v>
      </c>
      <c r="I38" s="183">
        <v>0</v>
      </c>
      <c r="J38" s="183">
        <v>0</v>
      </c>
      <c r="K38" s="183">
        <v>0</v>
      </c>
      <c r="L38" s="197">
        <v>0</v>
      </c>
    </row>
    <row r="39" spans="1:12" ht="9" customHeight="1">
      <c r="A39" s="21" t="s">
        <v>89</v>
      </c>
      <c r="B39" s="120"/>
      <c r="C39" s="23">
        <f>'2.2.7'!C39+'2.3.7'!C39</f>
        <v>246</v>
      </c>
      <c r="D39" s="23">
        <f>'2.2.7'!D39+'2.3.7'!D39</f>
        <v>275</v>
      </c>
      <c r="E39" s="23">
        <f>'2.2.7'!E39+'2.3.7'!E39</f>
        <v>299</v>
      </c>
      <c r="F39" s="23">
        <f>'2.2.7'!F39+'2.3.7'!F39</f>
        <v>308</v>
      </c>
      <c r="G39" s="34">
        <f>'2.2.7'!G39+'2.3.7'!G39</f>
        <v>319</v>
      </c>
      <c r="H39" s="155">
        <f>IF('AW Schulen'!$D123=0,"x",C39/'AW Schulen'!$D123)</f>
        <v>0.97619047619047616</v>
      </c>
      <c r="I39" s="155">
        <f>IF('AW Schulen'!$G123=0,"x",D39/'AW Schulen'!$G123)</f>
        <v>0.9717314487632509</v>
      </c>
      <c r="J39" s="155">
        <f>IF('AW Schulen'!$J123=0,"x",E39/'AW Schulen'!$J123)</f>
        <v>0.96141479099678462</v>
      </c>
      <c r="K39" s="155">
        <f>IF('AW Schulen'!$M123=0,"x",F39/'AW Schulen'!$M123)</f>
        <v>0.96551724137931039</v>
      </c>
      <c r="L39" s="156">
        <f>IF('AW Schulen'!$P123=0,"x",G39/'AW Schulen'!$P123)</f>
        <v>0.96084337349397586</v>
      </c>
    </row>
    <row r="40" spans="1:12" ht="9" customHeight="1">
      <c r="A40" s="21" t="s">
        <v>90</v>
      </c>
      <c r="B40" s="120"/>
      <c r="C40" s="23">
        <f>'2.2.7'!C40+'2.3.7'!C40</f>
        <v>2</v>
      </c>
      <c r="D40" s="23">
        <f>'2.2.7'!D40+'2.3.7'!D40</f>
        <v>2</v>
      </c>
      <c r="E40" s="23">
        <f>'2.2.7'!E40+'2.3.7'!E40</f>
        <v>2</v>
      </c>
      <c r="F40" s="23">
        <f>'2.2.7'!F40+'2.3.7'!F40</f>
        <v>2</v>
      </c>
      <c r="G40" s="34">
        <f>'2.2.7'!G40+'2.3.7'!G40</f>
        <v>2</v>
      </c>
      <c r="H40" s="155">
        <f>IF('AW Schulen'!$D124=0,"x",C40/'AW Schulen'!$D124)</f>
        <v>3.7037037037037035E-2</v>
      </c>
      <c r="I40" s="155">
        <f>IF('AW Schulen'!$G124=0,"x",D40/'AW Schulen'!$G124)</f>
        <v>3.6363636363636362E-2</v>
      </c>
      <c r="J40" s="155">
        <f>IF('AW Schulen'!$J124=0,"x",E40/'AW Schulen'!$J124)</f>
        <v>3.6363636363636362E-2</v>
      </c>
      <c r="K40" s="155">
        <f>IF('AW Schulen'!$M124=0,"x",F40/'AW Schulen'!$M124)</f>
        <v>3.6363636363636362E-2</v>
      </c>
      <c r="L40" s="156">
        <f>IF('AW Schulen'!$P124=0,"x",G40/'AW Schulen'!$P124)</f>
        <v>3.6363636363636362E-2</v>
      </c>
    </row>
    <row r="41" spans="1:12" ht="9" customHeight="1">
      <c r="A41" s="21" t="s">
        <v>91</v>
      </c>
      <c r="B41" s="120"/>
      <c r="C41" s="23">
        <f>'2.2.7'!C41+'2.3.7'!C41</f>
        <v>3</v>
      </c>
      <c r="D41" s="23">
        <f>'2.2.7'!D41+'2.3.7'!D41</f>
        <v>3</v>
      </c>
      <c r="E41" s="23">
        <f>'2.2.7'!E41+'2.3.7'!E41</f>
        <v>7</v>
      </c>
      <c r="F41" s="23">
        <f>'2.2.7'!F41+'2.3.7'!F41</f>
        <v>7</v>
      </c>
      <c r="G41" s="34">
        <f>'2.2.7'!G41+'2.3.7'!G41</f>
        <v>8</v>
      </c>
      <c r="H41" s="155">
        <f>IF('AW Schulen'!$D125=0,"x",C41/'AW Schulen'!$D125)</f>
        <v>0.16666666666666666</v>
      </c>
      <c r="I41" s="155">
        <f>IF('AW Schulen'!$G125=0,"x",D41/'AW Schulen'!$G125)</f>
        <v>0.16666666666666666</v>
      </c>
      <c r="J41" s="155">
        <f>IF('AW Schulen'!$J125=0,"x",E41/'AW Schulen'!$J125)</f>
        <v>0.1076923076923077</v>
      </c>
      <c r="K41" s="155">
        <f>IF('AW Schulen'!$M125=0,"x",F41/'AW Schulen'!$M125)</f>
        <v>0.11475409836065574</v>
      </c>
      <c r="L41" s="156">
        <f>IF('AW Schulen'!$P125=0,"x",G41/'AW Schulen'!$P125)</f>
        <v>0.13114754098360656</v>
      </c>
    </row>
    <row r="42" spans="1:12" ht="9" customHeight="1">
      <c r="A42" s="21" t="s">
        <v>92</v>
      </c>
      <c r="B42" s="120"/>
      <c r="C42" s="193">
        <f>'2.2.7'!C42+'2.3.7'!C42</f>
        <v>0</v>
      </c>
      <c r="D42" s="193">
        <f>'2.2.7'!D42+'2.3.7'!D42</f>
        <v>0</v>
      </c>
      <c r="E42" s="193">
        <f>'2.2.7'!E42+'2.3.7'!E42</f>
        <v>0</v>
      </c>
      <c r="F42" s="193">
        <f>'2.2.7'!F42+'2.3.7'!F42</f>
        <v>0</v>
      </c>
      <c r="G42" s="194">
        <f>'2.2.7'!G42+'2.3.7'!G42</f>
        <v>0</v>
      </c>
      <c r="H42" s="155" t="str">
        <f>IF('AW Schulen'!$D126=0,"x",C42/'AW Schulen'!$D126)</f>
        <v>x</v>
      </c>
      <c r="I42" s="155" t="str">
        <f>IF('AW Schulen'!$G126=0,"x",D42/'AW Schulen'!$G126)</f>
        <v>x</v>
      </c>
      <c r="J42" s="155" t="str">
        <f>IF('AW Schulen'!$J126=0,"x",E42/'AW Schulen'!$J126)</f>
        <v>x</v>
      </c>
      <c r="K42" s="155" t="str">
        <f>IF('AW Schulen'!$M126=0,"x",F42/'AW Schulen'!$M126)</f>
        <v>x</v>
      </c>
      <c r="L42" s="156" t="str">
        <f>IF('AW Schulen'!$P126=0,"x",G42/'AW Schulen'!$P126)</f>
        <v>x</v>
      </c>
    </row>
    <row r="43" spans="1:12" ht="9" customHeight="1">
      <c r="A43" s="21" t="s">
        <v>93</v>
      </c>
      <c r="B43" s="120"/>
      <c r="C43" s="23">
        <f>'2.2.7'!C43+'2.3.7'!C43</f>
        <v>1</v>
      </c>
      <c r="D43" s="23">
        <f>'2.2.7'!D43+'2.3.7'!D43</f>
        <v>1</v>
      </c>
      <c r="E43" s="23">
        <f>'2.2.7'!E43+'2.3.7'!E43</f>
        <v>4</v>
      </c>
      <c r="F43" s="23">
        <f>'2.2.7'!F43+'2.3.7'!F43</f>
        <v>6</v>
      </c>
      <c r="G43" s="34">
        <f>'2.2.7'!G43+'2.3.7'!G43</f>
        <v>6</v>
      </c>
      <c r="H43" s="183">
        <v>0</v>
      </c>
      <c r="I43" s="183">
        <v>0</v>
      </c>
      <c r="J43" s="183">
        <v>0</v>
      </c>
      <c r="K43" s="183">
        <v>0</v>
      </c>
      <c r="L43" s="197">
        <v>0</v>
      </c>
    </row>
    <row r="44" spans="1:12" ht="9" customHeight="1">
      <c r="A44" s="21" t="s">
        <v>226</v>
      </c>
      <c r="B44" s="120"/>
      <c r="C44" s="23">
        <f>'2.2.7'!C44+'2.3.7'!C44</f>
        <v>4</v>
      </c>
      <c r="D44" s="23">
        <f>'2.2.7'!D44+'2.3.7'!D44</f>
        <v>4</v>
      </c>
      <c r="E44" s="23">
        <f>'2.2.7'!E44+'2.3.7'!E44</f>
        <v>4</v>
      </c>
      <c r="F44" s="23">
        <f>'2.2.7'!F44+'2.3.7'!F44</f>
        <v>6</v>
      </c>
      <c r="G44" s="34">
        <f>'2.2.7'!G44+'2.3.7'!G44</f>
        <v>8</v>
      </c>
      <c r="H44" s="155">
        <f>IF('AW Schulen'!$D128=0,"x",C44/'AW Schulen'!$D128)</f>
        <v>2.1276595744680851E-2</v>
      </c>
      <c r="I44" s="155">
        <f>IF('AW Schulen'!$G128=0,"x",D44/'AW Schulen'!$G128)</f>
        <v>1.9900497512437811E-2</v>
      </c>
      <c r="J44" s="155">
        <f>IF('AW Schulen'!$J128=0,"x",E44/'AW Schulen'!$J128)</f>
        <v>1.6E-2</v>
      </c>
      <c r="K44" s="155">
        <f>IF('AW Schulen'!$M128=0,"x",F44/'AW Schulen'!$M128)</f>
        <v>1.9417475728155338E-2</v>
      </c>
      <c r="L44" s="156">
        <f>IF('AW Schulen'!$P128=0,"x",G44/'AW Schulen'!$P128)</f>
        <v>2.2727272727272728E-2</v>
      </c>
    </row>
    <row r="45" spans="1:12" ht="9" customHeight="1">
      <c r="A45" s="21" t="s">
        <v>95</v>
      </c>
      <c r="B45" s="120"/>
      <c r="C45" s="23">
        <f>'2.2.7'!C45+'2.3.7'!C45</f>
        <v>15</v>
      </c>
      <c r="D45" s="23">
        <f>'2.2.7'!D45+'2.3.7'!D45</f>
        <v>17</v>
      </c>
      <c r="E45" s="23">
        <f>'2.2.7'!E45+'2.3.7'!E45</f>
        <v>20</v>
      </c>
      <c r="F45" s="23">
        <f>'2.2.7'!F45+'2.3.7'!F45</f>
        <v>19</v>
      </c>
      <c r="G45" s="34">
        <f>'2.2.7'!G45+'2.3.7'!G45</f>
        <v>21</v>
      </c>
      <c r="H45" s="155">
        <f>IF('AW Schulen'!$D129=0,"x",C45/'AW Schulen'!$D129)</f>
        <v>0.5</v>
      </c>
      <c r="I45" s="155">
        <f>IF('AW Schulen'!$G129=0,"x",D45/'AW Schulen'!$G129)</f>
        <v>0.4358974358974359</v>
      </c>
      <c r="J45" s="155">
        <f>IF('AW Schulen'!$J129=0,"x",E45/'AW Schulen'!$J129)</f>
        <v>0.38461538461538464</v>
      </c>
      <c r="K45" s="155">
        <f>IF('AW Schulen'!$M129=0,"x",F45/'AW Schulen'!$M129)</f>
        <v>0.32203389830508472</v>
      </c>
      <c r="L45" s="156">
        <f>IF('AW Schulen'!$P129=0,"x",G45/'AW Schulen'!$P129)</f>
        <v>0.30434782608695654</v>
      </c>
    </row>
    <row r="46" spans="1:12" ht="9" customHeight="1">
      <c r="A46" s="21" t="s">
        <v>96</v>
      </c>
      <c r="B46" s="120"/>
      <c r="C46" s="23">
        <f>'2.2.7'!C46+'2.3.7'!C46</f>
        <v>462</v>
      </c>
      <c r="D46" s="23">
        <f>'2.2.7'!D46+'2.3.7'!D46</f>
        <v>594</v>
      </c>
      <c r="E46" s="23">
        <f>'2.2.7'!E46+'2.3.7'!E46</f>
        <v>732</v>
      </c>
      <c r="F46" s="23">
        <f>'2.2.7'!F46+'2.3.7'!F46</f>
        <v>814</v>
      </c>
      <c r="G46" s="34">
        <f>'2.2.7'!G46+'2.3.7'!G46</f>
        <v>880</v>
      </c>
      <c r="H46" s="155">
        <f>IF('AW Schulen'!$D130=0,"x",C46/'AW Schulen'!$D130)</f>
        <v>0.40848806366047746</v>
      </c>
      <c r="I46" s="155">
        <f>IF('AW Schulen'!$G130=0,"x",D46/'AW Schulen'!$G130)</f>
        <v>0.44065281899109793</v>
      </c>
      <c r="J46" s="155">
        <f>IF('AW Schulen'!$J130=0,"x",E46/'AW Schulen'!$J130)</f>
        <v>0.43649373881932019</v>
      </c>
      <c r="K46" s="155">
        <f>IF('AW Schulen'!$M130=0,"x",F46/'AW Schulen'!$M130)</f>
        <v>0.43114406779661019</v>
      </c>
      <c r="L46" s="156">
        <f>IF('AW Schulen'!$P130=0,"x",G46/'AW Schulen'!$P130)</f>
        <v>0.43759323719542514</v>
      </c>
    </row>
    <row r="47" spans="1:12" ht="11.25" customHeight="1">
      <c r="A47" s="391" t="s">
        <v>99</v>
      </c>
      <c r="B47" s="392"/>
      <c r="C47" s="392"/>
      <c r="D47" s="392"/>
      <c r="E47" s="392"/>
      <c r="F47" s="392"/>
      <c r="G47" s="392"/>
      <c r="H47" s="392"/>
      <c r="I47" s="392"/>
      <c r="J47" s="392"/>
      <c r="K47" s="392"/>
      <c r="L47" s="393"/>
    </row>
    <row r="48" spans="1:12" ht="9" customHeight="1">
      <c r="A48" s="21" t="s">
        <v>173</v>
      </c>
      <c r="B48" s="120"/>
      <c r="C48" s="23">
        <f>'2.2.7'!C48+'2.3.7'!C48</f>
        <v>6</v>
      </c>
      <c r="D48" s="23">
        <f>'2.2.7'!D48+'2.3.7'!D48</f>
        <v>9</v>
      </c>
      <c r="E48" s="23">
        <f>'2.2.7'!E48+'2.3.7'!E48</f>
        <v>19</v>
      </c>
      <c r="F48" s="23">
        <f>'2.2.7'!F48+'2.3.7'!F48</f>
        <v>21</v>
      </c>
      <c r="G48" s="34">
        <f>'2.2.7'!G48+'2.3.7'!G48</f>
        <v>22</v>
      </c>
      <c r="H48" s="155">
        <f>IF('AW Schulen'!$D114=0,"x",C48/'AW Schulen'!$D114)</f>
        <v>7.407407407407407E-2</v>
      </c>
      <c r="I48" s="155">
        <f>IF('AW Schulen'!$G114=0,"x",D48/'AW Schulen'!$G114)</f>
        <v>3.71900826446281E-2</v>
      </c>
      <c r="J48" s="155">
        <f>IF('AW Schulen'!$J114=0,"x",E48/'AW Schulen'!$J114)</f>
        <v>4.859335038363171E-2</v>
      </c>
      <c r="K48" s="155">
        <f>IF('AW Schulen'!$M114=0,"x",F48/'AW Schulen'!$M114)</f>
        <v>4.2084168336673347E-2</v>
      </c>
      <c r="L48" s="156">
        <f>IF('AW Schulen'!$P114=0,"x",G48/'AW Schulen'!$P114)</f>
        <v>4.0145985401459854E-2</v>
      </c>
    </row>
    <row r="49" spans="1:12" ht="9" customHeight="1">
      <c r="A49" s="21" t="s">
        <v>81</v>
      </c>
      <c r="B49" s="120"/>
      <c r="C49" s="23">
        <f>'2.2.7'!C49+'2.3.7'!C49</f>
        <v>1</v>
      </c>
      <c r="D49" s="23">
        <f>'2.2.7'!D49+'2.3.7'!D49</f>
        <v>2</v>
      </c>
      <c r="E49" s="23">
        <f>'2.2.7'!E49+'2.3.7'!E49</f>
        <v>2</v>
      </c>
      <c r="F49" s="23" t="e">
        <f>'2.2.7'!F49+'2.3.7'!F49</f>
        <v>#VALUE!</v>
      </c>
      <c r="G49" s="34">
        <f>'2.2.7'!G49+'2.3.7'!G49</f>
        <v>1</v>
      </c>
      <c r="H49" s="155">
        <f>IF('AW Schulen'!$D115=0,"x",C49/'AW Schulen'!$D115)</f>
        <v>0.5</v>
      </c>
      <c r="I49" s="155">
        <f>IF('AW Schulen'!$G115=0,"x",D49/'AW Schulen'!$G115)</f>
        <v>1</v>
      </c>
      <c r="J49" s="155">
        <f>IF('AW Schulen'!$J115=0,"x",E49/'AW Schulen'!$J115)</f>
        <v>1</v>
      </c>
      <c r="K49" s="155" t="e">
        <f>IF('AW Schulen'!$M115=0,"x",F49/'AW Schulen'!$M115)</f>
        <v>#VALUE!</v>
      </c>
      <c r="L49" s="156">
        <f>IF('AW Schulen'!$P115=0,"x",G49/'AW Schulen'!$P115)</f>
        <v>0.5</v>
      </c>
    </row>
    <row r="50" spans="1:12" ht="9" customHeight="1">
      <c r="A50" s="21" t="s">
        <v>82</v>
      </c>
      <c r="B50" s="120"/>
      <c r="C50" s="23">
        <f>'2.2.7'!C50+'2.3.7'!C50</f>
        <v>69</v>
      </c>
      <c r="D50" s="23">
        <f>'2.2.7'!D50+'2.3.7'!D50</f>
        <v>51</v>
      </c>
      <c r="E50" s="23">
        <f>'2.2.7'!E50+'2.3.7'!E50</f>
        <v>58</v>
      </c>
      <c r="F50" s="23">
        <f>'2.2.7'!F50+'2.3.7'!F50</f>
        <v>67</v>
      </c>
      <c r="G50" s="34">
        <f>'2.2.7'!G50+'2.3.7'!G50</f>
        <v>46</v>
      </c>
      <c r="H50" s="155">
        <f>IF('AW Schulen'!$D116=0,"x",C50/'AW Schulen'!$D116)</f>
        <v>0.46308724832214765</v>
      </c>
      <c r="I50" s="155">
        <f>IF('AW Schulen'!$G116=0,"x",D50/'AW Schulen'!$G116)</f>
        <v>0.34693877551020408</v>
      </c>
      <c r="J50" s="155">
        <f>IF('AW Schulen'!$J116=0,"x",E50/'AW Schulen'!$J116)</f>
        <v>0.3515151515151515</v>
      </c>
      <c r="K50" s="155">
        <f>IF('AW Schulen'!$M116=0,"x",F50/'AW Schulen'!$M116)</f>
        <v>0.391812865497076</v>
      </c>
      <c r="L50" s="156">
        <f>IF('AW Schulen'!$P116=0,"x",G50/'AW Schulen'!$P116)</f>
        <v>0.26285714285714284</v>
      </c>
    </row>
    <row r="51" spans="1:12" ht="9" customHeight="1">
      <c r="A51" s="21" t="s">
        <v>83</v>
      </c>
      <c r="B51" s="120"/>
      <c r="C51" s="23">
        <f>'2.2.7'!C51+'2.3.7'!C51</f>
        <v>1</v>
      </c>
      <c r="D51" s="23">
        <f>'2.2.7'!D51+'2.3.7'!D51</f>
        <v>1</v>
      </c>
      <c r="E51" s="23">
        <f>'2.2.7'!E51+'2.3.7'!E51</f>
        <v>1</v>
      </c>
      <c r="F51" s="23">
        <f>'2.2.7'!F51+'2.3.7'!F51</f>
        <v>2</v>
      </c>
      <c r="G51" s="34">
        <f>'2.2.7'!G51+'2.3.7'!G51</f>
        <v>3</v>
      </c>
      <c r="H51" s="155">
        <f>IF('AW Schulen'!$D117=0,"x",C51/'AW Schulen'!$D117)</f>
        <v>3.7037037037037035E-2</v>
      </c>
      <c r="I51" s="155">
        <f>IF('AW Schulen'!$G117=0,"x",D51/'AW Schulen'!$G117)</f>
        <v>3.4482758620689655E-2</v>
      </c>
      <c r="J51" s="155">
        <f>IF('AW Schulen'!$J117=0,"x",E51/'AW Schulen'!$J117)</f>
        <v>3.2258064516129031E-2</v>
      </c>
      <c r="K51" s="155">
        <f>IF('AW Schulen'!$M117=0,"x",F51/'AW Schulen'!$M117)</f>
        <v>5.7142857142857141E-2</v>
      </c>
      <c r="L51" s="156">
        <f>IF('AW Schulen'!$P117=0,"x",G51/'AW Schulen'!$P117)</f>
        <v>8.5714285714285715E-2</v>
      </c>
    </row>
    <row r="52" spans="1:12" ht="9" customHeight="1">
      <c r="A52" s="21" t="s">
        <v>84</v>
      </c>
      <c r="B52" s="120"/>
      <c r="C52" s="23">
        <f>'2.2.7'!C52+'2.3.7'!C52</f>
        <v>22</v>
      </c>
      <c r="D52" s="23">
        <f>'2.2.7'!D52+'2.3.7'!D52</f>
        <v>22</v>
      </c>
      <c r="E52" s="23">
        <f>'2.2.7'!E52+'2.3.7'!E52</f>
        <v>22</v>
      </c>
      <c r="F52" s="23">
        <f>'2.2.7'!F52+'2.3.7'!F52</f>
        <v>23</v>
      </c>
      <c r="G52" s="34">
        <f>'2.2.7'!G52+'2.3.7'!G52</f>
        <v>22</v>
      </c>
      <c r="H52" s="155">
        <f>IF('AW Schulen'!$D118=0,"x",C52/'AW Schulen'!$D118)</f>
        <v>0.36666666666666664</v>
      </c>
      <c r="I52" s="155">
        <f>IF('AW Schulen'!$G118=0,"x",D52/'AW Schulen'!$G118)</f>
        <v>0.36666666666666664</v>
      </c>
      <c r="J52" s="155">
        <f>IF('AW Schulen'!$J118=0,"x",E52/'AW Schulen'!$J118)</f>
        <v>0.3728813559322034</v>
      </c>
      <c r="K52" s="155">
        <f>IF('AW Schulen'!$M118=0,"x",F52/'AW Schulen'!$M118)</f>
        <v>0.36507936507936506</v>
      </c>
      <c r="L52" s="156">
        <f>IF('AW Schulen'!$P118=0,"x",G52/'AW Schulen'!$P118)</f>
        <v>0.3728813559322034</v>
      </c>
    </row>
    <row r="53" spans="1:12" ht="9" customHeight="1">
      <c r="A53" s="21" t="s">
        <v>85</v>
      </c>
      <c r="B53" s="120"/>
      <c r="C53" s="23">
        <f>'2.2.7'!C53+'2.3.7'!C53</f>
        <v>14</v>
      </c>
      <c r="D53" s="23">
        <f>'2.2.7'!D53+'2.3.7'!D53</f>
        <v>18</v>
      </c>
      <c r="E53" s="23">
        <f>'2.2.7'!E53+'2.3.7'!E53</f>
        <v>21</v>
      </c>
      <c r="F53" s="23">
        <f>'2.2.7'!F53+'2.3.7'!F53</f>
        <v>21</v>
      </c>
      <c r="G53" s="34">
        <f>'2.2.7'!G53+'2.3.7'!G53</f>
        <v>22</v>
      </c>
      <c r="H53" s="155">
        <f>IF('AW Schulen'!$D119=0,"x",C53/'AW Schulen'!$D119)</f>
        <v>0.15730337078651685</v>
      </c>
      <c r="I53" s="155">
        <f>IF('AW Schulen'!$G119=0,"x",D53/'AW Schulen'!$G119)</f>
        <v>0.21951219512195122</v>
      </c>
      <c r="J53" s="155">
        <f>IF('AW Schulen'!$J119=0,"x",E53/'AW Schulen'!$J119)</f>
        <v>0.26250000000000001</v>
      </c>
      <c r="K53" s="155">
        <f>IF('AW Schulen'!$M119=0,"x",F53/'AW Schulen'!$M119)</f>
        <v>0.25925925925925924</v>
      </c>
      <c r="L53" s="156">
        <f>IF('AW Schulen'!$P119=0,"x",G53/'AW Schulen'!$P119)</f>
        <v>0.28205128205128205</v>
      </c>
    </row>
    <row r="54" spans="1:12" ht="9" customHeight="1">
      <c r="A54" s="21" t="s">
        <v>86</v>
      </c>
      <c r="B54" s="120"/>
      <c r="C54" s="36">
        <f>'2.2.7'!C54+'2.3.7'!C54</f>
        <v>0</v>
      </c>
      <c r="D54" s="36">
        <f>'2.2.7'!D54+'2.3.7'!D54</f>
        <v>0</v>
      </c>
      <c r="E54" s="36">
        <f>'2.2.7'!E54+'2.3.7'!E54</f>
        <v>0</v>
      </c>
      <c r="F54" s="36">
        <f>'2.2.7'!F54+'2.3.7'!F54</f>
        <v>0</v>
      </c>
      <c r="G54" s="37">
        <f>'2.2.7'!G54+'2.3.7'!G54</f>
        <v>0</v>
      </c>
      <c r="H54" s="183">
        <f>IF('AW Schulen'!$D120=0,"x",C54/'AW Schulen'!$D120)</f>
        <v>0</v>
      </c>
      <c r="I54" s="183">
        <f>IF('AW Schulen'!$G120=0,"x",D54/'AW Schulen'!$G120)</f>
        <v>0</v>
      </c>
      <c r="J54" s="183">
        <f>IF('AW Schulen'!$J120=0,"x",E54/'AW Schulen'!$J120)</f>
        <v>0</v>
      </c>
      <c r="K54" s="183">
        <f>IF('AW Schulen'!$M120=0,"x",F54/'AW Schulen'!$M120)</f>
        <v>0</v>
      </c>
      <c r="L54" s="197">
        <f>IF('AW Schulen'!$P120=0,"x",G54/'AW Schulen'!$P120)</f>
        <v>0</v>
      </c>
    </row>
    <row r="55" spans="1:12" ht="9" customHeight="1">
      <c r="A55" s="21" t="s">
        <v>223</v>
      </c>
      <c r="B55" s="120"/>
      <c r="C55" s="23">
        <f>'2.2.7'!C55+'2.3.7'!C55</f>
        <v>5</v>
      </c>
      <c r="D55" s="23">
        <f>'2.2.7'!D55+'2.3.7'!D55</f>
        <v>4</v>
      </c>
      <c r="E55" s="23">
        <f>'2.2.7'!E55+'2.3.7'!E55</f>
        <v>4</v>
      </c>
      <c r="F55" s="23">
        <f>'2.2.7'!F55+'2.3.7'!F55</f>
        <v>5</v>
      </c>
      <c r="G55" s="34">
        <f>'2.2.7'!G55+'2.3.7'!G55</f>
        <v>6</v>
      </c>
      <c r="H55" s="155">
        <f>IF('AW Schulen'!$D121=0,"x",C55/'AW Schulen'!$D121)</f>
        <v>0.23809523809523808</v>
      </c>
      <c r="I55" s="155">
        <f>IF('AW Schulen'!$G121=0,"x",D55/'AW Schulen'!$G121)</f>
        <v>0.18181818181818182</v>
      </c>
      <c r="J55" s="155">
        <f>IF('AW Schulen'!$J121=0,"x",E55/'AW Schulen'!$J121)</f>
        <v>0.19047619047619047</v>
      </c>
      <c r="K55" s="155">
        <f>IF('AW Schulen'!$M121=0,"x",F55/'AW Schulen'!$M121)</f>
        <v>0.23809523809523808</v>
      </c>
      <c r="L55" s="156">
        <f>IF('AW Schulen'!$P121=0,"x",G55/'AW Schulen'!$P121)</f>
        <v>0.2857142857142857</v>
      </c>
    </row>
    <row r="56" spans="1:12" ht="9" customHeight="1">
      <c r="A56" s="21" t="s">
        <v>88</v>
      </c>
      <c r="B56" s="120"/>
      <c r="C56" s="23">
        <f>'2.2.7'!C56+'2.3.7'!C56</f>
        <v>8</v>
      </c>
      <c r="D56" s="23">
        <f>'2.2.7'!D56+'2.3.7'!D56</f>
        <v>8</v>
      </c>
      <c r="E56" s="23">
        <f>'2.2.7'!E56+'2.3.7'!E56</f>
        <v>27</v>
      </c>
      <c r="F56" s="23">
        <f>'2.2.7'!F56+'2.3.7'!F56</f>
        <v>45</v>
      </c>
      <c r="G56" s="34">
        <f>'2.2.7'!G56+'2.3.7'!G56</f>
        <v>51</v>
      </c>
      <c r="H56" s="183">
        <v>0</v>
      </c>
      <c r="I56" s="183">
        <v>0</v>
      </c>
      <c r="J56" s="183">
        <v>0</v>
      </c>
      <c r="K56" s="183">
        <v>0</v>
      </c>
      <c r="L56" s="197">
        <v>0</v>
      </c>
    </row>
    <row r="57" spans="1:12" ht="9" customHeight="1">
      <c r="A57" s="21" t="s">
        <v>89</v>
      </c>
      <c r="B57" s="120"/>
      <c r="C57" s="23">
        <f>'2.2.7'!C57+'2.3.7'!C57</f>
        <v>0</v>
      </c>
      <c r="D57" s="23">
        <f>'2.2.7'!D57+'2.3.7'!D57</f>
        <v>0</v>
      </c>
      <c r="E57" s="23">
        <f>'2.2.7'!E57+'2.3.7'!E57</f>
        <v>3</v>
      </c>
      <c r="F57" s="23">
        <f>'2.2.7'!F57+'2.3.7'!F57</f>
        <v>2</v>
      </c>
      <c r="G57" s="34">
        <f>'2.2.7'!G57+'2.3.7'!G57</f>
        <v>2</v>
      </c>
      <c r="H57" s="155">
        <f>IF('AW Schulen'!$D123=0,"x",C57/'AW Schulen'!$D123)</f>
        <v>0</v>
      </c>
      <c r="I57" s="155">
        <f>IF('AW Schulen'!$G123=0,"x",D57/'AW Schulen'!$G123)</f>
        <v>0</v>
      </c>
      <c r="J57" s="155">
        <f>IF('AW Schulen'!$J123=0,"x",E57/'AW Schulen'!$J123)</f>
        <v>9.6463022508038593E-3</v>
      </c>
      <c r="K57" s="155">
        <f>IF('AW Schulen'!$M123=0,"x",F57/'AW Schulen'!$M123)</f>
        <v>6.269592476489028E-3</v>
      </c>
      <c r="L57" s="156">
        <f>IF('AW Schulen'!$P123=0,"x",G57/'AW Schulen'!$P123)</f>
        <v>6.024096385542169E-3</v>
      </c>
    </row>
    <row r="58" spans="1:12" ht="9" customHeight="1">
      <c r="A58" s="21" t="s">
        <v>90</v>
      </c>
      <c r="B58" s="120"/>
      <c r="C58" s="23">
        <f>'2.2.7'!C58+'2.3.7'!C58</f>
        <v>46</v>
      </c>
      <c r="D58" s="23">
        <f>'2.2.7'!D58+'2.3.7'!D58</f>
        <v>47</v>
      </c>
      <c r="E58" s="23">
        <f>'2.2.7'!E58+'2.3.7'!E58</f>
        <v>47</v>
      </c>
      <c r="F58" s="23">
        <f>'2.2.7'!F58+'2.3.7'!F58</f>
        <v>47</v>
      </c>
      <c r="G58" s="34">
        <f>'2.2.7'!G58+'2.3.7'!G58</f>
        <v>49</v>
      </c>
      <c r="H58" s="155">
        <f>IF('AW Schulen'!$D124=0,"x",C58/'AW Schulen'!$D124)</f>
        <v>0.85185185185185186</v>
      </c>
      <c r="I58" s="155">
        <f>IF('AW Schulen'!$G124=0,"x",D58/'AW Schulen'!$G124)</f>
        <v>0.8545454545454545</v>
      </c>
      <c r="J58" s="155">
        <f>IF('AW Schulen'!$J124=0,"x",E58/'AW Schulen'!$J124)</f>
        <v>0.8545454545454545</v>
      </c>
      <c r="K58" s="155">
        <f>IF('AW Schulen'!$M124=0,"x",F58/'AW Schulen'!$M124)</f>
        <v>0.8545454545454545</v>
      </c>
      <c r="L58" s="156">
        <f>IF('AW Schulen'!$P124=0,"x",G58/'AW Schulen'!$P124)</f>
        <v>0.89090909090909087</v>
      </c>
    </row>
    <row r="59" spans="1:12" ht="9" customHeight="1">
      <c r="A59" s="21" t="s">
        <v>91</v>
      </c>
      <c r="B59" s="120"/>
      <c r="C59" s="23">
        <f>'2.2.7'!C59+'2.3.7'!C59</f>
        <v>2</v>
      </c>
      <c r="D59" s="23">
        <f>'2.2.7'!D59+'2.3.7'!D59</f>
        <v>2</v>
      </c>
      <c r="E59" s="23">
        <f>'2.2.7'!E59+'2.3.7'!E59</f>
        <v>8</v>
      </c>
      <c r="F59" s="23">
        <f>'2.2.7'!F59+'2.3.7'!F59</f>
        <v>8</v>
      </c>
      <c r="G59" s="34">
        <f>'2.2.7'!G59+'2.3.7'!G59</f>
        <v>7</v>
      </c>
      <c r="H59" s="155">
        <f>IF('AW Schulen'!$D125=0,"x",C59/'AW Schulen'!$D125)</f>
        <v>0.1111111111111111</v>
      </c>
      <c r="I59" s="155">
        <f>IF('AW Schulen'!$G125=0,"x",D59/'AW Schulen'!$G125)</f>
        <v>0.1111111111111111</v>
      </c>
      <c r="J59" s="155">
        <f>IF('AW Schulen'!$J125=0,"x",E59/'AW Schulen'!$J125)</f>
        <v>0.12307692307692308</v>
      </c>
      <c r="K59" s="155">
        <f>IF('AW Schulen'!$M125=0,"x",F59/'AW Schulen'!$M125)</f>
        <v>0.13114754098360656</v>
      </c>
      <c r="L59" s="156">
        <f>IF('AW Schulen'!$P125=0,"x",G59/'AW Schulen'!$P125)</f>
        <v>0.11475409836065574</v>
      </c>
    </row>
    <row r="60" spans="1:12" ht="9" customHeight="1">
      <c r="A60" s="21" t="s">
        <v>92</v>
      </c>
      <c r="B60" s="120"/>
      <c r="C60" s="193">
        <f>'2.2.7'!C60+'2.3.7'!C60</f>
        <v>0</v>
      </c>
      <c r="D60" s="193">
        <f>'2.2.7'!D60+'2.3.7'!D60</f>
        <v>0</v>
      </c>
      <c r="E60" s="193">
        <f>'2.2.7'!E60+'2.3.7'!E60</f>
        <v>0</v>
      </c>
      <c r="F60" s="193">
        <f>'2.2.7'!F60+'2.3.7'!F60</f>
        <v>0</v>
      </c>
      <c r="G60" s="194">
        <f>'2.2.7'!G60+'2.3.7'!G60</f>
        <v>0</v>
      </c>
      <c r="H60" s="155" t="str">
        <f>IF('AW Schulen'!$D126=0,"x",C60/'AW Schulen'!$D126)</f>
        <v>x</v>
      </c>
      <c r="I60" s="155" t="str">
        <f>IF('AW Schulen'!$G126=0,"x",D60/'AW Schulen'!$G126)</f>
        <v>x</v>
      </c>
      <c r="J60" s="155" t="str">
        <f>IF('AW Schulen'!$J126=0,"x",E60/'AW Schulen'!$J126)</f>
        <v>x</v>
      </c>
      <c r="K60" s="155" t="str">
        <f>IF('AW Schulen'!$M126=0,"x",F60/'AW Schulen'!$M126)</f>
        <v>x</v>
      </c>
      <c r="L60" s="156" t="str">
        <f>IF('AW Schulen'!$P126=0,"x",G60/'AW Schulen'!$P126)</f>
        <v>x</v>
      </c>
    </row>
    <row r="61" spans="1:12" ht="9" customHeight="1">
      <c r="A61" s="21" t="s">
        <v>93</v>
      </c>
      <c r="B61" s="120"/>
      <c r="C61" s="23">
        <f>'2.2.7'!C61+'2.3.7'!C61</f>
        <v>0</v>
      </c>
      <c r="D61" s="23">
        <f>'2.2.7'!D61+'2.3.7'!D61</f>
        <v>0</v>
      </c>
      <c r="E61" s="23">
        <f>'2.2.7'!E61+'2.3.7'!E61</f>
        <v>3</v>
      </c>
      <c r="F61" s="23">
        <f>'2.2.7'!F61+'2.3.7'!F61</f>
        <v>5</v>
      </c>
      <c r="G61" s="34">
        <f>'2.2.7'!G61+'2.3.7'!G61</f>
        <v>6</v>
      </c>
      <c r="H61" s="183">
        <v>0</v>
      </c>
      <c r="I61" s="183">
        <v>0</v>
      </c>
      <c r="J61" s="183">
        <v>0</v>
      </c>
      <c r="K61" s="183">
        <v>0</v>
      </c>
      <c r="L61" s="197">
        <v>0</v>
      </c>
    </row>
    <row r="62" spans="1:12" ht="9" customHeight="1">
      <c r="A62" s="21" t="s">
        <v>226</v>
      </c>
      <c r="B62" s="120"/>
      <c r="C62" s="23">
        <f>'2.2.7'!C62+'2.3.7'!C62</f>
        <v>19</v>
      </c>
      <c r="D62" s="23">
        <f>'2.2.7'!D62+'2.3.7'!D62</f>
        <v>19</v>
      </c>
      <c r="E62" s="23">
        <f>'2.2.7'!E62+'2.3.7'!E62</f>
        <v>19</v>
      </c>
      <c r="F62" s="23">
        <f>'2.2.7'!F62+'2.3.7'!F62</f>
        <v>21</v>
      </c>
      <c r="G62" s="34">
        <f>'2.2.7'!G62+'2.3.7'!G62</f>
        <v>29</v>
      </c>
      <c r="H62" s="155">
        <f>IF('AW Schulen'!$D128=0,"x",C62/'AW Schulen'!$D128)</f>
        <v>0.10106382978723404</v>
      </c>
      <c r="I62" s="155">
        <f>IF('AW Schulen'!$G128=0,"x",D62/'AW Schulen'!$G128)</f>
        <v>9.4527363184079602E-2</v>
      </c>
      <c r="J62" s="155">
        <f>IF('AW Schulen'!$J128=0,"x",E62/'AW Schulen'!$J128)</f>
        <v>7.5999999999999998E-2</v>
      </c>
      <c r="K62" s="155">
        <f>IF('AW Schulen'!$M128=0,"x",F62/'AW Schulen'!$M128)</f>
        <v>6.7961165048543687E-2</v>
      </c>
      <c r="L62" s="156">
        <f>IF('AW Schulen'!$P128=0,"x",G62/'AW Schulen'!$P128)</f>
        <v>8.2386363636363633E-2</v>
      </c>
    </row>
    <row r="63" spans="1:12" ht="9" customHeight="1">
      <c r="A63" s="21" t="s">
        <v>95</v>
      </c>
      <c r="B63" s="120"/>
      <c r="C63" s="23">
        <f>'2.2.7'!C63+'2.3.7'!C63</f>
        <v>5</v>
      </c>
      <c r="D63" s="23">
        <f>'2.2.7'!D63+'2.3.7'!D63</f>
        <v>10</v>
      </c>
      <c r="E63" s="23">
        <f>'2.2.7'!E63+'2.3.7'!E63</f>
        <v>18</v>
      </c>
      <c r="F63" s="23">
        <f>'2.2.7'!F63+'2.3.7'!F63</f>
        <v>23</v>
      </c>
      <c r="G63" s="34">
        <f>'2.2.7'!G63+'2.3.7'!G63</f>
        <v>26</v>
      </c>
      <c r="H63" s="155">
        <f>IF('AW Schulen'!$D129=0,"x",C63/'AW Schulen'!$D129)</f>
        <v>0.16666666666666666</v>
      </c>
      <c r="I63" s="155">
        <f>IF('AW Schulen'!$G129=0,"x",D63/'AW Schulen'!$G129)</f>
        <v>0.25641025641025639</v>
      </c>
      <c r="J63" s="155">
        <f>IF('AW Schulen'!$J129=0,"x",E63/'AW Schulen'!$J129)</f>
        <v>0.34615384615384615</v>
      </c>
      <c r="K63" s="155">
        <f>IF('AW Schulen'!$M129=0,"x",F63/'AW Schulen'!$M129)</f>
        <v>0.38983050847457629</v>
      </c>
      <c r="L63" s="156">
        <f>IF('AW Schulen'!$P129=0,"x",G63/'AW Schulen'!$P129)</f>
        <v>0.37681159420289856</v>
      </c>
    </row>
    <row r="64" spans="1:12" ht="8.65" customHeight="1">
      <c r="A64" s="21" t="s">
        <v>96</v>
      </c>
      <c r="B64" s="120"/>
      <c r="C64" s="23">
        <f>'2.2.7'!C64+'2.3.7'!C64</f>
        <v>198</v>
      </c>
      <c r="D64" s="23">
        <f>'2.2.7'!D64+'2.3.7'!D64</f>
        <v>193</v>
      </c>
      <c r="E64" s="23">
        <f>'2.2.7'!E64+'2.3.7'!E64</f>
        <v>252</v>
      </c>
      <c r="F64" s="23">
        <f>'2.2.7'!F64+'2.3.7'!F64</f>
        <v>292</v>
      </c>
      <c r="G64" s="34">
        <f>'2.2.7'!G64+'2.3.7'!G64</f>
        <v>292</v>
      </c>
      <c r="H64" s="155">
        <f>IF('AW Schulen'!$D130=0,"x",C64/'AW Schulen'!$D130)</f>
        <v>0.17506631299734748</v>
      </c>
      <c r="I64" s="155">
        <f>IF('AW Schulen'!$G130=0,"x",D64/'AW Schulen'!$G130)</f>
        <v>0.14317507418397626</v>
      </c>
      <c r="J64" s="155">
        <f>IF('AW Schulen'!$J130=0,"x",E64/'AW Schulen'!$J130)</f>
        <v>0.15026833631484796</v>
      </c>
      <c r="K64" s="155">
        <f>IF('AW Schulen'!$M130=0,"x",F64/'AW Schulen'!$M130)</f>
        <v>0.15466101694915255</v>
      </c>
      <c r="L64" s="156">
        <f>IF('AW Schulen'!$P130=0,"x",G64/'AW Schulen'!$P130)</f>
        <v>0.14520139234211835</v>
      </c>
    </row>
    <row r="65" spans="1:12" ht="12.6" customHeight="1">
      <c r="A65" s="391" t="s">
        <v>100</v>
      </c>
      <c r="B65" s="392"/>
      <c r="C65" s="392"/>
      <c r="D65" s="392"/>
      <c r="E65" s="392"/>
      <c r="F65" s="392"/>
      <c r="G65" s="392"/>
      <c r="H65" s="392"/>
      <c r="I65" s="392"/>
      <c r="J65" s="392"/>
      <c r="K65" s="392"/>
      <c r="L65" s="393"/>
    </row>
    <row r="66" spans="1:12" ht="10.15" customHeight="1">
      <c r="A66" s="224" t="s">
        <v>173</v>
      </c>
      <c r="B66" s="120"/>
      <c r="C66" s="23">
        <f>'2.2.7'!C66+'2.3.7'!C66</f>
        <v>8</v>
      </c>
      <c r="D66" s="23">
        <f>'2.2.7'!D66+'2.3.7'!D66</f>
        <v>35</v>
      </c>
      <c r="E66" s="23">
        <f>'2.2.7'!E66+'2.3.7'!E66</f>
        <v>69</v>
      </c>
      <c r="F66" s="23">
        <f>'2.2.7'!F66+'2.3.7'!F66</f>
        <v>89</v>
      </c>
      <c r="G66" s="34">
        <f>'2.2.7'!G66+'2.3.7'!G66</f>
        <v>98</v>
      </c>
      <c r="H66" s="155">
        <f>IF('AW Schulen'!$D114=0,"x",C66/'AW Schulen'!$D114)</f>
        <v>9.8765432098765427E-2</v>
      </c>
      <c r="I66" s="155">
        <f>IF('AW Schulen'!$G114=0,"x",D66/'AW Schulen'!$G114)</f>
        <v>0.14462809917355371</v>
      </c>
      <c r="J66" s="155">
        <f>IF('AW Schulen'!$J114=0,"x",E66/'AW Schulen'!$J114)</f>
        <v>0.17647058823529413</v>
      </c>
      <c r="K66" s="155">
        <f>IF('AW Schulen'!$M114=0,"x",F66/'AW Schulen'!$M114)</f>
        <v>0.17835671342685372</v>
      </c>
      <c r="L66" s="156">
        <f>IF('AW Schulen'!$P114=0,"x",G66/'AW Schulen'!$P114)</f>
        <v>0.17883211678832117</v>
      </c>
    </row>
    <row r="67" spans="1:12" ht="10.15" customHeight="1">
      <c r="A67" s="224" t="s">
        <v>81</v>
      </c>
      <c r="B67" s="120"/>
      <c r="C67" s="23">
        <f>'2.2.7'!C67+'2.3.7'!C67</f>
        <v>1</v>
      </c>
      <c r="D67" s="23">
        <f>'2.2.7'!D67+'2.3.7'!D67</f>
        <v>0</v>
      </c>
      <c r="E67" s="23">
        <f>'2.2.7'!E67+'2.3.7'!E67</f>
        <v>0</v>
      </c>
      <c r="F67" s="23" t="e">
        <f>'2.2.7'!F67+'2.3.7'!F67</f>
        <v>#VALUE!</v>
      </c>
      <c r="G67" s="34">
        <f>'2.2.7'!G67+'2.3.7'!G67</f>
        <v>0</v>
      </c>
      <c r="H67" s="155">
        <f>IF('AW Schulen'!$D115=0,"x",C67/'AW Schulen'!$D115)</f>
        <v>0.5</v>
      </c>
      <c r="I67" s="155">
        <f>IF('AW Schulen'!$G115=0,"x",D67/'AW Schulen'!$G115)</f>
        <v>0</v>
      </c>
      <c r="J67" s="155">
        <f>IF('AW Schulen'!$J115=0,"x",E67/'AW Schulen'!$J115)</f>
        <v>0</v>
      </c>
      <c r="K67" s="155" t="e">
        <f>IF('AW Schulen'!$M115=0,"x",F67/'AW Schulen'!$M115)</f>
        <v>#VALUE!</v>
      </c>
      <c r="L67" s="156">
        <f>IF('AW Schulen'!$P115=0,"x",G67/'AW Schulen'!$P115)</f>
        <v>0</v>
      </c>
    </row>
    <row r="68" spans="1:12" ht="10.15" customHeight="1">
      <c r="A68" s="224" t="s">
        <v>82</v>
      </c>
      <c r="B68" s="120"/>
      <c r="C68" s="23">
        <f>'2.2.7'!C68+'2.3.7'!C68</f>
        <v>31</v>
      </c>
      <c r="D68" s="23">
        <f>'2.2.7'!D68+'2.3.7'!D68</f>
        <v>43</v>
      </c>
      <c r="E68" s="23">
        <f>'2.2.7'!E68+'2.3.7'!E68</f>
        <v>31</v>
      </c>
      <c r="F68" s="23">
        <f>'2.2.7'!F68+'2.3.7'!F68</f>
        <v>40</v>
      </c>
      <c r="G68" s="34">
        <f>'2.2.7'!G68+'2.3.7'!G68</f>
        <v>32</v>
      </c>
      <c r="H68" s="155">
        <f>IF('AW Schulen'!$D116=0,"x",C68/'AW Schulen'!$D116)</f>
        <v>0.20805369127516779</v>
      </c>
      <c r="I68" s="155">
        <f>IF('AW Schulen'!$G116=0,"x",D68/'AW Schulen'!$G116)</f>
        <v>0.29251700680272108</v>
      </c>
      <c r="J68" s="155">
        <f>IF('AW Schulen'!$J116=0,"x",E68/'AW Schulen'!$J116)</f>
        <v>0.18787878787878787</v>
      </c>
      <c r="K68" s="155">
        <f>IF('AW Schulen'!$M116=0,"x",F68/'AW Schulen'!$M116)</f>
        <v>0.23391812865497075</v>
      </c>
      <c r="L68" s="156">
        <f>IF('AW Schulen'!$P116=0,"x",G68/'AW Schulen'!$P116)</f>
        <v>0.18285714285714286</v>
      </c>
    </row>
    <row r="69" spans="1:12" ht="9" customHeight="1">
      <c r="A69" s="21" t="s">
        <v>83</v>
      </c>
      <c r="B69" s="120"/>
      <c r="C69" s="23">
        <f>'2.2.7'!C69+'2.3.7'!C69</f>
        <v>5</v>
      </c>
      <c r="D69" s="23">
        <f>'2.2.7'!D69+'2.3.7'!D69</f>
        <v>6</v>
      </c>
      <c r="E69" s="23">
        <f>'2.2.7'!E69+'2.3.7'!E69</f>
        <v>5</v>
      </c>
      <c r="F69" s="23">
        <f>'2.2.7'!F69+'2.3.7'!F69</f>
        <v>5</v>
      </c>
      <c r="G69" s="34">
        <f>'2.2.7'!G69+'2.3.7'!G69</f>
        <v>5</v>
      </c>
      <c r="H69" s="155">
        <f>IF('AW Schulen'!$D117=0,"x",C69/'AW Schulen'!$D117)</f>
        <v>0.18518518518518517</v>
      </c>
      <c r="I69" s="155">
        <f>IF('AW Schulen'!$G117=0,"x",D69/'AW Schulen'!$G117)</f>
        <v>0.20689655172413793</v>
      </c>
      <c r="J69" s="155">
        <f>IF('AW Schulen'!$J117=0,"x",E69/'AW Schulen'!$J117)</f>
        <v>0.16129032258064516</v>
      </c>
      <c r="K69" s="155">
        <f>IF('AW Schulen'!$M117=0,"x",F69/'AW Schulen'!$M117)</f>
        <v>0.14285714285714285</v>
      </c>
      <c r="L69" s="156">
        <f>IF('AW Schulen'!$P117=0,"x",G69/'AW Schulen'!$P117)</f>
        <v>0.14285714285714285</v>
      </c>
    </row>
    <row r="70" spans="1:12" ht="9" customHeight="1">
      <c r="A70" s="21" t="s">
        <v>84</v>
      </c>
      <c r="B70" s="120"/>
      <c r="C70" s="23">
        <f>'2.2.7'!C70+'2.3.7'!C70</f>
        <v>4</v>
      </c>
      <c r="D70" s="23">
        <f>'2.2.7'!D70+'2.3.7'!D70</f>
        <v>5</v>
      </c>
      <c r="E70" s="23">
        <f>'2.2.7'!E70+'2.3.7'!E70</f>
        <v>5</v>
      </c>
      <c r="F70" s="23">
        <f>'2.2.7'!F70+'2.3.7'!F70</f>
        <v>5</v>
      </c>
      <c r="G70" s="34">
        <f>'2.2.7'!G70+'2.3.7'!G70</f>
        <v>4</v>
      </c>
      <c r="H70" s="155">
        <f>IF('AW Schulen'!$D118=0,"x",C70/'AW Schulen'!$D118)</f>
        <v>6.6666666666666666E-2</v>
      </c>
      <c r="I70" s="155">
        <f>IF('AW Schulen'!$G118=0,"x",D70/'AW Schulen'!$G118)</f>
        <v>8.3333333333333329E-2</v>
      </c>
      <c r="J70" s="155">
        <f>IF('AW Schulen'!$J118=0,"x",E70/'AW Schulen'!$J118)</f>
        <v>8.4745762711864403E-2</v>
      </c>
      <c r="K70" s="155">
        <f>IF('AW Schulen'!$M118=0,"x",F70/'AW Schulen'!$M118)</f>
        <v>7.9365079365079361E-2</v>
      </c>
      <c r="L70" s="156">
        <f>IF('AW Schulen'!$P118=0,"x",G70/'AW Schulen'!$P118)</f>
        <v>6.7796610169491525E-2</v>
      </c>
    </row>
    <row r="71" spans="1:12" ht="9" customHeight="1">
      <c r="A71" s="21" t="s">
        <v>85</v>
      </c>
      <c r="B71" s="120"/>
      <c r="C71" s="23">
        <f>'2.2.7'!C71+'2.3.7'!C71</f>
        <v>20</v>
      </c>
      <c r="D71" s="23">
        <f>'2.2.7'!D71+'2.3.7'!D71</f>
        <v>16</v>
      </c>
      <c r="E71" s="23">
        <f>'2.2.7'!E71+'2.3.7'!E71</f>
        <v>20</v>
      </c>
      <c r="F71" s="23">
        <f>'2.2.7'!F71+'2.3.7'!F71</f>
        <v>21</v>
      </c>
      <c r="G71" s="34">
        <f>'2.2.7'!G71+'2.3.7'!G71</f>
        <v>21</v>
      </c>
      <c r="H71" s="155">
        <f>IF('AW Schulen'!$D119=0,"x",C71/'AW Schulen'!$D119)</f>
        <v>0.2247191011235955</v>
      </c>
      <c r="I71" s="155">
        <f>IF('AW Schulen'!$G119=0,"x",D71/'AW Schulen'!$G119)</f>
        <v>0.1951219512195122</v>
      </c>
      <c r="J71" s="155">
        <f>IF('AW Schulen'!$J119=0,"x",E71/'AW Schulen'!$J119)</f>
        <v>0.25</v>
      </c>
      <c r="K71" s="155">
        <f>IF('AW Schulen'!$M119=0,"x",F71/'AW Schulen'!$M119)</f>
        <v>0.25925925925925924</v>
      </c>
      <c r="L71" s="156">
        <f>IF('AW Schulen'!$P119=0,"x",G71/'AW Schulen'!$P119)</f>
        <v>0.26923076923076922</v>
      </c>
    </row>
    <row r="72" spans="1:12" ht="9" customHeight="1">
      <c r="A72" s="21" t="s">
        <v>86</v>
      </c>
      <c r="B72" s="120"/>
      <c r="C72" s="23">
        <f>'2.2.7'!C72+'2.3.7'!C72</f>
        <v>80</v>
      </c>
      <c r="D72" s="23">
        <f>'2.2.7'!D72+'2.3.7'!D72</f>
        <v>81</v>
      </c>
      <c r="E72" s="23">
        <f>'2.2.7'!E72+'2.3.7'!E72</f>
        <v>82</v>
      </c>
      <c r="F72" s="23">
        <f>'2.2.7'!F72+'2.3.7'!F72</f>
        <v>82</v>
      </c>
      <c r="G72" s="34">
        <f>'2.2.7'!G72+'2.3.7'!G72</f>
        <v>83</v>
      </c>
      <c r="H72" s="183">
        <v>0</v>
      </c>
      <c r="I72" s="183">
        <v>0</v>
      </c>
      <c r="J72" s="183">
        <v>0</v>
      </c>
      <c r="K72" s="183">
        <v>0</v>
      </c>
      <c r="L72" s="197">
        <v>0</v>
      </c>
    </row>
    <row r="73" spans="1:12" ht="9" customHeight="1">
      <c r="A73" s="21" t="s">
        <v>223</v>
      </c>
      <c r="B73" s="120"/>
      <c r="C73" s="23">
        <f>'2.2.7'!C73+'2.3.7'!C73</f>
        <v>2</v>
      </c>
      <c r="D73" s="23">
        <f>'2.2.7'!D73+'2.3.7'!D73</f>
        <v>3</v>
      </c>
      <c r="E73" s="23">
        <f>'2.2.7'!E73+'2.3.7'!E73</f>
        <v>3</v>
      </c>
      <c r="F73" s="23">
        <f>'2.2.7'!F73+'2.3.7'!F73</f>
        <v>2</v>
      </c>
      <c r="G73" s="34">
        <f>'2.2.7'!G73+'2.3.7'!G73</f>
        <v>1</v>
      </c>
      <c r="H73" s="155">
        <f>IF('AW Schulen'!$D121=0,"x",C73/'AW Schulen'!$D121)</f>
        <v>9.5238095238095233E-2</v>
      </c>
      <c r="I73" s="155">
        <f>IF('AW Schulen'!$G121=0,"x",D73/'AW Schulen'!$G121)</f>
        <v>0.13636363636363635</v>
      </c>
      <c r="J73" s="155">
        <f>IF('AW Schulen'!$J121=0,"x",E73/'AW Schulen'!$J121)</f>
        <v>0.14285714285714285</v>
      </c>
      <c r="K73" s="155">
        <f>IF('AW Schulen'!$M121=0,"x",F73/'AW Schulen'!$M121)</f>
        <v>9.5238095238095233E-2</v>
      </c>
      <c r="L73" s="156">
        <f>IF('AW Schulen'!$P121=0,"x",G73/'AW Schulen'!$P121)</f>
        <v>4.7619047619047616E-2</v>
      </c>
    </row>
    <row r="74" spans="1:12" ht="9" customHeight="1">
      <c r="A74" s="21" t="s">
        <v>88</v>
      </c>
      <c r="B74" s="120"/>
      <c r="C74" s="23">
        <f>'2.2.7'!C74+'2.3.7'!C74</f>
        <v>34</v>
      </c>
      <c r="D74" s="23">
        <f>'2.2.7'!D74+'2.3.7'!D74</f>
        <v>39</v>
      </c>
      <c r="E74" s="23">
        <f>'2.2.7'!E74+'2.3.7'!E74</f>
        <v>23</v>
      </c>
      <c r="F74" s="23">
        <f>'2.2.7'!F74+'2.3.7'!F74</f>
        <v>5</v>
      </c>
      <c r="G74" s="34">
        <f>'2.2.7'!G74+'2.3.7'!G74</f>
        <v>4</v>
      </c>
      <c r="H74" s="183">
        <v>0</v>
      </c>
      <c r="I74" s="183">
        <v>0</v>
      </c>
      <c r="J74" s="183">
        <v>0</v>
      </c>
      <c r="K74" s="183">
        <v>0</v>
      </c>
      <c r="L74" s="197">
        <v>0</v>
      </c>
    </row>
    <row r="75" spans="1:12" ht="9" customHeight="1">
      <c r="A75" s="21" t="s">
        <v>89</v>
      </c>
      <c r="B75" s="120"/>
      <c r="C75" s="23">
        <f>'2.2.7'!C75+'2.3.7'!C75</f>
        <v>0</v>
      </c>
      <c r="D75" s="23">
        <f>'2.2.7'!D75+'2.3.7'!D75</f>
        <v>1</v>
      </c>
      <c r="E75" s="23">
        <f>'2.2.7'!E75+'2.3.7'!E75</f>
        <v>2</v>
      </c>
      <c r="F75" s="23">
        <f>'2.2.7'!F75+'2.3.7'!F75</f>
        <v>2</v>
      </c>
      <c r="G75" s="34">
        <f>'2.2.7'!G75+'2.3.7'!G75</f>
        <v>2</v>
      </c>
      <c r="H75" s="155">
        <f>IF('AW Schulen'!$D123=0,"x",C75/'AW Schulen'!$D123)</f>
        <v>0</v>
      </c>
      <c r="I75" s="155">
        <f>IF('AW Schulen'!$G123=0,"x",D75/'AW Schulen'!$G123)</f>
        <v>3.5335689045936395E-3</v>
      </c>
      <c r="J75" s="155">
        <f>IF('AW Schulen'!$J123=0,"x",E75/'AW Schulen'!$J123)</f>
        <v>6.4308681672025723E-3</v>
      </c>
      <c r="K75" s="155">
        <f>IF('AW Schulen'!$M123=0,"x",F75/'AW Schulen'!$M123)</f>
        <v>6.269592476489028E-3</v>
      </c>
      <c r="L75" s="156">
        <f>IF('AW Schulen'!$P123=0,"x",G75/'AW Schulen'!$P123)</f>
        <v>6.024096385542169E-3</v>
      </c>
    </row>
    <row r="76" spans="1:12" ht="9" customHeight="1">
      <c r="A76" s="21" t="s">
        <v>90</v>
      </c>
      <c r="B76" s="120"/>
      <c r="C76" s="23">
        <f>'2.2.7'!C76+'2.3.7'!C76</f>
        <v>0</v>
      </c>
      <c r="D76" s="23">
        <f>'2.2.7'!D76+'2.3.7'!D76</f>
        <v>0</v>
      </c>
      <c r="E76" s="23">
        <f>'2.2.7'!E76+'2.3.7'!E76</f>
        <v>0</v>
      </c>
      <c r="F76" s="23">
        <f>'2.2.7'!F76+'2.3.7'!F76</f>
        <v>0</v>
      </c>
      <c r="G76" s="34">
        <f>'2.2.7'!G76+'2.3.7'!G76</f>
        <v>0</v>
      </c>
      <c r="H76" s="155">
        <f>IF('AW Schulen'!$D124=0,"x",C76/'AW Schulen'!$D124)</f>
        <v>0</v>
      </c>
      <c r="I76" s="155">
        <f>IF('AW Schulen'!$G124=0,"x",D76/'AW Schulen'!$G124)</f>
        <v>0</v>
      </c>
      <c r="J76" s="155">
        <f>IF('AW Schulen'!$J124=0,"x",E76/'AW Schulen'!$J124)</f>
        <v>0</v>
      </c>
      <c r="K76" s="155">
        <f>IF('AW Schulen'!$M124=0,"x",F76/'AW Schulen'!$M124)</f>
        <v>0</v>
      </c>
      <c r="L76" s="156">
        <f>IF('AW Schulen'!$P124=0,"x",G76/'AW Schulen'!$P124)</f>
        <v>0</v>
      </c>
    </row>
    <row r="77" spans="1:12" ht="9" customHeight="1">
      <c r="A77" s="21" t="s">
        <v>91</v>
      </c>
      <c r="B77" s="120"/>
      <c r="C77" s="23">
        <f>'2.2.7'!C77+'2.3.7'!C77</f>
        <v>13</v>
      </c>
      <c r="D77" s="23">
        <f>'2.2.7'!D77+'2.3.7'!D77</f>
        <v>13</v>
      </c>
      <c r="E77" s="23">
        <f>'2.2.7'!E77+'2.3.7'!E77</f>
        <v>50</v>
      </c>
      <c r="F77" s="23">
        <f>'2.2.7'!F77+'2.3.7'!F77</f>
        <v>46</v>
      </c>
      <c r="G77" s="34">
        <f>'2.2.7'!G77+'2.3.7'!G77</f>
        <v>46</v>
      </c>
      <c r="H77" s="155">
        <f>IF('AW Schulen'!$D125=0,"x",C77/'AW Schulen'!$D125)</f>
        <v>0.72222222222222221</v>
      </c>
      <c r="I77" s="155">
        <f>IF('AW Schulen'!$G125=0,"x",D77/'AW Schulen'!$G125)</f>
        <v>0.72222222222222221</v>
      </c>
      <c r="J77" s="155">
        <f>IF('AW Schulen'!$J125=0,"x",E77/'AW Schulen'!$J125)</f>
        <v>0.76923076923076927</v>
      </c>
      <c r="K77" s="155">
        <f>IF('AW Schulen'!$M125=0,"x",F77/'AW Schulen'!$M125)</f>
        <v>0.75409836065573765</v>
      </c>
      <c r="L77" s="156">
        <f>IF('AW Schulen'!$P125=0,"x",G77/'AW Schulen'!$P125)</f>
        <v>0.75409836065573765</v>
      </c>
    </row>
    <row r="78" spans="1:12" ht="9" customHeight="1">
      <c r="A78" s="21" t="s">
        <v>92</v>
      </c>
      <c r="B78" s="120"/>
      <c r="C78" s="193">
        <f>'2.2.7'!C78+'2.3.7'!C78</f>
        <v>0</v>
      </c>
      <c r="D78" s="193">
        <f>'2.2.7'!D78+'2.3.7'!D78</f>
        <v>0</v>
      </c>
      <c r="E78" s="193">
        <f>'2.2.7'!E78+'2.3.7'!E78</f>
        <v>0</v>
      </c>
      <c r="F78" s="193">
        <f>'2.2.7'!F78+'2.3.7'!F78</f>
        <v>0</v>
      </c>
      <c r="G78" s="194">
        <f>'2.2.7'!G78+'2.3.7'!G78</f>
        <v>0</v>
      </c>
      <c r="H78" s="155" t="str">
        <f>IF('AW Schulen'!$D126=0,"x",C78/'AW Schulen'!$D126)</f>
        <v>x</v>
      </c>
      <c r="I78" s="155" t="str">
        <f>IF('AW Schulen'!$G126=0,"x",D78/'AW Schulen'!$G126)</f>
        <v>x</v>
      </c>
      <c r="J78" s="155" t="str">
        <f>IF('AW Schulen'!$J126=0,"x",E78/'AW Schulen'!$J126)</f>
        <v>x</v>
      </c>
      <c r="K78" s="155" t="str">
        <f>IF('AW Schulen'!$M126=0,"x",F78/'AW Schulen'!$M126)</f>
        <v>x</v>
      </c>
      <c r="L78" s="156" t="str">
        <f>IF('AW Schulen'!$P126=0,"x",G78/'AW Schulen'!$P126)</f>
        <v>x</v>
      </c>
    </row>
    <row r="79" spans="1:12" ht="9" customHeight="1">
      <c r="A79" s="21" t="s">
        <v>93</v>
      </c>
      <c r="B79" s="120"/>
      <c r="C79" s="23">
        <f>'2.2.7'!C79+'2.3.7'!C79</f>
        <v>2</v>
      </c>
      <c r="D79" s="23">
        <f>'2.2.7'!D79+'2.3.7'!D79</f>
        <v>2</v>
      </c>
      <c r="E79" s="23">
        <f>'2.2.7'!E79+'2.3.7'!E79</f>
        <v>5</v>
      </c>
      <c r="F79" s="23">
        <f>'2.2.7'!F79+'2.3.7'!F79</f>
        <v>8</v>
      </c>
      <c r="G79" s="34">
        <f>'2.2.7'!G79+'2.3.7'!G79</f>
        <v>10</v>
      </c>
      <c r="H79" s="183">
        <v>0</v>
      </c>
      <c r="I79" s="183">
        <v>0</v>
      </c>
      <c r="J79" s="183">
        <v>0</v>
      </c>
      <c r="K79" s="183">
        <v>0</v>
      </c>
      <c r="L79" s="197">
        <v>0</v>
      </c>
    </row>
    <row r="80" spans="1:12" ht="9" customHeight="1">
      <c r="A80" s="21" t="s">
        <v>226</v>
      </c>
      <c r="B80" s="120"/>
      <c r="C80" s="23">
        <f>'2.2.7'!C80+'2.3.7'!C80</f>
        <v>120</v>
      </c>
      <c r="D80" s="23">
        <f>'2.2.7'!D80+'2.3.7'!D80</f>
        <v>131</v>
      </c>
      <c r="E80" s="23">
        <f>'2.2.7'!E80+'2.3.7'!E80</f>
        <v>169</v>
      </c>
      <c r="F80" s="23">
        <f>'2.2.7'!F80+'2.3.7'!F80</f>
        <v>227</v>
      </c>
      <c r="G80" s="34">
        <f>'2.2.7'!G80+'2.3.7'!G80</f>
        <v>255</v>
      </c>
      <c r="H80" s="155">
        <f>IF('AW Schulen'!$D128=0,"x",C80/'AW Schulen'!$D128)</f>
        <v>0.63829787234042556</v>
      </c>
      <c r="I80" s="155">
        <f>IF('AW Schulen'!$G128=0,"x",D80/'AW Schulen'!$G128)</f>
        <v>0.65174129353233834</v>
      </c>
      <c r="J80" s="155">
        <f>IF('AW Schulen'!$J128=0,"x",E80/'AW Schulen'!$J128)</f>
        <v>0.67600000000000005</v>
      </c>
      <c r="K80" s="155">
        <f>IF('AW Schulen'!$M128=0,"x",F80/'AW Schulen'!$M128)</f>
        <v>0.7346278317152104</v>
      </c>
      <c r="L80" s="156">
        <f>IF('AW Schulen'!$P128=0,"x",G80/'AW Schulen'!$P128)</f>
        <v>0.72443181818181823</v>
      </c>
    </row>
    <row r="81" spans="1:12" ht="9" customHeight="1">
      <c r="A81" s="21" t="s">
        <v>95</v>
      </c>
      <c r="B81" s="120"/>
      <c r="C81" s="23">
        <f>'2.2.7'!C81+'2.3.7'!C81</f>
        <v>7</v>
      </c>
      <c r="D81" s="23">
        <f>'2.2.7'!D81+'2.3.7'!D81</f>
        <v>9</v>
      </c>
      <c r="E81" s="23">
        <f>'2.2.7'!E81+'2.3.7'!E81</f>
        <v>10</v>
      </c>
      <c r="F81" s="23">
        <f>'2.2.7'!F81+'2.3.7'!F81</f>
        <v>15</v>
      </c>
      <c r="G81" s="34">
        <f>'2.2.7'!G81+'2.3.7'!G81</f>
        <v>16</v>
      </c>
      <c r="H81" s="155">
        <f>IF('AW Schulen'!$D129=0,"x",C81/'AW Schulen'!$D129)</f>
        <v>0.23333333333333334</v>
      </c>
      <c r="I81" s="155">
        <f>IF('AW Schulen'!$G129=0,"x",D81/'AW Schulen'!$G129)</f>
        <v>0.23076923076923078</v>
      </c>
      <c r="J81" s="155">
        <f>IF('AW Schulen'!$J129=0,"x",E81/'AW Schulen'!$J129)</f>
        <v>0.19230769230769232</v>
      </c>
      <c r="K81" s="155">
        <f>IF('AW Schulen'!$M129=0,"x",F81/'AW Schulen'!$M129)</f>
        <v>0.25423728813559321</v>
      </c>
      <c r="L81" s="156">
        <f>IF('AW Schulen'!$P129=0,"x",G81/'AW Schulen'!$P129)</f>
        <v>0.2318840579710145</v>
      </c>
    </row>
    <row r="82" spans="1:12" ht="9" customHeight="1">
      <c r="A82" s="24" t="s">
        <v>96</v>
      </c>
      <c r="B82" s="121"/>
      <c r="C82" s="26">
        <f>'2.2.7'!C82+'2.3.7'!C82</f>
        <v>327</v>
      </c>
      <c r="D82" s="26">
        <f>'2.2.7'!D82+'2.3.7'!D82</f>
        <v>384</v>
      </c>
      <c r="E82" s="26">
        <f>'2.2.7'!E82+'2.3.7'!E82</f>
        <v>474</v>
      </c>
      <c r="F82" s="26">
        <f>'2.2.7'!F82+'2.3.7'!F82</f>
        <v>547</v>
      </c>
      <c r="G82" s="47">
        <f>'2.2.7'!G82+'2.3.7'!G82</f>
        <v>577</v>
      </c>
      <c r="H82" s="157">
        <f>IF('AW Schulen'!$D130=0,"x",C82/'AW Schulen'!$D130)</f>
        <v>0.28912466843501328</v>
      </c>
      <c r="I82" s="157">
        <f>IF('AW Schulen'!$G130=0,"x",D82/'AW Schulen'!$G130)</f>
        <v>0.28486646884272998</v>
      </c>
      <c r="J82" s="157">
        <f>IF('AW Schulen'!$J130=0,"x",E82/'AW Schulen'!$J130)</f>
        <v>0.28264758497316639</v>
      </c>
      <c r="K82" s="157">
        <f>IF('AW Schulen'!$M130=0,"x",F82/'AW Schulen'!$M130)</f>
        <v>0.28972457627118642</v>
      </c>
      <c r="L82" s="158">
        <f>IF('AW Schulen'!$P130=0,"x",G82/'AW Schulen'!$P130)</f>
        <v>0.28692192938836397</v>
      </c>
    </row>
    <row r="83" spans="1:12" ht="18.75" customHeight="1">
      <c r="A83" s="396" t="s">
        <v>312</v>
      </c>
      <c r="B83" s="396"/>
      <c r="C83" s="396"/>
      <c r="D83" s="396"/>
      <c r="E83" s="396"/>
      <c r="F83" s="396"/>
      <c r="G83" s="396"/>
      <c r="H83" s="396"/>
      <c r="I83" s="396"/>
      <c r="J83" s="396"/>
      <c r="K83" s="396"/>
      <c r="L83" s="396"/>
    </row>
    <row r="84" spans="1:12" ht="10.15" customHeight="1">
      <c r="A84" s="400" t="s">
        <v>184</v>
      </c>
      <c r="B84" s="400"/>
      <c r="C84" s="400"/>
      <c r="D84" s="400"/>
      <c r="E84" s="400"/>
      <c r="F84" s="400"/>
      <c r="G84" s="400"/>
      <c r="H84" s="400"/>
      <c r="I84" s="286"/>
      <c r="J84" s="286"/>
      <c r="K84" s="316"/>
      <c r="L84" s="343"/>
    </row>
    <row r="85" spans="1:12" ht="18.75" customHeight="1">
      <c r="A85" s="381" t="s">
        <v>200</v>
      </c>
      <c r="B85" s="381"/>
      <c r="C85" s="381"/>
      <c r="D85" s="381"/>
      <c r="E85" s="381"/>
      <c r="F85" s="381"/>
      <c r="G85" s="381"/>
      <c r="H85" s="381"/>
      <c r="I85" s="381"/>
      <c r="J85" s="381"/>
      <c r="K85" s="394"/>
      <c r="L85" s="394"/>
    </row>
    <row r="86" spans="1:12" ht="17.25" customHeight="1">
      <c r="A86" s="381" t="s">
        <v>273</v>
      </c>
      <c r="B86" s="381"/>
      <c r="C86" s="381"/>
      <c r="D86" s="381"/>
      <c r="E86" s="381"/>
      <c r="F86" s="381"/>
      <c r="G86" s="381"/>
      <c r="H86" s="381"/>
      <c r="I86" s="381"/>
      <c r="J86" s="381"/>
      <c r="K86" s="394"/>
      <c r="L86" s="394"/>
    </row>
    <row r="87" spans="1:12" ht="10.5" customHeight="1">
      <c r="A87" s="306" t="s">
        <v>222</v>
      </c>
      <c r="B87" s="269"/>
      <c r="C87" s="269"/>
      <c r="D87" s="269"/>
      <c r="E87" s="269"/>
      <c r="F87" s="269"/>
      <c r="G87" s="269"/>
      <c r="H87" s="269"/>
      <c r="I87" s="282"/>
      <c r="J87" s="282"/>
      <c r="K87" s="328"/>
      <c r="L87" s="328"/>
    </row>
    <row r="88" spans="1:12" ht="10.15" customHeight="1">
      <c r="A88" s="400" t="s">
        <v>225</v>
      </c>
      <c r="B88" s="400"/>
      <c r="C88" s="400"/>
      <c r="D88" s="400"/>
      <c r="E88" s="400"/>
      <c r="F88" s="400"/>
      <c r="G88" s="400"/>
      <c r="H88" s="400"/>
      <c r="I88" s="286"/>
      <c r="J88" s="286"/>
      <c r="K88" s="316"/>
      <c r="L88" s="343"/>
    </row>
    <row r="89" spans="1:12" ht="10.5" customHeight="1">
      <c r="A89" s="286" t="s">
        <v>101</v>
      </c>
    </row>
  </sheetData>
  <mergeCells count="12">
    <mergeCell ref="A1:L1"/>
    <mergeCell ref="A88:H88"/>
    <mergeCell ref="A84:H84"/>
    <mergeCell ref="C9:G9"/>
    <mergeCell ref="H9:L9"/>
    <mergeCell ref="A11:L11"/>
    <mergeCell ref="A29:L29"/>
    <mergeCell ref="A47:L47"/>
    <mergeCell ref="A65:L65"/>
    <mergeCell ref="A85:L85"/>
    <mergeCell ref="A86:L86"/>
    <mergeCell ref="A83:L83"/>
  </mergeCells>
  <phoneticPr fontId="18" type="noConversion"/>
  <conditionalFormatting sqref="N25">
    <cfRule type="cellIs" dxfId="60"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view="pageBreakPreview" topLeftCell="A67" zoomScale="175" zoomScaleNormal="115" zoomScaleSheetLayoutView="175" workbookViewId="0">
      <selection activeCell="N23" sqref="N23:N24"/>
    </sheetView>
  </sheetViews>
  <sheetFormatPr baseColWidth="10" defaultColWidth="11.42578125" defaultRowHeight="9"/>
  <cols>
    <col min="1" max="1" width="9.42578125" style="2" customWidth="1"/>
    <col min="2" max="2" width="0.5703125" style="2" customWidth="1"/>
    <col min="3" max="12" width="6.7109375" style="2" customWidth="1"/>
    <col min="13" max="16384" width="11.42578125" style="2"/>
  </cols>
  <sheetData>
    <row r="1" spans="1:13" ht="13.5">
      <c r="A1" s="383">
        <f>'2.1.7'!A1:J1+1</f>
        <v>11</v>
      </c>
      <c r="B1" s="383"/>
      <c r="C1" s="383"/>
      <c r="D1" s="383"/>
      <c r="E1" s="383"/>
      <c r="F1" s="383"/>
      <c r="G1" s="383"/>
      <c r="H1" s="383"/>
      <c r="I1" s="383"/>
      <c r="J1" s="383"/>
      <c r="K1" s="383"/>
      <c r="L1" s="383"/>
      <c r="M1" s="58" t="s">
        <v>108</v>
      </c>
    </row>
    <row r="2" spans="1:13" ht="6" customHeight="1">
      <c r="C2" s="209"/>
      <c r="D2" s="209"/>
      <c r="E2" s="209"/>
      <c r="F2" s="209"/>
      <c r="G2" s="209"/>
    </row>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4.1" customHeight="1">
      <c r="A5" s="13" t="s">
        <v>17</v>
      </c>
      <c r="B5" s="39" t="s">
        <v>74</v>
      </c>
      <c r="C5" s="14"/>
      <c r="D5" s="14"/>
      <c r="E5" s="14"/>
      <c r="F5" s="14"/>
      <c r="G5" s="14"/>
    </row>
    <row r="6" spans="1:13" s="3" customFormat="1" ht="13.5" customHeight="1">
      <c r="A6" s="40" t="s">
        <v>231</v>
      </c>
      <c r="B6" s="39" t="s">
        <v>279</v>
      </c>
      <c r="C6" s="41"/>
      <c r="D6" s="41"/>
      <c r="E6" s="41"/>
      <c r="F6" s="41"/>
      <c r="G6" s="41"/>
    </row>
    <row r="7" spans="1:13" s="3" customFormat="1" ht="5.25" customHeight="1">
      <c r="A7" s="40"/>
      <c r="B7" s="39"/>
      <c r="C7" s="41"/>
      <c r="D7" s="41"/>
      <c r="E7" s="41"/>
      <c r="F7" s="41"/>
      <c r="G7" s="41"/>
    </row>
    <row r="8" spans="1:13" ht="6" customHeight="1"/>
    <row r="9" spans="1:13" ht="12" customHeight="1">
      <c r="A9" s="16" t="s">
        <v>77</v>
      </c>
      <c r="B9" s="27"/>
      <c r="C9" s="384" t="s">
        <v>78</v>
      </c>
      <c r="D9" s="385"/>
      <c r="E9" s="385"/>
      <c r="F9" s="385"/>
      <c r="G9" s="386"/>
      <c r="H9" s="384" t="s">
        <v>148</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1.25" customHeight="1">
      <c r="A11" s="388" t="s">
        <v>79</v>
      </c>
      <c r="B11" s="389"/>
      <c r="C11" s="389"/>
      <c r="D11" s="389"/>
      <c r="E11" s="389"/>
      <c r="F11" s="389"/>
      <c r="G11" s="389"/>
      <c r="H11" s="389"/>
      <c r="I11" s="389"/>
      <c r="J11" s="389"/>
      <c r="K11" s="389"/>
      <c r="L11" s="390"/>
    </row>
    <row r="12" spans="1:13" ht="9" customHeight="1">
      <c r="A12" s="21" t="s">
        <v>173</v>
      </c>
      <c r="B12" s="120"/>
      <c r="C12" s="292">
        <f t="shared" ref="C12:E27" si="0">SUM(C30,C48,C66)</f>
        <v>0</v>
      </c>
      <c r="D12" s="42">
        <f t="shared" si="0"/>
        <v>48</v>
      </c>
      <c r="E12" s="42">
        <f t="shared" si="0"/>
        <v>99</v>
      </c>
      <c r="F12" s="42">
        <f t="shared" ref="F12:G12" si="1">SUM(F30,F48,F66)</f>
        <v>127</v>
      </c>
      <c r="G12" s="44">
        <f t="shared" si="1"/>
        <v>137</v>
      </c>
      <c r="H12" s="182">
        <v>0</v>
      </c>
      <c r="I12" s="297">
        <f>IF('AW Schulen'!$G114=0,"x",(IF('AW Schulen'!$G132=0,"-",D12/'AW Schulen'!$G132)))</f>
        <v>0.44444444444444442</v>
      </c>
      <c r="J12" s="297">
        <f>IF('AW Schulen'!$J114=0,"x",(IF('AW Schulen'!$J132=0,"-",E12/'AW Schulen'!$J132)))</f>
        <v>0.5722543352601156</v>
      </c>
      <c r="K12" s="297">
        <f>IF('AW Schulen'!$M114=0,"x",(IF('AW Schulen'!$M132=0,"-",F12/'AW Schulen'!$M132)))</f>
        <v>0.58796296296296291</v>
      </c>
      <c r="L12" s="298">
        <f>IF('AW Schulen'!$P114=0,"x",(IF('AW Schulen'!$P132=0,"-",G12/'AW Schulen'!$P132)))</f>
        <v>0.5854700854700855</v>
      </c>
    </row>
    <row r="13" spans="1:13" ht="9" customHeight="1">
      <c r="A13" s="21" t="s">
        <v>81</v>
      </c>
      <c r="B13" s="120"/>
      <c r="C13" s="292">
        <f t="shared" si="0"/>
        <v>0</v>
      </c>
      <c r="D13" s="42">
        <f t="shared" si="0"/>
        <v>0</v>
      </c>
      <c r="E13" s="42">
        <f t="shared" si="0"/>
        <v>0</v>
      </c>
      <c r="F13" s="42" t="e">
        <f t="shared" ref="F13:G13" si="2">SUM(F31,F49,F67)</f>
        <v>#VALUE!</v>
      </c>
      <c r="G13" s="44">
        <f t="shared" si="2"/>
        <v>0</v>
      </c>
      <c r="H13" s="182">
        <v>0</v>
      </c>
      <c r="I13" s="297" t="str">
        <f>IF('AW Schulen'!$G115=0,"x",(IF('AW Schulen'!$G133=0,"-",D13/'AW Schulen'!$G133)))</f>
        <v>-</v>
      </c>
      <c r="J13" s="297" t="str">
        <f>IF('AW Schulen'!$J115=0,"x",(IF('AW Schulen'!$J133=0,"-",E13/'AW Schulen'!$J133)))</f>
        <v>-</v>
      </c>
      <c r="K13" s="297" t="str">
        <f>IF('AW Schulen'!$M115=0,"x",(IF('AW Schulen'!$M133=0,"-",F13/'AW Schulen'!$M133)))</f>
        <v>-</v>
      </c>
      <c r="L13" s="298" t="str">
        <f>IF('AW Schulen'!$P115=0,"x",(IF('AW Schulen'!$P133=0,"-",G13/'AW Schulen'!$P133)))</f>
        <v>-</v>
      </c>
    </row>
    <row r="14" spans="1:13" ht="9" customHeight="1">
      <c r="A14" s="21" t="s">
        <v>82</v>
      </c>
      <c r="B14" s="120"/>
      <c r="C14" s="292">
        <f t="shared" si="0"/>
        <v>0</v>
      </c>
      <c r="D14" s="42">
        <f t="shared" si="0"/>
        <v>102</v>
      </c>
      <c r="E14" s="42">
        <f t="shared" si="0"/>
        <v>33</v>
      </c>
      <c r="F14" s="42">
        <f t="shared" ref="F14:G14" si="3">SUM(F32,F50,F68)</f>
        <v>43</v>
      </c>
      <c r="G14" s="44">
        <f t="shared" si="3"/>
        <v>47</v>
      </c>
      <c r="H14" s="182">
        <v>0</v>
      </c>
      <c r="I14" s="297">
        <f>IF('AW Schulen'!$G116=0,"x",(IF('AW Schulen'!$G134=0,"-",D14/'AW Schulen'!$G134)))</f>
        <v>0.69387755102040816</v>
      </c>
      <c r="J14" s="297">
        <f>IF('AW Schulen'!$J116=0,"x",(IF('AW Schulen'!$J134=0,"-",E14/'AW Schulen'!$J134)))</f>
        <v>0.86842105263157898</v>
      </c>
      <c r="K14" s="297">
        <f>IF('AW Schulen'!$M116=0,"x",(IF('AW Schulen'!$M134=0,"-",F14/'AW Schulen'!$M134)))</f>
        <v>1</v>
      </c>
      <c r="L14" s="298">
        <f>IF('AW Schulen'!$P116=0,"x",(IF('AW Schulen'!$P134=0,"-",G14/'AW Schulen'!$P134)))</f>
        <v>1</v>
      </c>
    </row>
    <row r="15" spans="1:13" ht="9" customHeight="1">
      <c r="A15" s="21" t="s">
        <v>83</v>
      </c>
      <c r="B15" s="120"/>
      <c r="C15" s="292">
        <f t="shared" si="0"/>
        <v>0</v>
      </c>
      <c r="D15" s="42">
        <f t="shared" si="0"/>
        <v>1</v>
      </c>
      <c r="E15" s="42">
        <f t="shared" si="0"/>
        <v>1</v>
      </c>
      <c r="F15" s="42">
        <f t="shared" ref="F15:G15" si="4">SUM(F33,F51,F69)</f>
        <v>2</v>
      </c>
      <c r="G15" s="44">
        <f t="shared" si="4"/>
        <v>2</v>
      </c>
      <c r="H15" s="182">
        <v>0</v>
      </c>
      <c r="I15" s="297">
        <f>IF('AW Schulen'!$G117=0,"x",(IF('AW Schulen'!$G135=0,"-",D15/'AW Schulen'!$G135)))</f>
        <v>0.5</v>
      </c>
      <c r="J15" s="297">
        <f>IF('AW Schulen'!$J117=0,"x",(IF('AW Schulen'!$J135=0,"-",E15/'AW Schulen'!$J135)))</f>
        <v>0.5</v>
      </c>
      <c r="K15" s="297">
        <f>IF('AW Schulen'!$M117=0,"x",(IF('AW Schulen'!$M135=0,"-",F15/'AW Schulen'!$M135)))</f>
        <v>0.66666666666666663</v>
      </c>
      <c r="L15" s="298">
        <f>IF('AW Schulen'!$P117=0,"x",(IF('AW Schulen'!$P135=0,"-",G15/'AW Schulen'!$P135)))</f>
        <v>0.66666666666666663</v>
      </c>
    </row>
    <row r="16" spans="1:13" ht="9" customHeight="1">
      <c r="A16" s="21" t="s">
        <v>84</v>
      </c>
      <c r="B16" s="120"/>
      <c r="C16" s="292">
        <f t="shared" si="0"/>
        <v>0</v>
      </c>
      <c r="D16" s="42">
        <f t="shared" si="0"/>
        <v>0</v>
      </c>
      <c r="E16" s="42">
        <f t="shared" si="0"/>
        <v>0</v>
      </c>
      <c r="F16" s="42">
        <f t="shared" ref="F16:G16" si="5">SUM(F34,F52,F70)</f>
        <v>0</v>
      </c>
      <c r="G16" s="44">
        <f t="shared" si="5"/>
        <v>0</v>
      </c>
      <c r="H16" s="182">
        <v>0</v>
      </c>
      <c r="I16" s="297" t="str">
        <f>IF('AW Schulen'!$G118=0,"x",(IF('AW Schulen'!$G136=0,"-",D16/'AW Schulen'!$G136)))</f>
        <v>-</v>
      </c>
      <c r="J16" s="297" t="str">
        <f>IF('AW Schulen'!$J118=0,"x",(IF('AW Schulen'!$J136=0,"-",E16/'AW Schulen'!$J136)))</f>
        <v>-</v>
      </c>
      <c r="K16" s="297" t="str">
        <f>IF('AW Schulen'!$M118=0,"x",(IF('AW Schulen'!$M136=0,"-",F16/'AW Schulen'!$M136)))</f>
        <v>-</v>
      </c>
      <c r="L16" s="298" t="str">
        <f>IF('AW Schulen'!$P118=0,"x",(IF('AW Schulen'!$P136=0,"-",G16/'AW Schulen'!$P136)))</f>
        <v>-</v>
      </c>
    </row>
    <row r="17" spans="1:12" ht="9" customHeight="1">
      <c r="A17" s="21" t="s">
        <v>85</v>
      </c>
      <c r="B17" s="120"/>
      <c r="C17" s="292">
        <f t="shared" si="0"/>
        <v>0</v>
      </c>
      <c r="D17" s="42">
        <f t="shared" si="0"/>
        <v>16</v>
      </c>
      <c r="E17" s="42">
        <f t="shared" si="0"/>
        <v>18</v>
      </c>
      <c r="F17" s="42">
        <f t="shared" ref="F17:G17" si="6">SUM(F35,F53,F71)</f>
        <v>19</v>
      </c>
      <c r="G17" s="44">
        <f t="shared" si="6"/>
        <v>19</v>
      </c>
      <c r="H17" s="182">
        <v>0</v>
      </c>
      <c r="I17" s="297">
        <f>IF('AW Schulen'!$G119=0,"x",(IF('AW Schulen'!$G137=0,"-",D17/'AW Schulen'!$G137)))</f>
        <v>0.84210526315789469</v>
      </c>
      <c r="J17" s="297">
        <f>IF('AW Schulen'!$J119=0,"x",(IF('AW Schulen'!$J137=0,"-",E17/'AW Schulen'!$J137)))</f>
        <v>0.72</v>
      </c>
      <c r="K17" s="297">
        <f>IF('AW Schulen'!$M119=0,"x",(IF('AW Schulen'!$M137=0,"-",F17/'AW Schulen'!$M137)))</f>
        <v>0.76</v>
      </c>
      <c r="L17" s="298">
        <f>IF('AW Schulen'!$P119=0,"x",(IF('AW Schulen'!$P137=0,"-",G17/'AW Schulen'!$P137)))</f>
        <v>1</v>
      </c>
    </row>
    <row r="18" spans="1:12" ht="9" customHeight="1">
      <c r="A18" s="21" t="s">
        <v>86</v>
      </c>
      <c r="B18" s="120"/>
      <c r="C18" s="292">
        <f t="shared" si="0"/>
        <v>0</v>
      </c>
      <c r="D18" s="42">
        <f t="shared" si="0"/>
        <v>11</v>
      </c>
      <c r="E18" s="42">
        <f t="shared" si="0"/>
        <v>12</v>
      </c>
      <c r="F18" s="42">
        <f t="shared" ref="F18:G18" si="7">SUM(F36,F54,F72)</f>
        <v>12</v>
      </c>
      <c r="G18" s="44">
        <f t="shared" si="7"/>
        <v>14</v>
      </c>
      <c r="H18" s="182">
        <v>0</v>
      </c>
      <c r="I18" s="182">
        <v>0</v>
      </c>
      <c r="J18" s="182">
        <v>0</v>
      </c>
      <c r="K18" s="182">
        <v>0</v>
      </c>
      <c r="L18" s="196">
        <v>0</v>
      </c>
    </row>
    <row r="19" spans="1:12" ht="9" customHeight="1">
      <c r="A19" s="21" t="s">
        <v>223</v>
      </c>
      <c r="B19" s="120"/>
      <c r="C19" s="292">
        <f t="shared" si="0"/>
        <v>0</v>
      </c>
      <c r="D19" s="42">
        <f t="shared" si="0"/>
        <v>0</v>
      </c>
      <c r="E19" s="42">
        <f t="shared" si="0"/>
        <v>0</v>
      </c>
      <c r="F19" s="42">
        <f t="shared" ref="F19:G19" si="8">SUM(F37,F55,F73)</f>
        <v>0</v>
      </c>
      <c r="G19" s="44">
        <f t="shared" si="8"/>
        <v>0</v>
      </c>
      <c r="H19" s="182">
        <v>0</v>
      </c>
      <c r="I19" s="297" t="str">
        <f>IF('AW Schulen'!$G121=0,"x",(IF('AW Schulen'!$G139=0,"-",D19/'AW Schulen'!$G139)))</f>
        <v>-</v>
      </c>
      <c r="J19" s="297" t="str">
        <f>IF('AW Schulen'!$J121=0,"x",(IF('AW Schulen'!$J139=0,"-",E19/'AW Schulen'!$J139)))</f>
        <v>-</v>
      </c>
      <c r="K19" s="297" t="str">
        <f>IF('AW Schulen'!$M121=0,"x",(IF('AW Schulen'!$M139=0,"-",F19/'AW Schulen'!$M139)))</f>
        <v>-</v>
      </c>
      <c r="L19" s="298" t="str">
        <f>IF('AW Schulen'!$P121=0,"x",(IF('AW Schulen'!$P139=0,"-",G19/'AW Schulen'!$P139)))</f>
        <v>-</v>
      </c>
    </row>
    <row r="20" spans="1:12" ht="9" customHeight="1">
      <c r="A20" s="21" t="s">
        <v>88</v>
      </c>
      <c r="B20" s="120"/>
      <c r="C20" s="292">
        <f t="shared" si="0"/>
        <v>0</v>
      </c>
      <c r="D20" s="42">
        <f t="shared" si="0"/>
        <v>1</v>
      </c>
      <c r="E20" s="42">
        <f t="shared" si="0"/>
        <v>1</v>
      </c>
      <c r="F20" s="42">
        <f t="shared" ref="F20:G20" si="9">SUM(F38,F56,F74)</f>
        <v>1</v>
      </c>
      <c r="G20" s="44">
        <f t="shared" si="9"/>
        <v>1</v>
      </c>
      <c r="H20" s="182">
        <v>0</v>
      </c>
      <c r="I20" s="182">
        <v>0</v>
      </c>
      <c r="J20" s="182">
        <v>0</v>
      </c>
      <c r="K20" s="182">
        <v>0</v>
      </c>
      <c r="L20" s="196">
        <v>0</v>
      </c>
    </row>
    <row r="21" spans="1:12" ht="9" customHeight="1">
      <c r="A21" s="21" t="s">
        <v>89</v>
      </c>
      <c r="B21" s="120"/>
      <c r="C21" s="292">
        <f t="shared" si="0"/>
        <v>0</v>
      </c>
      <c r="D21" s="42">
        <f t="shared" si="0"/>
        <v>2</v>
      </c>
      <c r="E21" s="42">
        <f t="shared" si="0"/>
        <v>5</v>
      </c>
      <c r="F21" s="42">
        <f t="shared" ref="F21:G21" si="10">SUM(F39,F57,F75)</f>
        <v>5</v>
      </c>
      <c r="G21" s="44">
        <f t="shared" si="10"/>
        <v>5</v>
      </c>
      <c r="H21" s="182">
        <v>0</v>
      </c>
      <c r="I21" s="297">
        <f>IF('AW Schulen'!$G123=0,"x",(IF('AW Schulen'!$G141=0,"-",D21/'AW Schulen'!$G141)))</f>
        <v>0.66666666666666663</v>
      </c>
      <c r="J21" s="297">
        <f>IF('AW Schulen'!$J123=0,"x",(IF('AW Schulen'!$J141=0,"-",E21/'AW Schulen'!$J141)))</f>
        <v>1</v>
      </c>
      <c r="K21" s="297">
        <f>IF('AW Schulen'!$M123=0,"x",(IF('AW Schulen'!$M141=0,"-",F21/'AW Schulen'!$M141)))</f>
        <v>1</v>
      </c>
      <c r="L21" s="298">
        <f>IF('AW Schulen'!$P123=0,"x",(IF('AW Schulen'!$P141=0,"-",G21/'AW Schulen'!$P141)))</f>
        <v>1</v>
      </c>
    </row>
    <row r="22" spans="1:12" ht="9" customHeight="1">
      <c r="A22" s="21" t="s">
        <v>90</v>
      </c>
      <c r="B22" s="120"/>
      <c r="C22" s="292">
        <f t="shared" si="0"/>
        <v>0</v>
      </c>
      <c r="D22" s="42">
        <f t="shared" si="0"/>
        <v>0</v>
      </c>
      <c r="E22" s="42">
        <f t="shared" si="0"/>
        <v>0</v>
      </c>
      <c r="F22" s="42">
        <f t="shared" ref="F22:G22" si="11">SUM(F40,F58,F76)</f>
        <v>0</v>
      </c>
      <c r="G22" s="44">
        <f t="shared" si="11"/>
        <v>0</v>
      </c>
      <c r="H22" s="182">
        <v>0</v>
      </c>
      <c r="I22" s="297" t="str">
        <f>IF('AW Schulen'!$G124=0,"x",(IF('AW Schulen'!$G142=0,"-",D22/'AW Schulen'!$G142)))</f>
        <v>-</v>
      </c>
      <c r="J22" s="297" t="str">
        <f>IF('AW Schulen'!$J124=0,"x",(IF('AW Schulen'!$J142=0,"-",E22/'AW Schulen'!$J142)))</f>
        <v>-</v>
      </c>
      <c r="K22" s="297" t="str">
        <f>IF('AW Schulen'!$M124=0,"x",(IF('AW Schulen'!$M142=0,"-",F22/'AW Schulen'!$M142)))</f>
        <v>-</v>
      </c>
      <c r="L22" s="298" t="str">
        <f>IF('AW Schulen'!$P124=0,"x",(IF('AW Schulen'!$P142=0,"-",G22/'AW Schulen'!$P142)))</f>
        <v>-</v>
      </c>
    </row>
    <row r="23" spans="1:12" ht="9" customHeight="1">
      <c r="A23" s="21" t="s">
        <v>91</v>
      </c>
      <c r="B23" s="120"/>
      <c r="C23" s="292">
        <f t="shared" si="0"/>
        <v>0</v>
      </c>
      <c r="D23" s="42">
        <f t="shared" si="0"/>
        <v>0</v>
      </c>
      <c r="E23" s="42">
        <f t="shared" si="0"/>
        <v>0</v>
      </c>
      <c r="F23" s="42">
        <f t="shared" ref="F23:G23" si="12">SUM(F41,F59,F77)</f>
        <v>0</v>
      </c>
      <c r="G23" s="44">
        <f t="shared" si="12"/>
        <v>0</v>
      </c>
      <c r="H23" s="182">
        <v>0</v>
      </c>
      <c r="I23" s="297" t="str">
        <f>IF('AW Schulen'!$G125=0,"x",(IF('AW Schulen'!$G143=0,"-",D23/'AW Schulen'!$G143)))</f>
        <v>-</v>
      </c>
      <c r="J23" s="297" t="str">
        <f>IF('AW Schulen'!$J125=0,"x",(IF('AW Schulen'!$J143=0,"-",E23/'AW Schulen'!$J143)))</f>
        <v>-</v>
      </c>
      <c r="K23" s="297" t="str">
        <f>IF('AW Schulen'!$M125=0,"x",(IF('AW Schulen'!$M143=0,"-",F23/'AW Schulen'!$M143)))</f>
        <v>-</v>
      </c>
      <c r="L23" s="298" t="str">
        <f>IF('AW Schulen'!$P125=0,"x",(IF('AW Schulen'!$P143=0,"-",G23/'AW Schulen'!$P143)))</f>
        <v>-</v>
      </c>
    </row>
    <row r="24" spans="1:12" ht="9" customHeight="1">
      <c r="A24" s="21" t="s">
        <v>92</v>
      </c>
      <c r="B24" s="120"/>
      <c r="C24" s="293">
        <f t="shared" si="0"/>
        <v>0</v>
      </c>
      <c r="D24" s="198">
        <f t="shared" si="0"/>
        <v>0</v>
      </c>
      <c r="E24" s="198">
        <f t="shared" si="0"/>
        <v>0</v>
      </c>
      <c r="F24" s="198">
        <f t="shared" ref="F24:G24" si="13">SUM(F42,F60,F78)</f>
        <v>0</v>
      </c>
      <c r="G24" s="199">
        <f t="shared" si="13"/>
        <v>0</v>
      </c>
      <c r="H24" s="182">
        <v>0</v>
      </c>
      <c r="I24" s="297" t="str">
        <f>IF('AW Schulen'!$G126=0,"x",(IF('AW Schulen'!$G144=0,"-",D24/'AW Schulen'!$G144)))</f>
        <v>x</v>
      </c>
      <c r="J24" s="297" t="str">
        <f>IF('AW Schulen'!$J126=0,"x",(IF('AW Schulen'!$J144=0,"-",E24/'AW Schulen'!$J144)))</f>
        <v>x</v>
      </c>
      <c r="K24" s="297" t="str">
        <f>IF('AW Schulen'!$M126=0,"x",(IF('AW Schulen'!$M144=0,"-",F24/'AW Schulen'!$M144)))</f>
        <v>x</v>
      </c>
      <c r="L24" s="298" t="str">
        <f>IF('AW Schulen'!$P126=0,"x",(IF('AW Schulen'!$P144=0,"-",G24/'AW Schulen'!$P144)))</f>
        <v>x</v>
      </c>
    </row>
    <row r="25" spans="1:12" ht="9" customHeight="1">
      <c r="A25" s="21" t="s">
        <v>93</v>
      </c>
      <c r="B25" s="120"/>
      <c r="C25" s="292">
        <f t="shared" si="0"/>
        <v>0</v>
      </c>
      <c r="D25" s="42">
        <f t="shared" si="0"/>
        <v>0</v>
      </c>
      <c r="E25" s="42">
        <f t="shared" si="0"/>
        <v>0</v>
      </c>
      <c r="F25" s="42">
        <f t="shared" ref="F25:G25" si="14">SUM(F43,F61,F79)</f>
        <v>0</v>
      </c>
      <c r="G25" s="44">
        <f t="shared" si="14"/>
        <v>0</v>
      </c>
      <c r="H25" s="182">
        <v>0</v>
      </c>
      <c r="I25" s="182">
        <v>0</v>
      </c>
      <c r="J25" s="182">
        <v>0</v>
      </c>
      <c r="K25" s="182">
        <v>0</v>
      </c>
      <c r="L25" s="196">
        <v>0</v>
      </c>
    </row>
    <row r="26" spans="1:12" ht="9" customHeight="1">
      <c r="A26" s="21" t="s">
        <v>226</v>
      </c>
      <c r="B26" s="120"/>
      <c r="C26" s="292">
        <f t="shared" si="0"/>
        <v>0</v>
      </c>
      <c r="D26" s="42">
        <f t="shared" si="0"/>
        <v>0</v>
      </c>
      <c r="E26" s="42">
        <f t="shared" si="0"/>
        <v>0</v>
      </c>
      <c r="F26" s="42">
        <f t="shared" ref="F26:G26" si="15">SUM(F44,F62,F80)</f>
        <v>0</v>
      </c>
      <c r="G26" s="44">
        <f t="shared" si="15"/>
        <v>0</v>
      </c>
      <c r="H26" s="182">
        <v>0</v>
      </c>
      <c r="I26" s="297" t="str">
        <f>IF('AW Schulen'!$G128=0,"x",(IF('AW Schulen'!$G146=0,"-",D26/'AW Schulen'!$G146)))</f>
        <v>-</v>
      </c>
      <c r="J26" s="297" t="str">
        <f>IF('AW Schulen'!$J128=0,"x",(IF('AW Schulen'!$J146=0,"-",E26/'AW Schulen'!$J146)))</f>
        <v>-</v>
      </c>
      <c r="K26" s="297" t="str">
        <f>IF('AW Schulen'!$M128=0,"x",(IF('AW Schulen'!$M146=0,"-",F26/'AW Schulen'!$M146)))</f>
        <v>-</v>
      </c>
      <c r="L26" s="298" t="str">
        <f>IF('AW Schulen'!$P128=0,"x",(IF('AW Schulen'!$P146=0,"-",G26/'AW Schulen'!$P146)))</f>
        <v>-</v>
      </c>
    </row>
    <row r="27" spans="1:12" ht="9" customHeight="1">
      <c r="A27" s="21" t="s">
        <v>95</v>
      </c>
      <c r="B27" s="120"/>
      <c r="C27" s="292">
        <f t="shared" si="0"/>
        <v>0</v>
      </c>
      <c r="D27" s="42">
        <f t="shared" si="0"/>
        <v>23</v>
      </c>
      <c r="E27" s="42">
        <f t="shared" si="0"/>
        <v>30</v>
      </c>
      <c r="F27" s="42">
        <f t="shared" ref="F27:G27" si="16">SUM(F45,F63,F81)</f>
        <v>35</v>
      </c>
      <c r="G27" s="44">
        <f t="shared" si="16"/>
        <v>40</v>
      </c>
      <c r="H27" s="182">
        <v>0</v>
      </c>
      <c r="I27" s="297">
        <f>IF('AW Schulen'!$G129=0,"x",(IF('AW Schulen'!$G147=0,"-",D27/'AW Schulen'!$G147)))</f>
        <v>1</v>
      </c>
      <c r="J27" s="297">
        <f>IF('AW Schulen'!$J129=0,"x",(IF('AW Schulen'!$J147=0,"-",E27/'AW Schulen'!$J147)))</f>
        <v>1</v>
      </c>
      <c r="K27" s="297">
        <f>IF('AW Schulen'!$M129=0,"x",(IF('AW Schulen'!$M147=0,"-",F27/'AW Schulen'!$M147)))</f>
        <v>1</v>
      </c>
      <c r="L27" s="298">
        <f>IF('AW Schulen'!$P129=0,"x",(IF('AW Schulen'!$P147=0,"-",G27/'AW Schulen'!$P147)))</f>
        <v>1</v>
      </c>
    </row>
    <row r="28" spans="1:12" ht="9" customHeight="1">
      <c r="A28" s="21" t="s">
        <v>96</v>
      </c>
      <c r="B28" s="120"/>
      <c r="C28" s="292">
        <f t="shared" ref="C28:E28" si="17">SUM(C46,C64,C82)</f>
        <v>0</v>
      </c>
      <c r="D28" s="42">
        <f t="shared" si="17"/>
        <v>204</v>
      </c>
      <c r="E28" s="42">
        <f t="shared" si="17"/>
        <v>199</v>
      </c>
      <c r="F28" s="42">
        <f t="shared" ref="F28:G28" si="18">SUM(F46,F64,F82)</f>
        <v>244</v>
      </c>
      <c r="G28" s="44">
        <f t="shared" si="18"/>
        <v>265</v>
      </c>
      <c r="H28" s="182">
        <v>0</v>
      </c>
      <c r="I28" s="297">
        <f>IF('AW Schulen'!$G130=0,"x",(IF('AW Schulen'!$G148=0,"-",D28/'AW Schulen'!$G148)))</f>
        <v>0.64968152866242035</v>
      </c>
      <c r="J28" s="297">
        <f>IF('AW Schulen'!$J130=0,"x",(IF('AW Schulen'!$J148=0,"-",E28/'AW Schulen'!$J148)))</f>
        <v>0.69580419580419584</v>
      </c>
      <c r="K28" s="297">
        <f>IF('AW Schulen'!$M130=0,"x",(IF('AW Schulen'!$M148=0,"-",F28/'AW Schulen'!$M148)))</f>
        <v>0.71764705882352942</v>
      </c>
      <c r="L28" s="298">
        <f>IF('AW Schulen'!$P130=0,"x",(IF('AW Schulen'!$P148=0,"-",G28/'AW Schulen'!$P148)))</f>
        <v>0.73002754820936644</v>
      </c>
    </row>
    <row r="29" spans="1:12" ht="11.25" customHeight="1">
      <c r="A29" s="391" t="s">
        <v>98</v>
      </c>
      <c r="B29" s="392"/>
      <c r="C29" s="392"/>
      <c r="D29" s="392"/>
      <c r="E29" s="392"/>
      <c r="F29" s="392"/>
      <c r="G29" s="392"/>
      <c r="H29" s="392"/>
      <c r="I29" s="392"/>
      <c r="J29" s="392"/>
      <c r="K29" s="392"/>
      <c r="L29" s="393"/>
    </row>
    <row r="30" spans="1:12" ht="9" customHeight="1">
      <c r="A30" s="21" t="s">
        <v>173</v>
      </c>
      <c r="B30" s="120"/>
      <c r="C30" s="294">
        <f>'2.2.7.1'!C30+'2.3.7.1'!C30</f>
        <v>0</v>
      </c>
      <c r="D30" s="23">
        <f>'2.2.7.1'!D30+'2.3.7.1'!D30</f>
        <v>4</v>
      </c>
      <c r="E30" s="23">
        <f>'2.2.7.1'!E30+'2.3.7.1'!E30</f>
        <v>11</v>
      </c>
      <c r="F30" s="23">
        <f>'2.2.7.1'!F30+'2.3.7.1'!F30</f>
        <v>17</v>
      </c>
      <c r="G30" s="34">
        <f>'2.2.7.1'!G30+'2.3.7.1'!G30</f>
        <v>17</v>
      </c>
      <c r="H30" s="183">
        <v>0</v>
      </c>
      <c r="I30" s="299">
        <f>IF('AW Schulen'!$G114=0,"x",(IF('AW Schulen'!$G132=0,"-",D30/'AW Schulen'!$G132)))</f>
        <v>3.7037037037037035E-2</v>
      </c>
      <c r="J30" s="299">
        <f>IF('AW Schulen'!$J114=0,"x",(IF('AW Schulen'!$J132=0,"-",E30/'AW Schulen'!$J132)))</f>
        <v>6.358381502890173E-2</v>
      </c>
      <c r="K30" s="299">
        <f>IF('AW Schulen'!$M114=0,"x",(IF('AW Schulen'!$M132=0,"-",F30/'AW Schulen'!$M132)))</f>
        <v>7.8703703703703706E-2</v>
      </c>
      <c r="L30" s="300">
        <f>IF('AW Schulen'!$P114=0,"x",(IF('AW Schulen'!$P132=0,"-",G30/'AW Schulen'!$P132)))</f>
        <v>7.2649572649572655E-2</v>
      </c>
    </row>
    <row r="31" spans="1:12" ht="9" customHeight="1">
      <c r="A31" s="21" t="s">
        <v>81</v>
      </c>
      <c r="B31" s="120"/>
      <c r="C31" s="294">
        <f>'2.2.7.1'!C31+'2.3.7.1'!C31</f>
        <v>0</v>
      </c>
      <c r="D31" s="23">
        <f>'2.2.7.1'!D31+'2.3.7.1'!D31</f>
        <v>0</v>
      </c>
      <c r="E31" s="23">
        <f>'2.2.7.1'!E31+'2.3.7.1'!E31</f>
        <v>0</v>
      </c>
      <c r="F31" s="23" t="e">
        <f>'2.2.7.1'!F31+'2.3.7.1'!F31</f>
        <v>#VALUE!</v>
      </c>
      <c r="G31" s="34">
        <f>'2.2.7.1'!G31+'2.3.7.1'!G31</f>
        <v>0</v>
      </c>
      <c r="H31" s="183">
        <v>0</v>
      </c>
      <c r="I31" s="299" t="str">
        <f>IF('AW Schulen'!$G115=0,"x",(IF('AW Schulen'!$G133=0,"-",D31/'AW Schulen'!$G133)))</f>
        <v>-</v>
      </c>
      <c r="J31" s="299" t="str">
        <f>IF('AW Schulen'!$J115=0,"x",(IF('AW Schulen'!$J133=0,"-",E31/'AW Schulen'!$J133)))</f>
        <v>-</v>
      </c>
      <c r="K31" s="299" t="str">
        <f>IF('AW Schulen'!$M115=0,"x",(IF('AW Schulen'!$M133=0,"-",F31/'AW Schulen'!$M133)))</f>
        <v>-</v>
      </c>
      <c r="L31" s="300" t="str">
        <f>IF('AW Schulen'!$P115=0,"x",(IF('AW Schulen'!$P133=0,"-",G31/'AW Schulen'!$P133)))</f>
        <v>-</v>
      </c>
    </row>
    <row r="32" spans="1:12" ht="9" customHeight="1">
      <c r="A32" s="21" t="s">
        <v>82</v>
      </c>
      <c r="B32" s="120"/>
      <c r="C32" s="294">
        <f>'2.2.7.1'!C32+'2.3.7.1'!C32</f>
        <v>0</v>
      </c>
      <c r="D32" s="23">
        <f>'2.2.7.1'!D32+'2.3.7.1'!D32</f>
        <v>50</v>
      </c>
      <c r="E32" s="23">
        <f>'2.2.7.1'!E32+'2.3.7.1'!E32</f>
        <v>10</v>
      </c>
      <c r="F32" s="23">
        <f>'2.2.7.1'!F32+'2.3.7.1'!F32</f>
        <v>10</v>
      </c>
      <c r="G32" s="34">
        <f>'2.2.7.1'!G32+'2.3.7.1'!G32</f>
        <v>11</v>
      </c>
      <c r="H32" s="183">
        <v>0</v>
      </c>
      <c r="I32" s="299">
        <f>IF('AW Schulen'!$G116=0,"x",(IF('AW Schulen'!$G134=0,"-",D32/'AW Schulen'!$G134)))</f>
        <v>0.3401360544217687</v>
      </c>
      <c r="J32" s="299">
        <f>IF('AW Schulen'!$J116=0,"x",(IF('AW Schulen'!$J134=0,"-",E32/'AW Schulen'!$J134)))</f>
        <v>0.26315789473684209</v>
      </c>
      <c r="K32" s="299">
        <f>IF('AW Schulen'!$M116=0,"x",(IF('AW Schulen'!$M134=0,"-",F32/'AW Schulen'!$M134)))</f>
        <v>0.23255813953488372</v>
      </c>
      <c r="L32" s="300">
        <f>IF('AW Schulen'!$P116=0,"x",(IF('AW Schulen'!$P134=0,"-",G32/'AW Schulen'!$P134)))</f>
        <v>0.23404255319148937</v>
      </c>
    </row>
    <row r="33" spans="1:12" ht="9" customHeight="1">
      <c r="A33" s="21" t="s">
        <v>83</v>
      </c>
      <c r="B33" s="120"/>
      <c r="C33" s="294">
        <f>'2.2.7.1'!C33+'2.3.7.1'!C33</f>
        <v>0</v>
      </c>
      <c r="D33" s="23">
        <f>'2.2.7.1'!D33+'2.3.7.1'!D33</f>
        <v>0</v>
      </c>
      <c r="E33" s="23">
        <f>'2.2.7.1'!E33+'2.3.7.1'!E33</f>
        <v>0</v>
      </c>
      <c r="F33" s="23">
        <f>'2.2.7.1'!F33+'2.3.7.1'!F33</f>
        <v>0</v>
      </c>
      <c r="G33" s="34">
        <f>'2.2.7.1'!G33+'2.3.7.1'!G33</f>
        <v>0</v>
      </c>
      <c r="H33" s="183">
        <v>0</v>
      </c>
      <c r="I33" s="299">
        <f>IF('AW Schulen'!$G117=0,"x",(IF('AW Schulen'!$G135=0,"-",D33/'AW Schulen'!$G135)))</f>
        <v>0</v>
      </c>
      <c r="J33" s="299">
        <f>IF('AW Schulen'!$J117=0,"x",(IF('AW Schulen'!$J135=0,"-",E33/'AW Schulen'!$J135)))</f>
        <v>0</v>
      </c>
      <c r="K33" s="299">
        <f>IF('AW Schulen'!$M117=0,"x",(IF('AW Schulen'!$M135=0,"-",F33/'AW Schulen'!$M135)))</f>
        <v>0</v>
      </c>
      <c r="L33" s="300">
        <f>IF('AW Schulen'!$P117=0,"x",(IF('AW Schulen'!$P135=0,"-",G33/'AW Schulen'!$P135)))</f>
        <v>0</v>
      </c>
    </row>
    <row r="34" spans="1:12" ht="9" customHeight="1">
      <c r="A34" s="21" t="s">
        <v>84</v>
      </c>
      <c r="B34" s="120"/>
      <c r="C34" s="294">
        <f>'2.2.7.1'!C34+'2.3.7.1'!C34</f>
        <v>0</v>
      </c>
      <c r="D34" s="23">
        <f>'2.2.7.1'!D34+'2.3.7.1'!D34</f>
        <v>0</v>
      </c>
      <c r="E34" s="23">
        <f>'2.2.7.1'!E34+'2.3.7.1'!E34</f>
        <v>0</v>
      </c>
      <c r="F34" s="23">
        <f>'2.2.7.1'!F34+'2.3.7.1'!F34</f>
        <v>0</v>
      </c>
      <c r="G34" s="34">
        <f>'2.2.7.1'!G34+'2.3.7.1'!G34</f>
        <v>0</v>
      </c>
      <c r="H34" s="183">
        <v>0</v>
      </c>
      <c r="I34" s="299" t="str">
        <f>IF('AW Schulen'!$G118=0,"x",(IF('AW Schulen'!$G136=0,"-",D34/'AW Schulen'!$G136)))</f>
        <v>-</v>
      </c>
      <c r="J34" s="299" t="str">
        <f>IF('AW Schulen'!$J118=0,"x",(IF('AW Schulen'!$J136=0,"-",E34/'AW Schulen'!$J136)))</f>
        <v>-</v>
      </c>
      <c r="K34" s="299" t="str">
        <f>IF('AW Schulen'!$M118=0,"x",(IF('AW Schulen'!$M136=0,"-",F34/'AW Schulen'!$M136)))</f>
        <v>-</v>
      </c>
      <c r="L34" s="300" t="str">
        <f>IF('AW Schulen'!$P118=0,"x",(IF('AW Schulen'!$P136=0,"-",G34/'AW Schulen'!$P136)))</f>
        <v>-</v>
      </c>
    </row>
    <row r="35" spans="1:12" ht="9" customHeight="1">
      <c r="A35" s="21" t="s">
        <v>85</v>
      </c>
      <c r="B35" s="120"/>
      <c r="C35" s="294">
        <f>'2.2.7.1'!C35+'2.3.7.1'!C35</f>
        <v>0</v>
      </c>
      <c r="D35" s="23">
        <f>'2.2.7.1'!D35+'2.3.7.1'!D35</f>
        <v>6</v>
      </c>
      <c r="E35" s="23">
        <f>'2.2.7.1'!E35+'2.3.7.1'!E35</f>
        <v>6</v>
      </c>
      <c r="F35" s="23">
        <f>'2.2.7.1'!F35+'2.3.7.1'!F35</f>
        <v>6</v>
      </c>
      <c r="G35" s="34">
        <f>'2.2.7.1'!G35+'2.3.7.1'!G35</f>
        <v>6</v>
      </c>
      <c r="H35" s="183">
        <v>0</v>
      </c>
      <c r="I35" s="299">
        <f>IF('AW Schulen'!$G119=0,"x",(IF('AW Schulen'!$G137=0,"-",D35/'AW Schulen'!$G137)))</f>
        <v>0.31578947368421051</v>
      </c>
      <c r="J35" s="299">
        <f>IF('AW Schulen'!$J119=0,"x",(IF('AW Schulen'!$J137=0,"-",E35/'AW Schulen'!$J137)))</f>
        <v>0.24</v>
      </c>
      <c r="K35" s="299">
        <f>IF('AW Schulen'!$M119=0,"x",(IF('AW Schulen'!$M137=0,"-",F35/'AW Schulen'!$M137)))</f>
        <v>0.24</v>
      </c>
      <c r="L35" s="300">
        <f>IF('AW Schulen'!$P119=0,"x",(IF('AW Schulen'!$P137=0,"-",G35/'AW Schulen'!$P137)))</f>
        <v>0.31578947368421051</v>
      </c>
    </row>
    <row r="36" spans="1:12" ht="9" customHeight="1">
      <c r="A36" s="21" t="s">
        <v>86</v>
      </c>
      <c r="B36" s="120"/>
      <c r="C36" s="294">
        <f>'2.2.7.1'!C36+'2.3.7.1'!C36</f>
        <v>0</v>
      </c>
      <c r="D36" s="23">
        <f>'2.2.7.1'!D36+'2.3.7.1'!D36</f>
        <v>2</v>
      </c>
      <c r="E36" s="23">
        <f>'2.2.7.1'!E36+'2.3.7.1'!E36</f>
        <v>1</v>
      </c>
      <c r="F36" s="23">
        <f>'2.2.7.1'!F36+'2.3.7.1'!F36</f>
        <v>1</v>
      </c>
      <c r="G36" s="34">
        <f>'2.2.7.1'!G36+'2.3.7.1'!G36</f>
        <v>1</v>
      </c>
      <c r="H36" s="183">
        <v>0</v>
      </c>
      <c r="I36" s="183">
        <v>0</v>
      </c>
      <c r="J36" s="183">
        <v>0</v>
      </c>
      <c r="K36" s="183">
        <v>0</v>
      </c>
      <c r="L36" s="197">
        <v>0</v>
      </c>
    </row>
    <row r="37" spans="1:12" ht="9" customHeight="1">
      <c r="A37" s="21" t="s">
        <v>223</v>
      </c>
      <c r="B37" s="120"/>
      <c r="C37" s="294">
        <f>'2.2.7.1'!C37+'2.3.7.1'!C37</f>
        <v>0</v>
      </c>
      <c r="D37" s="23">
        <f>'2.2.7.1'!D37+'2.3.7.1'!D37</f>
        <v>0</v>
      </c>
      <c r="E37" s="23">
        <f>'2.2.7.1'!E37+'2.3.7.1'!E37</f>
        <v>0</v>
      </c>
      <c r="F37" s="23">
        <f>'2.2.7.1'!F37+'2.3.7.1'!F37</f>
        <v>0</v>
      </c>
      <c r="G37" s="34">
        <f>'2.2.7.1'!G37+'2.3.7.1'!G37</f>
        <v>0</v>
      </c>
      <c r="H37" s="183">
        <v>0</v>
      </c>
      <c r="I37" s="299" t="str">
        <f>IF('AW Schulen'!$G121=0,"x",(IF('AW Schulen'!$G139=0,"-",D37/'AW Schulen'!$G139)))</f>
        <v>-</v>
      </c>
      <c r="J37" s="299" t="str">
        <f>IF('AW Schulen'!$J121=0,"x",(IF('AW Schulen'!$J139=0,"-",E37/'AW Schulen'!$J139)))</f>
        <v>-</v>
      </c>
      <c r="K37" s="299" t="str">
        <f>IF('AW Schulen'!$M121=0,"x",(IF('AW Schulen'!$M139=0,"-",F37/'AW Schulen'!$M139)))</f>
        <v>-</v>
      </c>
      <c r="L37" s="300" t="str">
        <f>IF('AW Schulen'!$P121=0,"x",(IF('AW Schulen'!$P139=0,"-",G37/'AW Schulen'!$P139)))</f>
        <v>-</v>
      </c>
    </row>
    <row r="38" spans="1:12" ht="9" customHeight="1">
      <c r="A38" s="21" t="s">
        <v>88</v>
      </c>
      <c r="B38" s="120"/>
      <c r="C38" s="294">
        <f>'2.2.7.1'!C38+'2.3.7.1'!C38</f>
        <v>0</v>
      </c>
      <c r="D38" s="23">
        <f>'2.2.7.1'!D38+'2.3.7.1'!D38</f>
        <v>1</v>
      </c>
      <c r="E38" s="23">
        <f>'2.2.7.1'!E38+'2.3.7.1'!E38</f>
        <v>1</v>
      </c>
      <c r="F38" s="23">
        <f>'2.2.7.1'!F38+'2.3.7.1'!F38</f>
        <v>1</v>
      </c>
      <c r="G38" s="34">
        <f>'2.2.7.1'!G38+'2.3.7.1'!G38</f>
        <v>1</v>
      </c>
      <c r="H38" s="183">
        <v>0</v>
      </c>
      <c r="I38" s="183">
        <v>0</v>
      </c>
      <c r="J38" s="183">
        <v>0</v>
      </c>
      <c r="K38" s="183">
        <v>0</v>
      </c>
      <c r="L38" s="197">
        <v>0</v>
      </c>
    </row>
    <row r="39" spans="1:12" ht="9" customHeight="1">
      <c r="A39" s="21" t="s">
        <v>89</v>
      </c>
      <c r="B39" s="120"/>
      <c r="C39" s="294">
        <f>'2.2.7.1'!C39+'2.3.7.1'!C39</f>
        <v>0</v>
      </c>
      <c r="D39" s="23">
        <f>'2.2.7.1'!D39+'2.3.7.1'!D39</f>
        <v>1</v>
      </c>
      <c r="E39" s="23">
        <f>'2.2.7.1'!E39+'2.3.7.1'!E39</f>
        <v>0</v>
      </c>
      <c r="F39" s="23">
        <f>'2.2.7.1'!F39+'2.3.7.1'!F39</f>
        <v>1</v>
      </c>
      <c r="G39" s="34">
        <f>'2.2.7.1'!G39+'2.3.7.1'!G39</f>
        <v>1</v>
      </c>
      <c r="H39" s="183">
        <v>0</v>
      </c>
      <c r="I39" s="299">
        <f>IF('AW Schulen'!$G123=0,"x",(IF('AW Schulen'!$G141=0,"-",D39/'AW Schulen'!$G141)))</f>
        <v>0.33333333333333331</v>
      </c>
      <c r="J39" s="299">
        <f>IF('AW Schulen'!$J123=0,"x",(IF('AW Schulen'!$J141=0,"-",E39/'AW Schulen'!$J141)))</f>
        <v>0</v>
      </c>
      <c r="K39" s="299">
        <f>IF('AW Schulen'!$M123=0,"x",(IF('AW Schulen'!$M141=0,"-",F39/'AW Schulen'!$M141)))</f>
        <v>0.2</v>
      </c>
      <c r="L39" s="300">
        <f>IF('AW Schulen'!$P123=0,"x",(IF('AW Schulen'!$P141=0,"-",G39/'AW Schulen'!$P141)))</f>
        <v>0.2</v>
      </c>
    </row>
    <row r="40" spans="1:12" ht="9" customHeight="1">
      <c r="A40" s="21" t="s">
        <v>90</v>
      </c>
      <c r="B40" s="120"/>
      <c r="C40" s="294">
        <f>'2.2.7.1'!C40+'2.3.7.1'!C40</f>
        <v>0</v>
      </c>
      <c r="D40" s="23">
        <f>'2.2.7.1'!D40+'2.3.7.1'!D40</f>
        <v>0</v>
      </c>
      <c r="E40" s="23">
        <f>'2.2.7.1'!E40+'2.3.7.1'!E40</f>
        <v>0</v>
      </c>
      <c r="F40" s="23">
        <f>'2.2.7.1'!F40+'2.3.7.1'!F40</f>
        <v>0</v>
      </c>
      <c r="G40" s="34">
        <f>'2.2.7.1'!G40+'2.3.7.1'!G40</f>
        <v>0</v>
      </c>
      <c r="H40" s="183">
        <v>0</v>
      </c>
      <c r="I40" s="299" t="str">
        <f>IF('AW Schulen'!$G124=0,"x",(IF('AW Schulen'!$G142=0,"-",D40/'AW Schulen'!$G142)))</f>
        <v>-</v>
      </c>
      <c r="J40" s="299" t="str">
        <f>IF('AW Schulen'!$J124=0,"x",(IF('AW Schulen'!$J142=0,"-",E40/'AW Schulen'!$J142)))</f>
        <v>-</v>
      </c>
      <c r="K40" s="299" t="str">
        <f>IF('AW Schulen'!$M124=0,"x",(IF('AW Schulen'!$M142=0,"-",F40/'AW Schulen'!$M142)))</f>
        <v>-</v>
      </c>
      <c r="L40" s="300" t="str">
        <f>IF('AW Schulen'!$P124=0,"x",(IF('AW Schulen'!$P142=0,"-",G40/'AW Schulen'!$P142)))</f>
        <v>-</v>
      </c>
    </row>
    <row r="41" spans="1:12" ht="9" customHeight="1">
      <c r="A41" s="21" t="s">
        <v>91</v>
      </c>
      <c r="B41" s="120"/>
      <c r="C41" s="294">
        <f>'2.2.7.1'!C41+'2.3.7.1'!C41</f>
        <v>0</v>
      </c>
      <c r="D41" s="23">
        <f>'2.2.7.1'!D41+'2.3.7.1'!D41</f>
        <v>0</v>
      </c>
      <c r="E41" s="23">
        <f>'2.2.7.1'!E41+'2.3.7.1'!E41</f>
        <v>0</v>
      </c>
      <c r="F41" s="23">
        <f>'2.2.7.1'!F41+'2.3.7.1'!F41</f>
        <v>0</v>
      </c>
      <c r="G41" s="34">
        <f>'2.2.7.1'!G41+'2.3.7.1'!G41</f>
        <v>0</v>
      </c>
      <c r="H41" s="183">
        <v>0</v>
      </c>
      <c r="I41" s="299" t="str">
        <f>IF('AW Schulen'!$G125=0,"x",(IF('AW Schulen'!$G143=0,"-",D41/'AW Schulen'!$G143)))</f>
        <v>-</v>
      </c>
      <c r="J41" s="299" t="str">
        <f>IF('AW Schulen'!$J125=0,"x",(IF('AW Schulen'!$J143=0,"-",E41/'AW Schulen'!$J143)))</f>
        <v>-</v>
      </c>
      <c r="K41" s="299" t="str">
        <f>IF('AW Schulen'!$M125=0,"x",(IF('AW Schulen'!$M143=0,"-",F41/'AW Schulen'!$M143)))</f>
        <v>-</v>
      </c>
      <c r="L41" s="300" t="str">
        <f>IF('AW Schulen'!$P125=0,"x",(IF('AW Schulen'!$P143=0,"-",G41/'AW Schulen'!$P143)))</f>
        <v>-</v>
      </c>
    </row>
    <row r="42" spans="1:12" ht="9" customHeight="1">
      <c r="A42" s="21" t="s">
        <v>92</v>
      </c>
      <c r="B42" s="120"/>
      <c r="C42" s="295">
        <f>'2.2.7.1'!C42+'2.3.7.1'!C42</f>
        <v>0</v>
      </c>
      <c r="D42" s="193">
        <f>'2.2.7.1'!D42+'2.3.7.1'!D42</f>
        <v>0</v>
      </c>
      <c r="E42" s="193">
        <f>'2.2.7.1'!E42+'2.3.7.1'!E42</f>
        <v>0</v>
      </c>
      <c r="F42" s="193">
        <f>'2.2.7.1'!F42+'2.3.7.1'!F42</f>
        <v>0</v>
      </c>
      <c r="G42" s="194">
        <f>'2.2.7.1'!G42+'2.3.7.1'!G42</f>
        <v>0</v>
      </c>
      <c r="H42" s="183">
        <v>0</v>
      </c>
      <c r="I42" s="299" t="str">
        <f>IF('AW Schulen'!$G126=0,"x",(IF('AW Schulen'!$G144=0,"-",D42/'AW Schulen'!$G144)))</f>
        <v>x</v>
      </c>
      <c r="J42" s="299" t="str">
        <f>IF('AW Schulen'!$J126=0,"x",(IF('AW Schulen'!$J144=0,"-",E42/'AW Schulen'!$J144)))</f>
        <v>x</v>
      </c>
      <c r="K42" s="299" t="str">
        <f>IF('AW Schulen'!$M126=0,"x",(IF('AW Schulen'!$M144=0,"-",F42/'AW Schulen'!$M144)))</f>
        <v>x</v>
      </c>
      <c r="L42" s="300" t="str">
        <f>IF('AW Schulen'!$P126=0,"x",(IF('AW Schulen'!$P144=0,"-",G42/'AW Schulen'!$P144)))</f>
        <v>x</v>
      </c>
    </row>
    <row r="43" spans="1:12" ht="9" customHeight="1">
      <c r="A43" s="21" t="s">
        <v>93</v>
      </c>
      <c r="B43" s="120"/>
      <c r="C43" s="294">
        <f>'2.2.7.1'!C43+'2.3.7.1'!C43</f>
        <v>0</v>
      </c>
      <c r="D43" s="23">
        <f>'2.2.7.1'!D43+'2.3.7.1'!D43</f>
        <v>0</v>
      </c>
      <c r="E43" s="23">
        <f>'2.2.7.1'!E43+'2.3.7.1'!E43</f>
        <v>0</v>
      </c>
      <c r="F43" s="23">
        <f>'2.2.7.1'!F43+'2.3.7.1'!F43</f>
        <v>0</v>
      </c>
      <c r="G43" s="34">
        <f>'2.2.7.1'!G43+'2.3.7.1'!G43</f>
        <v>0</v>
      </c>
      <c r="H43" s="183">
        <v>0</v>
      </c>
      <c r="I43" s="183">
        <v>0</v>
      </c>
      <c r="J43" s="183">
        <v>0</v>
      </c>
      <c r="K43" s="183">
        <v>0</v>
      </c>
      <c r="L43" s="197">
        <v>0</v>
      </c>
    </row>
    <row r="44" spans="1:12" ht="9" customHeight="1">
      <c r="A44" s="21" t="s">
        <v>226</v>
      </c>
      <c r="B44" s="120"/>
      <c r="C44" s="294">
        <f>'2.2.7.1'!C44+'2.3.7.1'!C44</f>
        <v>0</v>
      </c>
      <c r="D44" s="23">
        <f>'2.2.7.1'!D44+'2.3.7.1'!D44</f>
        <v>0</v>
      </c>
      <c r="E44" s="23">
        <f>'2.2.7.1'!E44+'2.3.7.1'!E44</f>
        <v>0</v>
      </c>
      <c r="F44" s="23">
        <f>'2.2.7.1'!F44+'2.3.7.1'!F44</f>
        <v>0</v>
      </c>
      <c r="G44" s="34">
        <f>'2.2.7.1'!G44+'2.3.7.1'!G44</f>
        <v>0</v>
      </c>
      <c r="H44" s="183">
        <v>0</v>
      </c>
      <c r="I44" s="299" t="str">
        <f>IF('AW Schulen'!$G128=0,"x",(IF('AW Schulen'!$G146=0,"-",D44/'AW Schulen'!$G146)))</f>
        <v>-</v>
      </c>
      <c r="J44" s="299" t="str">
        <f>IF('AW Schulen'!$J128=0,"x",(IF('AW Schulen'!$J146=0,"-",E44/'AW Schulen'!$J146)))</f>
        <v>-</v>
      </c>
      <c r="K44" s="299" t="str">
        <f>IF('AW Schulen'!$M128=0,"x",(IF('AW Schulen'!$M146=0,"-",F44/'AW Schulen'!$M146)))</f>
        <v>-</v>
      </c>
      <c r="L44" s="300" t="str">
        <f>IF('AW Schulen'!$P128=0,"x",(IF('AW Schulen'!$P146=0,"-",G44/'AW Schulen'!$P146)))</f>
        <v>-</v>
      </c>
    </row>
    <row r="45" spans="1:12" ht="9" customHeight="1">
      <c r="A45" s="21" t="s">
        <v>95</v>
      </c>
      <c r="B45" s="120"/>
      <c r="C45" s="294">
        <f>'2.2.7.1'!C45+'2.3.7.1'!C45</f>
        <v>0</v>
      </c>
      <c r="D45" s="23">
        <f>'2.2.7.1'!D45+'2.3.7.1'!D45</f>
        <v>15</v>
      </c>
      <c r="E45" s="23">
        <f>'2.2.7.1'!E45+'2.3.7.1'!E45</f>
        <v>17</v>
      </c>
      <c r="F45" s="23">
        <f>'2.2.7.1'!F45+'2.3.7.1'!F45</f>
        <v>16</v>
      </c>
      <c r="G45" s="34">
        <f>'2.2.7.1'!G45+'2.3.7.1'!G45</f>
        <v>18</v>
      </c>
      <c r="H45" s="183">
        <v>0</v>
      </c>
      <c r="I45" s="299">
        <f>IF('AW Schulen'!$G129=0,"x",(IF('AW Schulen'!$G147=0,"-",D45/'AW Schulen'!$G147)))</f>
        <v>0.65217391304347827</v>
      </c>
      <c r="J45" s="299">
        <f>IF('AW Schulen'!$J129=0,"x",(IF('AW Schulen'!$J147=0,"-",E45/'AW Schulen'!$J147)))</f>
        <v>0.56666666666666665</v>
      </c>
      <c r="K45" s="299">
        <f>IF('AW Schulen'!$M129=0,"x",(IF('AW Schulen'!$M147=0,"-",F45/'AW Schulen'!$M147)))</f>
        <v>0.45714285714285713</v>
      </c>
      <c r="L45" s="300">
        <f>IF('AW Schulen'!$P129=0,"x",(IF('AW Schulen'!$P147=0,"-",G45/'AW Schulen'!$P147)))</f>
        <v>0.45</v>
      </c>
    </row>
    <row r="46" spans="1:12" ht="9" customHeight="1">
      <c r="A46" s="21" t="s">
        <v>96</v>
      </c>
      <c r="B46" s="120"/>
      <c r="C46" s="294">
        <f>'2.2.7.1'!C46+'2.3.7.1'!C46</f>
        <v>0</v>
      </c>
      <c r="D46" s="23">
        <f>'2.2.7.1'!D46+'2.3.7.1'!D46</f>
        <v>79</v>
      </c>
      <c r="E46" s="23">
        <f>'2.2.7.1'!E46+'2.3.7.1'!E46</f>
        <v>46</v>
      </c>
      <c r="F46" s="23">
        <f>'2.2.7.1'!F46+'2.3.7.1'!F46</f>
        <v>52</v>
      </c>
      <c r="G46" s="34">
        <f>'2.2.7.1'!G46+'2.3.7.1'!G46</f>
        <v>55</v>
      </c>
      <c r="H46" s="183">
        <v>0</v>
      </c>
      <c r="I46" s="299">
        <f>IF('AW Schulen'!$G130=0,"x",(IF('AW Schulen'!$G148=0,"-",D46/'AW Schulen'!$G148)))</f>
        <v>0.25159235668789809</v>
      </c>
      <c r="J46" s="299">
        <f>IF('AW Schulen'!$J130=0,"x",(IF('AW Schulen'!$J148=0,"-",E46/'AW Schulen'!$J148)))</f>
        <v>0.16083916083916083</v>
      </c>
      <c r="K46" s="299">
        <f>IF('AW Schulen'!$M130=0,"x",(IF('AW Schulen'!$M148=0,"-",F46/'AW Schulen'!$M148)))</f>
        <v>0.15294117647058825</v>
      </c>
      <c r="L46" s="300">
        <f>IF('AW Schulen'!$P130=0,"x",(IF('AW Schulen'!$P148=0,"-",G46/'AW Schulen'!$P148)))</f>
        <v>0.15151515151515152</v>
      </c>
    </row>
    <row r="47" spans="1:12" ht="11.25" customHeight="1">
      <c r="A47" s="391" t="s">
        <v>99</v>
      </c>
      <c r="B47" s="392"/>
      <c r="C47" s="392"/>
      <c r="D47" s="392"/>
      <c r="E47" s="392"/>
      <c r="F47" s="392"/>
      <c r="G47" s="392"/>
      <c r="H47" s="392"/>
      <c r="I47" s="392"/>
      <c r="J47" s="392"/>
      <c r="K47" s="392"/>
      <c r="L47" s="393"/>
    </row>
    <row r="48" spans="1:12" ht="9" customHeight="1">
      <c r="A48" s="21" t="s">
        <v>173</v>
      </c>
      <c r="B48" s="120"/>
      <c r="C48" s="294">
        <f>'2.2.7.1'!C48+'2.3.7.1'!C48</f>
        <v>0</v>
      </c>
      <c r="D48" s="23">
        <f>'2.2.7.1'!D48+'2.3.7.1'!D48</f>
        <v>9</v>
      </c>
      <c r="E48" s="23">
        <f>'2.2.7.1'!E48+'2.3.7.1'!E48</f>
        <v>19</v>
      </c>
      <c r="F48" s="23">
        <f>'2.2.7.1'!F48+'2.3.7.1'!F48</f>
        <v>21</v>
      </c>
      <c r="G48" s="34">
        <f>'2.2.7.1'!G48+'2.3.7.1'!G48</f>
        <v>22</v>
      </c>
      <c r="H48" s="183">
        <v>0</v>
      </c>
      <c r="I48" s="299">
        <f>IF('AW Schulen'!$G114=0,"x",(IF('AW Schulen'!$G132=0,"-",D48/'AW Schulen'!$G132)))</f>
        <v>8.3333333333333329E-2</v>
      </c>
      <c r="J48" s="299">
        <f>IF('AW Schulen'!$J114=0,"x",(IF('AW Schulen'!$J132=0,"-",E48/'AW Schulen'!$J132)))</f>
        <v>0.10982658959537572</v>
      </c>
      <c r="K48" s="299">
        <f>IF('AW Schulen'!$M114=0,"x",(IF('AW Schulen'!$M132=0,"-",F48/'AW Schulen'!$M132)))</f>
        <v>9.7222222222222224E-2</v>
      </c>
      <c r="L48" s="300">
        <f>IF('AW Schulen'!$P114=0,"x",(IF('AW Schulen'!$P132=0,"-",G48/'AW Schulen'!$P132)))</f>
        <v>9.4017094017094016E-2</v>
      </c>
    </row>
    <row r="49" spans="1:12" ht="9" customHeight="1">
      <c r="A49" s="21" t="s">
        <v>81</v>
      </c>
      <c r="B49" s="120"/>
      <c r="C49" s="294">
        <f>'2.2.7.1'!C49+'2.3.7.1'!C49</f>
        <v>0</v>
      </c>
      <c r="D49" s="23">
        <f>'2.2.7.1'!D49+'2.3.7.1'!D49</f>
        <v>0</v>
      </c>
      <c r="E49" s="23">
        <f>'2.2.7.1'!E49+'2.3.7.1'!E49</f>
        <v>0</v>
      </c>
      <c r="F49" s="23" t="e">
        <f>'2.2.7.1'!F49+'2.3.7.1'!F49</f>
        <v>#VALUE!</v>
      </c>
      <c r="G49" s="34">
        <f>'2.2.7.1'!G49+'2.3.7.1'!G49</f>
        <v>0</v>
      </c>
      <c r="H49" s="183">
        <v>0</v>
      </c>
      <c r="I49" s="299" t="str">
        <f>IF('AW Schulen'!$G115=0,"x",(IF('AW Schulen'!$G133=0,"-",D49/'AW Schulen'!$G133)))</f>
        <v>-</v>
      </c>
      <c r="J49" s="299" t="str">
        <f>IF('AW Schulen'!$J115=0,"x",(IF('AW Schulen'!$J133=0,"-",E49/'AW Schulen'!$J133)))</f>
        <v>-</v>
      </c>
      <c r="K49" s="299" t="str">
        <f>IF('AW Schulen'!$M115=0,"x",(IF('AW Schulen'!$M133=0,"-",F49/'AW Schulen'!$M133)))</f>
        <v>-</v>
      </c>
      <c r="L49" s="300" t="str">
        <f>IF('AW Schulen'!$P115=0,"x",(IF('AW Schulen'!$P133=0,"-",G49/'AW Schulen'!$P133)))</f>
        <v>-</v>
      </c>
    </row>
    <row r="50" spans="1:12" ht="9" customHeight="1">
      <c r="A50" s="21" t="s">
        <v>82</v>
      </c>
      <c r="B50" s="120"/>
      <c r="C50" s="294">
        <f>'2.2.7.1'!C50+'2.3.7.1'!C50</f>
        <v>0</v>
      </c>
      <c r="D50" s="23">
        <f>'2.2.7.1'!D50+'2.3.7.1'!D50</f>
        <v>9</v>
      </c>
      <c r="E50" s="23">
        <f>'2.2.7.1'!E50+'2.3.7.1'!E50</f>
        <v>1</v>
      </c>
      <c r="F50" s="23">
        <f>'2.2.7.1'!F50+'2.3.7.1'!F50</f>
        <v>1</v>
      </c>
      <c r="G50" s="34">
        <f>'2.2.7.1'!G50+'2.3.7.1'!G50</f>
        <v>1</v>
      </c>
      <c r="H50" s="183">
        <v>0</v>
      </c>
      <c r="I50" s="299">
        <f>IF('AW Schulen'!$G116=0,"x",(IF('AW Schulen'!$G134=0,"-",D50/'AW Schulen'!$G134)))</f>
        <v>6.1224489795918366E-2</v>
      </c>
      <c r="J50" s="299">
        <f>IF('AW Schulen'!$J116=0,"x",(IF('AW Schulen'!$J134=0,"-",E50/'AW Schulen'!$J134)))</f>
        <v>2.6315789473684209E-2</v>
      </c>
      <c r="K50" s="299">
        <f>IF('AW Schulen'!$M116=0,"x",(IF('AW Schulen'!$M134=0,"-",F50/'AW Schulen'!$M134)))</f>
        <v>2.3255813953488372E-2</v>
      </c>
      <c r="L50" s="300">
        <f>IF('AW Schulen'!$P116=0,"x",(IF('AW Schulen'!$P134=0,"-",G50/'AW Schulen'!$P134)))</f>
        <v>2.1276595744680851E-2</v>
      </c>
    </row>
    <row r="51" spans="1:12" ht="9" customHeight="1">
      <c r="A51" s="21" t="s">
        <v>83</v>
      </c>
      <c r="B51" s="120"/>
      <c r="C51" s="294">
        <f>'2.2.7.1'!C51+'2.3.7.1'!C51</f>
        <v>0</v>
      </c>
      <c r="D51" s="23">
        <f>'2.2.7.1'!D51+'2.3.7.1'!D51</f>
        <v>0</v>
      </c>
      <c r="E51" s="23">
        <f>'2.2.7.1'!E51+'2.3.7.1'!E51</f>
        <v>0</v>
      </c>
      <c r="F51" s="23">
        <f>'2.2.7.1'!F51+'2.3.7.1'!F51</f>
        <v>0</v>
      </c>
      <c r="G51" s="34">
        <f>'2.2.7.1'!G51+'2.3.7.1'!G51</f>
        <v>0</v>
      </c>
      <c r="H51" s="183">
        <v>0</v>
      </c>
      <c r="I51" s="299">
        <f>IF('AW Schulen'!$G117=0,"x",(IF('AW Schulen'!$G135=0,"-",D51/'AW Schulen'!$G135)))</f>
        <v>0</v>
      </c>
      <c r="J51" s="299">
        <f>IF('AW Schulen'!$J117=0,"x",(IF('AW Schulen'!$J135=0,"-",E51/'AW Schulen'!$J135)))</f>
        <v>0</v>
      </c>
      <c r="K51" s="299">
        <f>IF('AW Schulen'!$M117=0,"x",(IF('AW Schulen'!$M135=0,"-",F51/'AW Schulen'!$M135)))</f>
        <v>0</v>
      </c>
      <c r="L51" s="300">
        <f>IF('AW Schulen'!$P117=0,"x",(IF('AW Schulen'!$P135=0,"-",G51/'AW Schulen'!$P135)))</f>
        <v>0</v>
      </c>
    </row>
    <row r="52" spans="1:12" ht="9" customHeight="1">
      <c r="A52" s="21" t="s">
        <v>84</v>
      </c>
      <c r="B52" s="120"/>
      <c r="C52" s="294">
        <f>'2.2.7.1'!C52+'2.3.7.1'!C52</f>
        <v>0</v>
      </c>
      <c r="D52" s="23">
        <f>'2.2.7.1'!D52+'2.3.7.1'!D52</f>
        <v>0</v>
      </c>
      <c r="E52" s="23">
        <f>'2.2.7.1'!E52+'2.3.7.1'!E52</f>
        <v>0</v>
      </c>
      <c r="F52" s="23">
        <f>'2.2.7.1'!F52+'2.3.7.1'!F52</f>
        <v>0</v>
      </c>
      <c r="G52" s="34">
        <f>'2.2.7.1'!G52+'2.3.7.1'!G52</f>
        <v>0</v>
      </c>
      <c r="H52" s="183">
        <v>0</v>
      </c>
      <c r="I52" s="299" t="str">
        <f>IF('AW Schulen'!$G118=0,"x",(IF('AW Schulen'!$G136=0,"-",D52/'AW Schulen'!$G136)))</f>
        <v>-</v>
      </c>
      <c r="J52" s="299" t="str">
        <f>IF('AW Schulen'!$J118=0,"x",(IF('AW Schulen'!$J136=0,"-",E52/'AW Schulen'!$J136)))</f>
        <v>-</v>
      </c>
      <c r="K52" s="299" t="str">
        <f>IF('AW Schulen'!$M118=0,"x",(IF('AW Schulen'!$M136=0,"-",F52/'AW Schulen'!$M136)))</f>
        <v>-</v>
      </c>
      <c r="L52" s="300" t="str">
        <f>IF('AW Schulen'!$P118=0,"x",(IF('AW Schulen'!$P136=0,"-",G52/'AW Schulen'!$P136)))</f>
        <v>-</v>
      </c>
    </row>
    <row r="53" spans="1:12" ht="9" customHeight="1">
      <c r="A53" s="21" t="s">
        <v>85</v>
      </c>
      <c r="B53" s="120"/>
      <c r="C53" s="294">
        <f>'2.2.7.1'!C53+'2.3.7.1'!C53</f>
        <v>0</v>
      </c>
      <c r="D53" s="23">
        <f>'2.2.7.1'!D53+'2.3.7.1'!D53</f>
        <v>4</v>
      </c>
      <c r="E53" s="23">
        <f>'2.2.7.1'!E53+'2.3.7.1'!E53</f>
        <v>4</v>
      </c>
      <c r="F53" s="23">
        <f>'2.2.7.1'!F53+'2.3.7.1'!F53</f>
        <v>4</v>
      </c>
      <c r="G53" s="34">
        <f>'2.2.7.1'!G53+'2.3.7.1'!G53</f>
        <v>4</v>
      </c>
      <c r="H53" s="183">
        <v>0</v>
      </c>
      <c r="I53" s="299">
        <f>IF('AW Schulen'!$G119=0,"x",(IF('AW Schulen'!$G137=0,"-",D53/'AW Schulen'!$G137)))</f>
        <v>0.21052631578947367</v>
      </c>
      <c r="J53" s="299">
        <f>IF('AW Schulen'!$J119=0,"x",(IF('AW Schulen'!$J137=0,"-",E53/'AW Schulen'!$J137)))</f>
        <v>0.16</v>
      </c>
      <c r="K53" s="299">
        <f>IF('AW Schulen'!$M119=0,"x",(IF('AW Schulen'!$M137=0,"-",F53/'AW Schulen'!$M137)))</f>
        <v>0.16</v>
      </c>
      <c r="L53" s="300">
        <f>IF('AW Schulen'!$P119=0,"x",(IF('AW Schulen'!$P137=0,"-",G53/'AW Schulen'!$P137)))</f>
        <v>0.21052631578947367</v>
      </c>
    </row>
    <row r="54" spans="1:12" ht="9" customHeight="1">
      <c r="A54" s="21" t="s">
        <v>86</v>
      </c>
      <c r="B54" s="120"/>
      <c r="C54" s="294">
        <f>'2.2.7.1'!C54+'2.3.7.1'!C54</f>
        <v>0</v>
      </c>
      <c r="D54" s="23">
        <f>'2.2.7.1'!D54+'2.3.7.1'!D54</f>
        <v>0</v>
      </c>
      <c r="E54" s="23">
        <f>'2.2.7.1'!E54+'2.3.7.1'!E54</f>
        <v>0</v>
      </c>
      <c r="F54" s="23">
        <f>'2.2.7.1'!F54+'2.3.7.1'!F54</f>
        <v>0</v>
      </c>
      <c r="G54" s="34">
        <f>'2.2.7.1'!G54+'2.3.7.1'!G54</f>
        <v>0</v>
      </c>
      <c r="H54" s="183">
        <v>0</v>
      </c>
      <c r="I54" s="183">
        <v>0</v>
      </c>
      <c r="J54" s="183">
        <v>0</v>
      </c>
      <c r="K54" s="183">
        <v>0</v>
      </c>
      <c r="L54" s="197">
        <v>0</v>
      </c>
    </row>
    <row r="55" spans="1:12" ht="9" customHeight="1">
      <c r="A55" s="21" t="s">
        <v>223</v>
      </c>
      <c r="B55" s="120"/>
      <c r="C55" s="294">
        <f>'2.2.7.1'!C55+'2.3.7.1'!C55</f>
        <v>0</v>
      </c>
      <c r="D55" s="23">
        <f>'2.2.7.1'!D55+'2.3.7.1'!D55</f>
        <v>0</v>
      </c>
      <c r="E55" s="23">
        <f>'2.2.7.1'!E55+'2.3.7.1'!E55</f>
        <v>0</v>
      </c>
      <c r="F55" s="23">
        <f>'2.2.7.1'!F55+'2.3.7.1'!F55</f>
        <v>0</v>
      </c>
      <c r="G55" s="34">
        <f>'2.2.7.1'!G55+'2.3.7.1'!G55</f>
        <v>0</v>
      </c>
      <c r="H55" s="183">
        <v>0</v>
      </c>
      <c r="I55" s="299" t="str">
        <f>IF('AW Schulen'!$G121=0,"x",(IF('AW Schulen'!$G139=0,"-",D55/'AW Schulen'!$G139)))</f>
        <v>-</v>
      </c>
      <c r="J55" s="299" t="str">
        <f>IF('AW Schulen'!$J121=0,"x",(IF('AW Schulen'!$J139=0,"-",E55/'AW Schulen'!$J139)))</f>
        <v>-</v>
      </c>
      <c r="K55" s="299" t="str">
        <f>IF('AW Schulen'!$M121=0,"x",(IF('AW Schulen'!$M139=0,"-",F55/'AW Schulen'!$M139)))</f>
        <v>-</v>
      </c>
      <c r="L55" s="300" t="str">
        <f>IF('AW Schulen'!$P121=0,"x",(IF('AW Schulen'!$P139=0,"-",G55/'AW Schulen'!$P139)))</f>
        <v>-</v>
      </c>
    </row>
    <row r="56" spans="1:12" ht="9" customHeight="1">
      <c r="A56" s="21" t="s">
        <v>88</v>
      </c>
      <c r="B56" s="120"/>
      <c r="C56" s="294">
        <f>'2.2.7.1'!C56+'2.3.7.1'!C56</f>
        <v>0</v>
      </c>
      <c r="D56" s="23">
        <f>'2.2.7.1'!D56+'2.3.7.1'!D56</f>
        <v>0</v>
      </c>
      <c r="E56" s="23">
        <f>'2.2.7.1'!E56+'2.3.7.1'!E56</f>
        <v>0</v>
      </c>
      <c r="F56" s="23">
        <f>'2.2.7.1'!F56+'2.3.7.1'!F56</f>
        <v>0</v>
      </c>
      <c r="G56" s="34">
        <f>'2.2.7.1'!G56+'2.3.7.1'!G56</f>
        <v>0</v>
      </c>
      <c r="H56" s="183">
        <v>0</v>
      </c>
      <c r="I56" s="183">
        <v>0</v>
      </c>
      <c r="J56" s="183">
        <v>0</v>
      </c>
      <c r="K56" s="183">
        <v>0</v>
      </c>
      <c r="L56" s="197">
        <v>0</v>
      </c>
    </row>
    <row r="57" spans="1:12" ht="9" customHeight="1">
      <c r="A57" s="21" t="s">
        <v>89</v>
      </c>
      <c r="B57" s="120"/>
      <c r="C57" s="294">
        <f>'2.2.7.1'!C57+'2.3.7.1'!C57</f>
        <v>0</v>
      </c>
      <c r="D57" s="23">
        <f>'2.2.7.1'!D57+'2.3.7.1'!D57</f>
        <v>0</v>
      </c>
      <c r="E57" s="23">
        <f>'2.2.7.1'!E57+'2.3.7.1'!E57</f>
        <v>3</v>
      </c>
      <c r="F57" s="23">
        <f>'2.2.7.1'!F57+'2.3.7.1'!F57</f>
        <v>2</v>
      </c>
      <c r="G57" s="34">
        <f>'2.2.7.1'!G57+'2.3.7.1'!G57</f>
        <v>2</v>
      </c>
      <c r="H57" s="183">
        <v>0</v>
      </c>
      <c r="I57" s="299">
        <f>IF('AW Schulen'!$G123=0,"x",(IF('AW Schulen'!$G141=0,"-",D57/'AW Schulen'!$G141)))</f>
        <v>0</v>
      </c>
      <c r="J57" s="299">
        <f>IF('AW Schulen'!$J123=0,"x",(IF('AW Schulen'!$J141=0,"-",E57/'AW Schulen'!$J141)))</f>
        <v>0.6</v>
      </c>
      <c r="K57" s="299">
        <f>IF('AW Schulen'!$M123=0,"x",(IF('AW Schulen'!$M141=0,"-",F57/'AW Schulen'!$M141)))</f>
        <v>0.4</v>
      </c>
      <c r="L57" s="300">
        <f>IF('AW Schulen'!$P123=0,"x",(IF('AW Schulen'!$P141=0,"-",G57/'AW Schulen'!$P141)))</f>
        <v>0.4</v>
      </c>
    </row>
    <row r="58" spans="1:12" ht="9" customHeight="1">
      <c r="A58" s="21" t="s">
        <v>90</v>
      </c>
      <c r="B58" s="120"/>
      <c r="C58" s="294">
        <f>'2.2.7.1'!C58+'2.3.7.1'!C58</f>
        <v>0</v>
      </c>
      <c r="D58" s="23">
        <f>'2.2.7.1'!D58+'2.3.7.1'!D58</f>
        <v>0</v>
      </c>
      <c r="E58" s="23">
        <f>'2.2.7.1'!E58+'2.3.7.1'!E58</f>
        <v>0</v>
      </c>
      <c r="F58" s="23">
        <f>'2.2.7.1'!F58+'2.3.7.1'!F58</f>
        <v>0</v>
      </c>
      <c r="G58" s="34">
        <f>'2.2.7.1'!G58+'2.3.7.1'!G58</f>
        <v>0</v>
      </c>
      <c r="H58" s="183">
        <v>0</v>
      </c>
      <c r="I58" s="299" t="str">
        <f>IF('AW Schulen'!$G124=0,"x",(IF('AW Schulen'!$G142=0,"-",D58/'AW Schulen'!$G142)))</f>
        <v>-</v>
      </c>
      <c r="J58" s="299" t="str">
        <f>IF('AW Schulen'!$J124=0,"x",(IF('AW Schulen'!$J142=0,"-",E58/'AW Schulen'!$J142)))</f>
        <v>-</v>
      </c>
      <c r="K58" s="299" t="str">
        <f>IF('AW Schulen'!$M124=0,"x",(IF('AW Schulen'!$M142=0,"-",F58/'AW Schulen'!$M142)))</f>
        <v>-</v>
      </c>
      <c r="L58" s="300" t="str">
        <f>IF('AW Schulen'!$P124=0,"x",(IF('AW Schulen'!$P142=0,"-",G58/'AW Schulen'!$P142)))</f>
        <v>-</v>
      </c>
    </row>
    <row r="59" spans="1:12" ht="9" customHeight="1">
      <c r="A59" s="21" t="s">
        <v>91</v>
      </c>
      <c r="B59" s="120"/>
      <c r="C59" s="294">
        <f>'2.2.7.1'!C59+'2.3.7.1'!C59</f>
        <v>0</v>
      </c>
      <c r="D59" s="23">
        <f>'2.2.7.1'!D59+'2.3.7.1'!D59</f>
        <v>0</v>
      </c>
      <c r="E59" s="23">
        <f>'2.2.7.1'!E59+'2.3.7.1'!E59</f>
        <v>0</v>
      </c>
      <c r="F59" s="23">
        <f>'2.2.7.1'!F59+'2.3.7.1'!F59</f>
        <v>0</v>
      </c>
      <c r="G59" s="34">
        <f>'2.2.7.1'!G59+'2.3.7.1'!G59</f>
        <v>0</v>
      </c>
      <c r="H59" s="183">
        <v>0</v>
      </c>
      <c r="I59" s="299" t="str">
        <f>IF('AW Schulen'!$G125=0,"x",(IF('AW Schulen'!$G143=0,"-",D59/'AW Schulen'!$G143)))</f>
        <v>-</v>
      </c>
      <c r="J59" s="299" t="str">
        <f>IF('AW Schulen'!$J125=0,"x",(IF('AW Schulen'!$J143=0,"-",E59/'AW Schulen'!$J143)))</f>
        <v>-</v>
      </c>
      <c r="K59" s="299" t="str">
        <f>IF('AW Schulen'!$M125=0,"x",(IF('AW Schulen'!$M143=0,"-",F59/'AW Schulen'!$M143)))</f>
        <v>-</v>
      </c>
      <c r="L59" s="300" t="str">
        <f>IF('AW Schulen'!$P125=0,"x",(IF('AW Schulen'!$P143=0,"-",G59/'AW Schulen'!$P143)))</f>
        <v>-</v>
      </c>
    </row>
    <row r="60" spans="1:12" ht="9" customHeight="1">
      <c r="A60" s="21" t="s">
        <v>92</v>
      </c>
      <c r="B60" s="120"/>
      <c r="C60" s="295">
        <f>'2.2.7.1'!C60+'2.3.7.1'!C60</f>
        <v>0</v>
      </c>
      <c r="D60" s="193">
        <f>'2.2.7.1'!D60+'2.3.7.1'!D60</f>
        <v>0</v>
      </c>
      <c r="E60" s="193">
        <f>'2.2.7.1'!E60+'2.3.7.1'!E60</f>
        <v>0</v>
      </c>
      <c r="F60" s="193">
        <f>'2.2.7.1'!F60+'2.3.7.1'!F60</f>
        <v>0</v>
      </c>
      <c r="G60" s="194">
        <f>'2.2.7.1'!G60+'2.3.7.1'!G60</f>
        <v>0</v>
      </c>
      <c r="H60" s="183">
        <v>0</v>
      </c>
      <c r="I60" s="299" t="str">
        <f>IF('AW Schulen'!$G126=0,"x",(IF('AW Schulen'!$G144=0,"-",D60/'AW Schulen'!$G144)))</f>
        <v>x</v>
      </c>
      <c r="J60" s="299" t="str">
        <f>IF('AW Schulen'!$J126=0,"x",(IF('AW Schulen'!$J144=0,"-",E60/'AW Schulen'!$J144)))</f>
        <v>x</v>
      </c>
      <c r="K60" s="299" t="str">
        <f>IF('AW Schulen'!$M126=0,"x",(IF('AW Schulen'!$M144=0,"-",F60/'AW Schulen'!$M144)))</f>
        <v>x</v>
      </c>
      <c r="L60" s="300" t="str">
        <f>IF('AW Schulen'!$P126=0,"x",(IF('AW Schulen'!$P144=0,"-",G60/'AW Schulen'!$P144)))</f>
        <v>x</v>
      </c>
    </row>
    <row r="61" spans="1:12" ht="9" customHeight="1">
      <c r="A61" s="21" t="s">
        <v>93</v>
      </c>
      <c r="B61" s="120"/>
      <c r="C61" s="294">
        <f>'2.2.7.1'!C61+'2.3.7.1'!C61</f>
        <v>0</v>
      </c>
      <c r="D61" s="23">
        <f>'2.2.7.1'!D61+'2.3.7.1'!D61</f>
        <v>0</v>
      </c>
      <c r="E61" s="23">
        <f>'2.2.7.1'!E61+'2.3.7.1'!E61</f>
        <v>0</v>
      </c>
      <c r="F61" s="23">
        <f>'2.2.7.1'!F61+'2.3.7.1'!F61</f>
        <v>0</v>
      </c>
      <c r="G61" s="34">
        <f>'2.2.7.1'!G61+'2.3.7.1'!G61</f>
        <v>0</v>
      </c>
      <c r="H61" s="183">
        <v>0</v>
      </c>
      <c r="I61" s="183">
        <v>0</v>
      </c>
      <c r="J61" s="183">
        <v>0</v>
      </c>
      <c r="K61" s="183">
        <v>0</v>
      </c>
      <c r="L61" s="197">
        <v>0</v>
      </c>
    </row>
    <row r="62" spans="1:12" ht="9" customHeight="1">
      <c r="A62" s="21" t="s">
        <v>226</v>
      </c>
      <c r="B62" s="120"/>
      <c r="C62" s="294">
        <f>'2.2.7.1'!C62+'2.3.7.1'!C62</f>
        <v>0</v>
      </c>
      <c r="D62" s="23">
        <f>'2.2.7.1'!D62+'2.3.7.1'!D62</f>
        <v>0</v>
      </c>
      <c r="E62" s="23">
        <f>'2.2.7.1'!E62+'2.3.7.1'!E62</f>
        <v>0</v>
      </c>
      <c r="F62" s="23">
        <f>'2.2.7.1'!F62+'2.3.7.1'!F62</f>
        <v>0</v>
      </c>
      <c r="G62" s="34">
        <f>'2.2.7.1'!G62+'2.3.7.1'!G62</f>
        <v>0</v>
      </c>
      <c r="H62" s="183">
        <v>0</v>
      </c>
      <c r="I62" s="299" t="str">
        <f>IF('AW Schulen'!$G128=0,"x",(IF('AW Schulen'!$G146=0,"-",D62/'AW Schulen'!$G146)))</f>
        <v>-</v>
      </c>
      <c r="J62" s="299" t="str">
        <f>IF('AW Schulen'!$J128=0,"x",(IF('AW Schulen'!$J146=0,"-",E62/'AW Schulen'!$J146)))</f>
        <v>-</v>
      </c>
      <c r="K62" s="299" t="str">
        <f>IF('AW Schulen'!$M128=0,"x",(IF('AW Schulen'!$M146=0,"-",F62/'AW Schulen'!$M146)))</f>
        <v>-</v>
      </c>
      <c r="L62" s="300" t="str">
        <f>IF('AW Schulen'!$P128=0,"x",(IF('AW Schulen'!$P146=0,"-",G62/'AW Schulen'!$P146)))</f>
        <v>-</v>
      </c>
    </row>
    <row r="63" spans="1:12" ht="9" customHeight="1">
      <c r="A63" s="21" t="s">
        <v>95</v>
      </c>
      <c r="B63" s="120"/>
      <c r="C63" s="294">
        <f>'2.2.7.1'!C63+'2.3.7.1'!C63</f>
        <v>0</v>
      </c>
      <c r="D63" s="23">
        <f>'2.2.7.1'!D63+'2.3.7.1'!D63</f>
        <v>2</v>
      </c>
      <c r="E63" s="23">
        <f>'2.2.7.1'!E63+'2.3.7.1'!E63</f>
        <v>5</v>
      </c>
      <c r="F63" s="23">
        <f>'2.2.7.1'!F63+'2.3.7.1'!F63</f>
        <v>9</v>
      </c>
      <c r="G63" s="34">
        <f>'2.2.7.1'!G63+'2.3.7.1'!G63</f>
        <v>9</v>
      </c>
      <c r="H63" s="183">
        <v>0</v>
      </c>
      <c r="I63" s="299">
        <f>IF('AW Schulen'!$G129=0,"x",(IF('AW Schulen'!$G147=0,"-",D63/'AW Schulen'!$G147)))</f>
        <v>8.6956521739130432E-2</v>
      </c>
      <c r="J63" s="299">
        <f>IF('AW Schulen'!$J129=0,"x",(IF('AW Schulen'!$J147=0,"-",E63/'AW Schulen'!$J147)))</f>
        <v>0.16666666666666666</v>
      </c>
      <c r="K63" s="299">
        <f>IF('AW Schulen'!$M129=0,"x",(IF('AW Schulen'!$M147=0,"-",F63/'AW Schulen'!$M147)))</f>
        <v>0.25714285714285712</v>
      </c>
      <c r="L63" s="300">
        <f>IF('AW Schulen'!$P129=0,"x",(IF('AW Schulen'!$P147=0,"-",G63/'AW Schulen'!$P147)))</f>
        <v>0.22500000000000001</v>
      </c>
    </row>
    <row r="64" spans="1:12" ht="8.65" customHeight="1">
      <c r="A64" s="21" t="s">
        <v>96</v>
      </c>
      <c r="B64" s="120"/>
      <c r="C64" s="294">
        <f>'2.2.7.1'!C64+'2.3.7.1'!C64</f>
        <v>0</v>
      </c>
      <c r="D64" s="23">
        <f>'2.2.7.1'!D64+'2.3.7.1'!D64</f>
        <v>24</v>
      </c>
      <c r="E64" s="23">
        <f>'2.2.7.1'!E64+'2.3.7.1'!E64</f>
        <v>32</v>
      </c>
      <c r="F64" s="23">
        <f>'2.2.7.1'!F64+'2.3.7.1'!F64</f>
        <v>37</v>
      </c>
      <c r="G64" s="34">
        <f>'2.2.7.1'!G64+'2.3.7.1'!G64</f>
        <v>38</v>
      </c>
      <c r="H64" s="183">
        <v>0</v>
      </c>
      <c r="I64" s="299">
        <f>IF('AW Schulen'!$G130=0,"x",(IF('AW Schulen'!$G148=0,"-",D64/'AW Schulen'!$G148)))</f>
        <v>7.6433121019108277E-2</v>
      </c>
      <c r="J64" s="299">
        <f>IF('AW Schulen'!$J130=0,"x",(IF('AW Schulen'!$J148=0,"-",E64/'AW Schulen'!$J148)))</f>
        <v>0.11188811188811189</v>
      </c>
      <c r="K64" s="299">
        <f>IF('AW Schulen'!$M130=0,"x",(IF('AW Schulen'!$M148=0,"-",F64/'AW Schulen'!$M148)))</f>
        <v>0.10882352941176471</v>
      </c>
      <c r="L64" s="300">
        <f>IF('AW Schulen'!$P130=0,"x",(IF('AW Schulen'!$P148=0,"-",G64/'AW Schulen'!$P148)))</f>
        <v>0.1046831955922865</v>
      </c>
    </row>
    <row r="65" spans="1:12" ht="12.6" customHeight="1">
      <c r="A65" s="391" t="s">
        <v>100</v>
      </c>
      <c r="B65" s="392"/>
      <c r="C65" s="392"/>
      <c r="D65" s="392"/>
      <c r="E65" s="392"/>
      <c r="F65" s="392"/>
      <c r="G65" s="392"/>
      <c r="H65" s="392"/>
      <c r="I65" s="392"/>
      <c r="J65" s="392"/>
      <c r="K65" s="392"/>
      <c r="L65" s="393"/>
    </row>
    <row r="66" spans="1:12" ht="10.15" customHeight="1">
      <c r="A66" s="224" t="s">
        <v>173</v>
      </c>
      <c r="B66" s="120"/>
      <c r="C66" s="294">
        <f>'2.2.7.1'!C66+'2.3.7.1'!C66</f>
        <v>0</v>
      </c>
      <c r="D66" s="23">
        <f>'2.2.7.1'!D66+'2.3.7.1'!D66</f>
        <v>35</v>
      </c>
      <c r="E66" s="23">
        <f>'2.2.7.1'!E66+'2.3.7.1'!E66</f>
        <v>69</v>
      </c>
      <c r="F66" s="23">
        <f>'2.2.7.1'!F66+'2.3.7.1'!F66</f>
        <v>89</v>
      </c>
      <c r="G66" s="34">
        <f>'2.2.7.1'!G66+'2.3.7.1'!G66</f>
        <v>98</v>
      </c>
      <c r="H66" s="183">
        <v>0</v>
      </c>
      <c r="I66" s="299">
        <f>IF('AW Schulen'!$G114=0,"x",(IF('AW Schulen'!$G132=0,"-",D66/'AW Schulen'!$G132)))</f>
        <v>0.32407407407407407</v>
      </c>
      <c r="J66" s="299">
        <f>IF('AW Schulen'!$J114=0,"x",(IF('AW Schulen'!$J132=0,"-",E66/'AW Schulen'!$J132)))</f>
        <v>0.39884393063583817</v>
      </c>
      <c r="K66" s="299">
        <f>IF('AW Schulen'!$M114=0,"x",(IF('AW Schulen'!$M132=0,"-",F66/'AW Schulen'!$M132)))</f>
        <v>0.41203703703703703</v>
      </c>
      <c r="L66" s="300">
        <f>IF('AW Schulen'!$P114=0,"x",(IF('AW Schulen'!$P132=0,"-",G66/'AW Schulen'!$P132)))</f>
        <v>0.41880341880341881</v>
      </c>
    </row>
    <row r="67" spans="1:12" ht="10.15" customHeight="1">
      <c r="A67" s="224" t="s">
        <v>81</v>
      </c>
      <c r="B67" s="120"/>
      <c r="C67" s="294">
        <f>'2.2.7.1'!C67+'2.3.7.1'!C67</f>
        <v>0</v>
      </c>
      <c r="D67" s="23">
        <f>'2.2.7.1'!D67+'2.3.7.1'!D67</f>
        <v>0</v>
      </c>
      <c r="E67" s="23">
        <f>'2.2.7.1'!E67+'2.3.7.1'!E67</f>
        <v>0</v>
      </c>
      <c r="F67" s="23" t="e">
        <f>'2.2.7.1'!F67+'2.3.7.1'!F67</f>
        <v>#VALUE!</v>
      </c>
      <c r="G67" s="34">
        <f>'2.2.7.1'!G67+'2.3.7.1'!G67</f>
        <v>0</v>
      </c>
      <c r="H67" s="183">
        <v>0</v>
      </c>
      <c r="I67" s="299" t="str">
        <f>IF('AW Schulen'!$G115=0,"x",(IF('AW Schulen'!$G133=0,"-",D67/'AW Schulen'!$G133)))</f>
        <v>-</v>
      </c>
      <c r="J67" s="299" t="str">
        <f>IF('AW Schulen'!$J115=0,"x",(IF('AW Schulen'!$J133=0,"-",E67/'AW Schulen'!$J133)))</f>
        <v>-</v>
      </c>
      <c r="K67" s="299" t="str">
        <f>IF('AW Schulen'!$M115=0,"x",(IF('AW Schulen'!$M133=0,"-",F67/'AW Schulen'!$M133)))</f>
        <v>-</v>
      </c>
      <c r="L67" s="300" t="str">
        <f>IF('AW Schulen'!$P115=0,"x",(IF('AW Schulen'!$P133=0,"-",G67/'AW Schulen'!$P133)))</f>
        <v>-</v>
      </c>
    </row>
    <row r="68" spans="1:12" ht="10.15" customHeight="1">
      <c r="A68" s="224" t="s">
        <v>82</v>
      </c>
      <c r="B68" s="120"/>
      <c r="C68" s="294">
        <f>'2.2.7.1'!C68+'2.3.7.1'!C68</f>
        <v>0</v>
      </c>
      <c r="D68" s="23">
        <f>'2.2.7.1'!D68+'2.3.7.1'!D68</f>
        <v>43</v>
      </c>
      <c r="E68" s="23">
        <f>'2.2.7.1'!E68+'2.3.7.1'!E68</f>
        <v>22</v>
      </c>
      <c r="F68" s="23">
        <f>'2.2.7.1'!F68+'2.3.7.1'!F68</f>
        <v>32</v>
      </c>
      <c r="G68" s="34">
        <f>'2.2.7.1'!G68+'2.3.7.1'!G68</f>
        <v>35</v>
      </c>
      <c r="H68" s="183">
        <v>0</v>
      </c>
      <c r="I68" s="299">
        <f>IF('AW Schulen'!$G116=0,"x",(IF('AW Schulen'!$G134=0,"-",D68/'AW Schulen'!$G134)))</f>
        <v>0.29251700680272108</v>
      </c>
      <c r="J68" s="299">
        <f>IF('AW Schulen'!$J116=0,"x",(IF('AW Schulen'!$J134=0,"-",E68/'AW Schulen'!$J134)))</f>
        <v>0.57894736842105265</v>
      </c>
      <c r="K68" s="299">
        <f>IF('AW Schulen'!$M116=0,"x",(IF('AW Schulen'!$M134=0,"-",F68/'AW Schulen'!$M134)))</f>
        <v>0.7441860465116279</v>
      </c>
      <c r="L68" s="300">
        <f>IF('AW Schulen'!$P116=0,"x",(IF('AW Schulen'!$P134=0,"-",G68/'AW Schulen'!$P134)))</f>
        <v>0.74468085106382975</v>
      </c>
    </row>
    <row r="69" spans="1:12" ht="9" customHeight="1">
      <c r="A69" s="21" t="s">
        <v>83</v>
      </c>
      <c r="B69" s="120"/>
      <c r="C69" s="294">
        <f>'2.2.7.1'!C69+'2.3.7.1'!C69</f>
        <v>0</v>
      </c>
      <c r="D69" s="23">
        <f>'2.2.7.1'!D69+'2.3.7.1'!D69</f>
        <v>1</v>
      </c>
      <c r="E69" s="23">
        <f>'2.2.7.1'!E69+'2.3.7.1'!E69</f>
        <v>1</v>
      </c>
      <c r="F69" s="23">
        <f>'2.2.7.1'!F69+'2.3.7.1'!F69</f>
        <v>2</v>
      </c>
      <c r="G69" s="34">
        <f>'2.2.7.1'!G69+'2.3.7.1'!G69</f>
        <v>2</v>
      </c>
      <c r="H69" s="183">
        <v>0</v>
      </c>
      <c r="I69" s="299">
        <f>IF('AW Schulen'!$G117=0,"x",(IF('AW Schulen'!$G135=0,"-",D69/'AW Schulen'!$G135)))</f>
        <v>0.5</v>
      </c>
      <c r="J69" s="299">
        <f>IF('AW Schulen'!$J117=0,"x",(IF('AW Schulen'!$J135=0,"-",E69/'AW Schulen'!$J135)))</f>
        <v>0.5</v>
      </c>
      <c r="K69" s="299">
        <f>IF('AW Schulen'!$M117=0,"x",(IF('AW Schulen'!$M135=0,"-",F69/'AW Schulen'!$M135)))</f>
        <v>0.66666666666666663</v>
      </c>
      <c r="L69" s="300">
        <f>IF('AW Schulen'!$P117=0,"x",(IF('AW Schulen'!$P135=0,"-",G69/'AW Schulen'!$P135)))</f>
        <v>0.66666666666666663</v>
      </c>
    </row>
    <row r="70" spans="1:12" ht="9" customHeight="1">
      <c r="A70" s="21" t="s">
        <v>84</v>
      </c>
      <c r="B70" s="120"/>
      <c r="C70" s="294">
        <f>'2.2.7.1'!C70+'2.3.7.1'!C70</f>
        <v>0</v>
      </c>
      <c r="D70" s="23">
        <f>'2.2.7.1'!D70+'2.3.7.1'!D70</f>
        <v>0</v>
      </c>
      <c r="E70" s="23">
        <f>'2.2.7.1'!E70+'2.3.7.1'!E70</f>
        <v>0</v>
      </c>
      <c r="F70" s="23">
        <f>'2.2.7.1'!F70+'2.3.7.1'!F70</f>
        <v>0</v>
      </c>
      <c r="G70" s="34">
        <f>'2.2.7.1'!G70+'2.3.7.1'!G70</f>
        <v>0</v>
      </c>
      <c r="H70" s="183">
        <v>0</v>
      </c>
      <c r="I70" s="299" t="str">
        <f>IF('AW Schulen'!$G118=0,"x",(IF('AW Schulen'!$G136=0,"-",D70/'AW Schulen'!$G136)))</f>
        <v>-</v>
      </c>
      <c r="J70" s="299" t="str">
        <f>IF('AW Schulen'!$J118=0,"x",(IF('AW Schulen'!$J136=0,"-",E70/'AW Schulen'!$J136)))</f>
        <v>-</v>
      </c>
      <c r="K70" s="299" t="str">
        <f>IF('AW Schulen'!$M118=0,"x",(IF('AW Schulen'!$M136=0,"-",F70/'AW Schulen'!$M136)))</f>
        <v>-</v>
      </c>
      <c r="L70" s="300" t="str">
        <f>IF('AW Schulen'!$P118=0,"x",(IF('AW Schulen'!$P136=0,"-",G70/'AW Schulen'!$P136)))</f>
        <v>-</v>
      </c>
    </row>
    <row r="71" spans="1:12" ht="9" customHeight="1">
      <c r="A71" s="21" t="s">
        <v>85</v>
      </c>
      <c r="B71" s="120"/>
      <c r="C71" s="294">
        <f>'2.2.7.1'!C71+'2.3.7.1'!C71</f>
        <v>0</v>
      </c>
      <c r="D71" s="23">
        <f>'2.2.7.1'!D71+'2.3.7.1'!D71</f>
        <v>6</v>
      </c>
      <c r="E71" s="23">
        <f>'2.2.7.1'!E71+'2.3.7.1'!E71</f>
        <v>8</v>
      </c>
      <c r="F71" s="23">
        <f>'2.2.7.1'!F71+'2.3.7.1'!F71</f>
        <v>9</v>
      </c>
      <c r="G71" s="34">
        <f>'2.2.7.1'!G71+'2.3.7.1'!G71</f>
        <v>9</v>
      </c>
      <c r="H71" s="183">
        <v>0</v>
      </c>
      <c r="I71" s="299">
        <f>IF('AW Schulen'!$G119=0,"x",(IF('AW Schulen'!$G137=0,"-",D71/'AW Schulen'!$G137)))</f>
        <v>0.31578947368421051</v>
      </c>
      <c r="J71" s="299">
        <f>IF('AW Schulen'!$J119=0,"x",(IF('AW Schulen'!$J137=0,"-",E71/'AW Schulen'!$J137)))</f>
        <v>0.32</v>
      </c>
      <c r="K71" s="299">
        <f>IF('AW Schulen'!$M119=0,"x",(IF('AW Schulen'!$M137=0,"-",F71/'AW Schulen'!$M137)))</f>
        <v>0.36</v>
      </c>
      <c r="L71" s="300">
        <f>IF('AW Schulen'!$P119=0,"x",(IF('AW Schulen'!$P137=0,"-",G71/'AW Schulen'!$P137)))</f>
        <v>0.47368421052631576</v>
      </c>
    </row>
    <row r="72" spans="1:12" ht="9" customHeight="1">
      <c r="A72" s="21" t="s">
        <v>86</v>
      </c>
      <c r="B72" s="120"/>
      <c r="C72" s="294">
        <f>'2.2.7.1'!C72+'2.3.7.1'!C72</f>
        <v>0</v>
      </c>
      <c r="D72" s="23">
        <f>'2.2.7.1'!D72+'2.3.7.1'!D72</f>
        <v>9</v>
      </c>
      <c r="E72" s="23">
        <f>'2.2.7.1'!E72+'2.3.7.1'!E72</f>
        <v>11</v>
      </c>
      <c r="F72" s="23">
        <f>'2.2.7.1'!F72+'2.3.7.1'!F72</f>
        <v>11</v>
      </c>
      <c r="G72" s="34">
        <f>'2.2.7.1'!G72+'2.3.7.1'!G72</f>
        <v>13</v>
      </c>
      <c r="H72" s="183">
        <v>0</v>
      </c>
      <c r="I72" s="183">
        <v>0</v>
      </c>
      <c r="J72" s="183">
        <v>0</v>
      </c>
      <c r="K72" s="183">
        <v>0</v>
      </c>
      <c r="L72" s="197">
        <v>0</v>
      </c>
    </row>
    <row r="73" spans="1:12" ht="9" customHeight="1">
      <c r="A73" s="21" t="s">
        <v>223</v>
      </c>
      <c r="B73" s="120"/>
      <c r="C73" s="294">
        <f>'2.2.7.1'!C73+'2.3.7.1'!C73</f>
        <v>0</v>
      </c>
      <c r="D73" s="23">
        <f>'2.2.7.1'!D73+'2.3.7.1'!D73</f>
        <v>0</v>
      </c>
      <c r="E73" s="23">
        <f>'2.2.7.1'!E73+'2.3.7.1'!E73</f>
        <v>0</v>
      </c>
      <c r="F73" s="23">
        <f>'2.2.7.1'!F73+'2.3.7.1'!F73</f>
        <v>0</v>
      </c>
      <c r="G73" s="34">
        <f>'2.2.7.1'!G73+'2.3.7.1'!G73</f>
        <v>0</v>
      </c>
      <c r="H73" s="183">
        <v>0</v>
      </c>
      <c r="I73" s="299" t="str">
        <f>IF('AW Schulen'!$G121=0,"x",(IF('AW Schulen'!$G139=0,"-",D73/'AW Schulen'!$G139)))</f>
        <v>-</v>
      </c>
      <c r="J73" s="299" t="str">
        <f>IF('AW Schulen'!$J121=0,"x",(IF('AW Schulen'!$J139=0,"-",E73/'AW Schulen'!$J139)))</f>
        <v>-</v>
      </c>
      <c r="K73" s="299" t="str">
        <f>IF('AW Schulen'!$M121=0,"x",(IF('AW Schulen'!$M139=0,"-",F73/'AW Schulen'!$M139)))</f>
        <v>-</v>
      </c>
      <c r="L73" s="300" t="str">
        <f>IF('AW Schulen'!$P121=0,"x",(IF('AW Schulen'!$P139=0,"-",G73/'AW Schulen'!$P139)))</f>
        <v>-</v>
      </c>
    </row>
    <row r="74" spans="1:12" ht="9" customHeight="1">
      <c r="A74" s="21" t="s">
        <v>88</v>
      </c>
      <c r="B74" s="120"/>
      <c r="C74" s="294">
        <f>'2.2.7.1'!C74+'2.3.7.1'!C74</f>
        <v>0</v>
      </c>
      <c r="D74" s="23">
        <f>'2.2.7.1'!D74+'2.3.7.1'!D74</f>
        <v>0</v>
      </c>
      <c r="E74" s="23">
        <f>'2.2.7.1'!E74+'2.3.7.1'!E74</f>
        <v>0</v>
      </c>
      <c r="F74" s="23">
        <f>'2.2.7.1'!F74+'2.3.7.1'!F74</f>
        <v>0</v>
      </c>
      <c r="G74" s="34">
        <f>'2.2.7.1'!G74+'2.3.7.1'!G74</f>
        <v>0</v>
      </c>
      <c r="H74" s="183">
        <v>0</v>
      </c>
      <c r="I74" s="183">
        <v>0</v>
      </c>
      <c r="J74" s="183">
        <v>0</v>
      </c>
      <c r="K74" s="183">
        <v>0</v>
      </c>
      <c r="L74" s="197">
        <v>0</v>
      </c>
    </row>
    <row r="75" spans="1:12" ht="9" customHeight="1">
      <c r="A75" s="21" t="s">
        <v>89</v>
      </c>
      <c r="B75" s="120"/>
      <c r="C75" s="294">
        <f>'2.2.7.1'!C75+'2.3.7.1'!C75</f>
        <v>0</v>
      </c>
      <c r="D75" s="23">
        <f>'2.2.7.1'!D75+'2.3.7.1'!D75</f>
        <v>1</v>
      </c>
      <c r="E75" s="23">
        <f>'2.2.7.1'!E75+'2.3.7.1'!E75</f>
        <v>2</v>
      </c>
      <c r="F75" s="23">
        <f>'2.2.7.1'!F75+'2.3.7.1'!F75</f>
        <v>2</v>
      </c>
      <c r="G75" s="34">
        <f>'2.2.7.1'!G75+'2.3.7.1'!G75</f>
        <v>2</v>
      </c>
      <c r="H75" s="183">
        <v>0</v>
      </c>
      <c r="I75" s="299">
        <f>IF('AW Schulen'!$G123=0,"x",(IF('AW Schulen'!$G141=0,"-",D75/'AW Schulen'!$G141)))</f>
        <v>0.33333333333333331</v>
      </c>
      <c r="J75" s="299">
        <f>IF('AW Schulen'!$J123=0,"x",(IF('AW Schulen'!$J141=0,"-",E75/'AW Schulen'!$J141)))</f>
        <v>0.4</v>
      </c>
      <c r="K75" s="299">
        <f>IF('AW Schulen'!$M123=0,"x",(IF('AW Schulen'!$M141=0,"-",F75/'AW Schulen'!$M141)))</f>
        <v>0.4</v>
      </c>
      <c r="L75" s="300">
        <f>IF('AW Schulen'!$P123=0,"x",(IF('AW Schulen'!$P141=0,"-",G75/'AW Schulen'!$P141)))</f>
        <v>0.4</v>
      </c>
    </row>
    <row r="76" spans="1:12" ht="9" customHeight="1">
      <c r="A76" s="21" t="s">
        <v>90</v>
      </c>
      <c r="B76" s="120"/>
      <c r="C76" s="294">
        <f>'2.2.7.1'!C76+'2.3.7.1'!C76</f>
        <v>0</v>
      </c>
      <c r="D76" s="23">
        <f>'2.2.7.1'!D76+'2.3.7.1'!D76</f>
        <v>0</v>
      </c>
      <c r="E76" s="23">
        <f>'2.2.7.1'!E76+'2.3.7.1'!E76</f>
        <v>0</v>
      </c>
      <c r="F76" s="23">
        <f>'2.2.7.1'!F76+'2.3.7.1'!F76</f>
        <v>0</v>
      </c>
      <c r="G76" s="34">
        <f>'2.2.7.1'!G76+'2.3.7.1'!G76</f>
        <v>0</v>
      </c>
      <c r="H76" s="183">
        <v>0</v>
      </c>
      <c r="I76" s="299" t="str">
        <f>IF('AW Schulen'!$G124=0,"x",(IF('AW Schulen'!$G142=0,"-",D76/'AW Schulen'!$G142)))</f>
        <v>-</v>
      </c>
      <c r="J76" s="299" t="str">
        <f>IF('AW Schulen'!$J124=0,"x",(IF('AW Schulen'!$J142=0,"-",E76/'AW Schulen'!$J142)))</f>
        <v>-</v>
      </c>
      <c r="K76" s="299" t="str">
        <f>IF('AW Schulen'!$M124=0,"x",(IF('AW Schulen'!$M142=0,"-",F76/'AW Schulen'!$M142)))</f>
        <v>-</v>
      </c>
      <c r="L76" s="300" t="str">
        <f>IF('AW Schulen'!$P124=0,"x",(IF('AW Schulen'!$P142=0,"-",G76/'AW Schulen'!$P142)))</f>
        <v>-</v>
      </c>
    </row>
    <row r="77" spans="1:12" ht="9" customHeight="1">
      <c r="A77" s="21" t="s">
        <v>91</v>
      </c>
      <c r="B77" s="120"/>
      <c r="C77" s="294">
        <f>'2.2.7.1'!C77+'2.3.7.1'!C77</f>
        <v>0</v>
      </c>
      <c r="D77" s="23">
        <f>'2.2.7.1'!D77+'2.3.7.1'!D77</f>
        <v>0</v>
      </c>
      <c r="E77" s="23">
        <f>'2.2.7.1'!E77+'2.3.7.1'!E77</f>
        <v>0</v>
      </c>
      <c r="F77" s="23">
        <f>'2.2.7.1'!F77+'2.3.7.1'!F77</f>
        <v>0</v>
      </c>
      <c r="G77" s="34">
        <f>'2.2.7.1'!G77+'2.3.7.1'!G77</f>
        <v>0</v>
      </c>
      <c r="H77" s="183">
        <v>0</v>
      </c>
      <c r="I77" s="299" t="str">
        <f>IF('AW Schulen'!$G125=0,"x",(IF('AW Schulen'!$G143=0,"-",D77/'AW Schulen'!$G143)))</f>
        <v>-</v>
      </c>
      <c r="J77" s="299" t="str">
        <f>IF('AW Schulen'!$J125=0,"x",(IF('AW Schulen'!$J143=0,"-",E77/'AW Schulen'!$J143)))</f>
        <v>-</v>
      </c>
      <c r="K77" s="299" t="str">
        <f>IF('AW Schulen'!$M125=0,"x",(IF('AW Schulen'!$M143=0,"-",F77/'AW Schulen'!$M143)))</f>
        <v>-</v>
      </c>
      <c r="L77" s="300" t="str">
        <f>IF('AW Schulen'!$P125=0,"x",(IF('AW Schulen'!$P143=0,"-",G77/'AW Schulen'!$P143)))</f>
        <v>-</v>
      </c>
    </row>
    <row r="78" spans="1:12" ht="9" customHeight="1">
      <c r="A78" s="21" t="s">
        <v>92</v>
      </c>
      <c r="B78" s="120"/>
      <c r="C78" s="295">
        <f>'2.2.7.1'!C78+'2.3.7.1'!C78</f>
        <v>0</v>
      </c>
      <c r="D78" s="193">
        <f>'2.2.7.1'!D78+'2.3.7.1'!D78</f>
        <v>0</v>
      </c>
      <c r="E78" s="193">
        <f>'2.2.7.1'!E78+'2.3.7.1'!E78</f>
        <v>0</v>
      </c>
      <c r="F78" s="193">
        <f>'2.2.7.1'!F78+'2.3.7.1'!F78</f>
        <v>0</v>
      </c>
      <c r="G78" s="194">
        <f>'2.2.7.1'!G78+'2.3.7.1'!G78</f>
        <v>0</v>
      </c>
      <c r="H78" s="183">
        <v>0</v>
      </c>
      <c r="I78" s="299" t="str">
        <f>IF('AW Schulen'!$G126=0,"x",(IF('AW Schulen'!$G144=0,"-",D78/'AW Schulen'!$G144)))</f>
        <v>x</v>
      </c>
      <c r="J78" s="299" t="str">
        <f>IF('AW Schulen'!$J126=0,"x",(IF('AW Schulen'!$J144=0,"-",E78/'AW Schulen'!$J144)))</f>
        <v>x</v>
      </c>
      <c r="K78" s="299" t="str">
        <f>IF('AW Schulen'!$M126=0,"x",(IF('AW Schulen'!$M144=0,"-",F78/'AW Schulen'!$M144)))</f>
        <v>x</v>
      </c>
      <c r="L78" s="300" t="str">
        <f>IF('AW Schulen'!$P126=0,"x",(IF('AW Schulen'!$P144=0,"-",G78/'AW Schulen'!$P144)))</f>
        <v>x</v>
      </c>
    </row>
    <row r="79" spans="1:12" ht="9" customHeight="1">
      <c r="A79" s="21" t="s">
        <v>93</v>
      </c>
      <c r="B79" s="120"/>
      <c r="C79" s="294">
        <f>'2.2.7.1'!C79+'2.3.7.1'!C79</f>
        <v>0</v>
      </c>
      <c r="D79" s="23">
        <f>'2.2.7.1'!D79+'2.3.7.1'!D79</f>
        <v>0</v>
      </c>
      <c r="E79" s="23">
        <f>'2.2.7.1'!E79+'2.3.7.1'!E79</f>
        <v>0</v>
      </c>
      <c r="F79" s="23">
        <f>'2.2.7.1'!F79+'2.3.7.1'!F79</f>
        <v>0</v>
      </c>
      <c r="G79" s="34">
        <f>'2.2.7.1'!G79+'2.3.7.1'!G79</f>
        <v>0</v>
      </c>
      <c r="H79" s="183">
        <v>0</v>
      </c>
      <c r="I79" s="183">
        <v>0</v>
      </c>
      <c r="J79" s="183">
        <v>0</v>
      </c>
      <c r="K79" s="183">
        <v>0</v>
      </c>
      <c r="L79" s="197">
        <v>0</v>
      </c>
    </row>
    <row r="80" spans="1:12" ht="9" customHeight="1">
      <c r="A80" s="21" t="s">
        <v>226</v>
      </c>
      <c r="B80" s="120"/>
      <c r="C80" s="294">
        <f>'2.2.7.1'!C80+'2.3.7.1'!C80</f>
        <v>0</v>
      </c>
      <c r="D80" s="23">
        <f>'2.2.7.1'!D80+'2.3.7.1'!D80</f>
        <v>0</v>
      </c>
      <c r="E80" s="23">
        <f>'2.2.7.1'!E80+'2.3.7.1'!E80</f>
        <v>0</v>
      </c>
      <c r="F80" s="23">
        <f>'2.2.7.1'!F80+'2.3.7.1'!F80</f>
        <v>0</v>
      </c>
      <c r="G80" s="34">
        <f>'2.2.7.1'!G80+'2.3.7.1'!G80</f>
        <v>0</v>
      </c>
      <c r="H80" s="183">
        <v>0</v>
      </c>
      <c r="I80" s="299" t="str">
        <f>IF('AW Schulen'!$G128=0,"x",(IF('AW Schulen'!$G146=0,"-",D80/'AW Schulen'!$G146)))</f>
        <v>-</v>
      </c>
      <c r="J80" s="299" t="str">
        <f>IF('AW Schulen'!$J128=0,"x",(IF('AW Schulen'!$J146=0,"-",E80/'AW Schulen'!$J146)))</f>
        <v>-</v>
      </c>
      <c r="K80" s="299" t="str">
        <f>IF('AW Schulen'!$M128=0,"x",(IF('AW Schulen'!$M146=0,"-",F80/'AW Schulen'!$M146)))</f>
        <v>-</v>
      </c>
      <c r="L80" s="300" t="str">
        <f>IF('AW Schulen'!$P128=0,"x",(IF('AW Schulen'!$P146=0,"-",G80/'AW Schulen'!$P146)))</f>
        <v>-</v>
      </c>
    </row>
    <row r="81" spans="1:12" ht="9" customHeight="1">
      <c r="A81" s="21" t="s">
        <v>95</v>
      </c>
      <c r="B81" s="120"/>
      <c r="C81" s="294">
        <f>'2.2.7.1'!C81+'2.3.7.1'!C81</f>
        <v>0</v>
      </c>
      <c r="D81" s="23">
        <f>'2.2.7.1'!D81+'2.3.7.1'!D81</f>
        <v>6</v>
      </c>
      <c r="E81" s="23">
        <f>'2.2.7.1'!E81+'2.3.7.1'!E81</f>
        <v>8</v>
      </c>
      <c r="F81" s="23">
        <f>'2.2.7.1'!F81+'2.3.7.1'!F81</f>
        <v>10</v>
      </c>
      <c r="G81" s="34">
        <f>'2.2.7.1'!G81+'2.3.7.1'!G81</f>
        <v>13</v>
      </c>
      <c r="H81" s="183">
        <v>0</v>
      </c>
      <c r="I81" s="299">
        <f>IF('AW Schulen'!$G129=0,"x",(IF('AW Schulen'!$G147=0,"-",D81/'AW Schulen'!$G147)))</f>
        <v>0.2608695652173913</v>
      </c>
      <c r="J81" s="299">
        <f>IF('AW Schulen'!$J129=0,"x",(IF('AW Schulen'!$J147=0,"-",E81/'AW Schulen'!$J147)))</f>
        <v>0.26666666666666666</v>
      </c>
      <c r="K81" s="299">
        <f>IF('AW Schulen'!$M129=0,"x",(IF('AW Schulen'!$M147=0,"-",F81/'AW Schulen'!$M147)))</f>
        <v>0.2857142857142857</v>
      </c>
      <c r="L81" s="300">
        <f>IF('AW Schulen'!$P129=0,"x",(IF('AW Schulen'!$P147=0,"-",G81/'AW Schulen'!$P147)))</f>
        <v>0.32500000000000001</v>
      </c>
    </row>
    <row r="82" spans="1:12" ht="9" customHeight="1">
      <c r="A82" s="24" t="s">
        <v>96</v>
      </c>
      <c r="B82" s="121"/>
      <c r="C82" s="296">
        <f>'2.2.7.1'!C82+'2.3.7.1'!C82</f>
        <v>0</v>
      </c>
      <c r="D82" s="26">
        <f>'2.2.7.1'!D82+'2.3.7.1'!D82</f>
        <v>101</v>
      </c>
      <c r="E82" s="26">
        <f>'2.2.7.1'!E82+'2.3.7.1'!E82</f>
        <v>121</v>
      </c>
      <c r="F82" s="26">
        <f>'2.2.7.1'!F82+'2.3.7.1'!F82</f>
        <v>155</v>
      </c>
      <c r="G82" s="47">
        <f>'2.2.7.1'!G82+'2.3.7.1'!G82</f>
        <v>172</v>
      </c>
      <c r="H82" s="290">
        <v>0</v>
      </c>
      <c r="I82" s="301">
        <f>IF('AW Schulen'!$G130=0,"x",(IF('AW Schulen'!$G148=0,"-",D82/'AW Schulen'!$G148)))</f>
        <v>0.321656050955414</v>
      </c>
      <c r="J82" s="301">
        <f>IF('AW Schulen'!$J130=0,"x",(IF('AW Schulen'!$J148=0,"-",E82/'AW Schulen'!$J148)))</f>
        <v>0.42307692307692307</v>
      </c>
      <c r="K82" s="301">
        <f>IF('AW Schulen'!$M130=0,"x",(IF('AW Schulen'!$M148=0,"-",F82/'AW Schulen'!$M148)))</f>
        <v>0.45588235294117646</v>
      </c>
      <c r="L82" s="302">
        <f>IF('AW Schulen'!$P130=0,"x",(IF('AW Schulen'!$P148=0,"-",G82/'AW Schulen'!$P148)))</f>
        <v>0.47382920110192839</v>
      </c>
    </row>
    <row r="83" spans="1:12" ht="18.75" customHeight="1">
      <c r="A83" s="396" t="s">
        <v>312</v>
      </c>
      <c r="B83" s="396"/>
      <c r="C83" s="396"/>
      <c r="D83" s="396"/>
      <c r="E83" s="396"/>
      <c r="F83" s="396"/>
      <c r="G83" s="396"/>
      <c r="H83" s="396"/>
      <c r="I83" s="396"/>
      <c r="J83" s="396"/>
      <c r="K83" s="396"/>
      <c r="L83" s="396"/>
    </row>
    <row r="84" spans="1:12" ht="10.15" customHeight="1">
      <c r="A84" s="400" t="s">
        <v>274</v>
      </c>
      <c r="B84" s="400"/>
      <c r="C84" s="400"/>
      <c r="D84" s="400"/>
      <c r="E84" s="400"/>
      <c r="F84" s="400"/>
      <c r="G84" s="400"/>
      <c r="H84" s="400"/>
      <c r="I84" s="286"/>
      <c r="J84" s="286"/>
      <c r="K84" s="316"/>
      <c r="L84" s="343"/>
    </row>
    <row r="85" spans="1:12" ht="18.75" customHeight="1">
      <c r="A85" s="381" t="s">
        <v>200</v>
      </c>
      <c r="B85" s="381"/>
      <c r="C85" s="381"/>
      <c r="D85" s="381"/>
      <c r="E85" s="381"/>
      <c r="F85" s="381"/>
      <c r="G85" s="381"/>
      <c r="H85" s="381"/>
      <c r="I85" s="381"/>
      <c r="J85" s="381"/>
      <c r="K85" s="394"/>
      <c r="L85" s="394"/>
    </row>
    <row r="86" spans="1:12" ht="17.25" customHeight="1">
      <c r="A86" s="381" t="s">
        <v>273</v>
      </c>
      <c r="B86" s="381"/>
      <c r="C86" s="381"/>
      <c r="D86" s="381"/>
      <c r="E86" s="381"/>
      <c r="F86" s="381"/>
      <c r="G86" s="381"/>
      <c r="H86" s="381"/>
      <c r="I86" s="381"/>
      <c r="J86" s="381"/>
      <c r="K86" s="394"/>
      <c r="L86" s="394"/>
    </row>
    <row r="87" spans="1:12" ht="10.5" customHeight="1">
      <c r="A87" s="306" t="s">
        <v>222</v>
      </c>
      <c r="B87" s="269"/>
      <c r="C87" s="269"/>
      <c r="D87" s="269"/>
      <c r="E87" s="269"/>
      <c r="F87" s="269"/>
      <c r="G87" s="269"/>
      <c r="H87" s="269"/>
      <c r="I87" s="282"/>
      <c r="J87" s="282"/>
      <c r="K87" s="328"/>
      <c r="L87" s="328"/>
    </row>
    <row r="88" spans="1:12" ht="10.15" customHeight="1">
      <c r="A88" s="400" t="s">
        <v>225</v>
      </c>
      <c r="B88" s="400"/>
      <c r="C88" s="400"/>
      <c r="D88" s="400"/>
      <c r="E88" s="400"/>
      <c r="F88" s="400"/>
      <c r="G88" s="400"/>
      <c r="H88" s="400"/>
      <c r="I88" s="286"/>
      <c r="J88" s="286"/>
      <c r="K88" s="316"/>
      <c r="L88" s="343"/>
    </row>
    <row r="89" spans="1:12" ht="10.5" customHeight="1">
      <c r="A89" s="2" t="s">
        <v>101</v>
      </c>
    </row>
  </sheetData>
  <mergeCells count="12">
    <mergeCell ref="A1:L1"/>
    <mergeCell ref="A88:H88"/>
    <mergeCell ref="A84:H84"/>
    <mergeCell ref="C9:G9"/>
    <mergeCell ref="H9:L9"/>
    <mergeCell ref="A11:L11"/>
    <mergeCell ref="A29:L29"/>
    <mergeCell ref="A47:L47"/>
    <mergeCell ref="A65:L65"/>
    <mergeCell ref="A85:L85"/>
    <mergeCell ref="A86:L86"/>
    <mergeCell ref="A83:L83"/>
  </mergeCells>
  <conditionalFormatting sqref="N25">
    <cfRule type="cellIs" dxfId="59"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M86"/>
  <sheetViews>
    <sheetView view="pageBreakPreview" topLeftCell="A10" zoomScale="175" zoomScaleNormal="115" zoomScaleSheetLayoutView="175" workbookViewId="0">
      <selection activeCell="N23" sqref="N23:N24"/>
    </sheetView>
  </sheetViews>
  <sheetFormatPr baseColWidth="10" defaultColWidth="11.42578125" defaultRowHeight="9"/>
  <cols>
    <col min="1" max="1" width="8.7109375" style="2" customWidth="1"/>
    <col min="2" max="2" width="0.28515625" style="2" customWidth="1"/>
    <col min="3" max="12" width="6.7109375" style="2" customWidth="1"/>
    <col min="13" max="16384" width="11.42578125" style="2"/>
  </cols>
  <sheetData>
    <row r="1" spans="1:13" ht="13.5">
      <c r="A1" s="383">
        <f>'2.1.7.1'!A1:J1+1</f>
        <v>12</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4.1" customHeight="1">
      <c r="A5" s="13" t="s">
        <v>18</v>
      </c>
      <c r="B5" s="39" t="s">
        <v>133</v>
      </c>
      <c r="C5" s="14"/>
      <c r="D5" s="14"/>
      <c r="E5" s="14"/>
      <c r="F5" s="14"/>
      <c r="G5" s="14"/>
    </row>
    <row r="6" spans="1:13" s="3" customFormat="1" ht="12" customHeight="1">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148</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17</v>
      </c>
      <c r="D12" s="42">
        <f t="shared" ref="D12:E12" si="1">SUM(D30,D48,D66)</f>
        <v>16</v>
      </c>
      <c r="E12" s="42">
        <f t="shared" si="1"/>
        <v>16</v>
      </c>
      <c r="F12" s="42">
        <f t="shared" ref="F12:G12" si="2">SUM(F30,F48,F66)</f>
        <v>18</v>
      </c>
      <c r="G12" s="44">
        <f t="shared" si="2"/>
        <v>20</v>
      </c>
      <c r="H12" s="153">
        <f>IF('AW Schulen'!$D150=0,"x",C12/'AW Schulen'!$D150)</f>
        <v>0.29310344827586204</v>
      </c>
      <c r="I12" s="153">
        <f>IF('AW Schulen'!$G150=0,"x",D12/'AW Schulen'!$G150)</f>
        <v>0.27586206896551724</v>
      </c>
      <c r="J12" s="153">
        <f>IF('AW Schulen'!$J150=0,"x",E12/'AW Schulen'!$J150)</f>
        <v>0.27586206896551724</v>
      </c>
      <c r="K12" s="153">
        <f>IF('AW Schulen'!$M150=0,"x",F12/'AW Schulen'!$M150)</f>
        <v>0.30508474576271188</v>
      </c>
      <c r="L12" s="154">
        <f>IF('AW Schulen'!$P150=0,"x",G12/'AW Schulen'!$P150)</f>
        <v>0.34482758620689657</v>
      </c>
    </row>
    <row r="13" spans="1:13" ht="9" customHeight="1">
      <c r="A13" s="21" t="s">
        <v>81</v>
      </c>
      <c r="B13" s="120"/>
      <c r="C13" s="42">
        <f t="shared" ref="C13:C28" si="3">SUM(C31,C49,C67)</f>
        <v>14</v>
      </c>
      <c r="D13" s="42">
        <f t="shared" ref="D13:E13" si="4">SUM(D31,D49,D67)</f>
        <v>17</v>
      </c>
      <c r="E13" s="42">
        <f t="shared" si="4"/>
        <v>18</v>
      </c>
      <c r="F13" s="42">
        <f t="shared" ref="F13:G13" si="5">SUM(F31,F49,F67)</f>
        <v>20</v>
      </c>
      <c r="G13" s="44">
        <f t="shared" si="5"/>
        <v>20</v>
      </c>
      <c r="H13" s="153">
        <f>IF('AW Schulen'!$D151=0,"x",C13/'AW Schulen'!$D151)</f>
        <v>0.66666666666666663</v>
      </c>
      <c r="I13" s="153">
        <f>IF('AW Schulen'!$G151=0,"x",D13/'AW Schulen'!$G151)</f>
        <v>0.80952380952380953</v>
      </c>
      <c r="J13" s="153">
        <f>IF('AW Schulen'!$J151=0,"x",E13/'AW Schulen'!$J151)</f>
        <v>0.81818181818181823</v>
      </c>
      <c r="K13" s="153">
        <f>IF('AW Schulen'!$M151=0,"x",F13/'AW Schulen'!$M151)</f>
        <v>0.90909090909090906</v>
      </c>
      <c r="L13" s="154">
        <f>IF('AW Schulen'!$P151=0,"x",G13/'AW Schulen'!$P151)</f>
        <v>0.86956521739130432</v>
      </c>
    </row>
    <row r="14" spans="1:13" ht="9" customHeight="1">
      <c r="A14" s="21" t="s">
        <v>82</v>
      </c>
      <c r="B14" s="120"/>
      <c r="C14" s="198">
        <f t="shared" si="3"/>
        <v>10</v>
      </c>
      <c r="D14" s="198">
        <f t="shared" ref="D14:E14" si="6">SUM(D32,D50,D68)</f>
        <v>10</v>
      </c>
      <c r="E14" s="198">
        <f t="shared" si="6"/>
        <v>9</v>
      </c>
      <c r="F14" s="198">
        <f t="shared" ref="F14:G14" si="7">SUM(F32,F50,F68)</f>
        <v>10</v>
      </c>
      <c r="G14" s="199">
        <f t="shared" si="7"/>
        <v>10</v>
      </c>
      <c r="H14" s="153">
        <f>IF('AW Schulen'!$D152=0,"x",C14/'AW Schulen'!$D152)</f>
        <v>0.90909090909090906</v>
      </c>
      <c r="I14" s="153">
        <f>IF('AW Schulen'!$G152=0,"x",D14/'AW Schulen'!$G152)</f>
        <v>1</v>
      </c>
      <c r="J14" s="153">
        <f>IF('AW Schulen'!$J152=0,"x",E14/'AW Schulen'!$J152)</f>
        <v>0.9</v>
      </c>
      <c r="K14" s="153">
        <f>IF('AW Schulen'!$M152=0,"x",F14/'AW Schulen'!$M152)</f>
        <v>1</v>
      </c>
      <c r="L14" s="154">
        <f>IF('AW Schulen'!$P152=0,"x",G14/'AW Schulen'!$P152)</f>
        <v>0.90909090909090906</v>
      </c>
    </row>
    <row r="15" spans="1:13" ht="9" customHeight="1">
      <c r="A15" s="21" t="s">
        <v>83</v>
      </c>
      <c r="B15" s="120"/>
      <c r="C15" s="149">
        <f t="shared" si="3"/>
        <v>5</v>
      </c>
      <c r="D15" s="149">
        <f t="shared" ref="D15:E15" si="8">SUM(D33,D51,D69)</f>
        <v>5</v>
      </c>
      <c r="E15" s="149">
        <f t="shared" si="8"/>
        <v>5</v>
      </c>
      <c r="F15" s="149">
        <f t="shared" ref="F15:G15" si="9">SUM(F33,F51,F69)</f>
        <v>5</v>
      </c>
      <c r="G15" s="150">
        <f t="shared" si="9"/>
        <v>5</v>
      </c>
      <c r="H15" s="153">
        <f>IF('AW Schulen'!$D153=0,"x",C15/'AW Schulen'!$D153)</f>
        <v>1</v>
      </c>
      <c r="I15" s="153">
        <f>IF('AW Schulen'!$G153=0,"x",D15/'AW Schulen'!$G153)</f>
        <v>1</v>
      </c>
      <c r="J15" s="153">
        <f>IF('AW Schulen'!$J153=0,"x",E15/'AW Schulen'!$J153)</f>
        <v>1</v>
      </c>
      <c r="K15" s="153">
        <f>IF('AW Schulen'!$M153=0,"x",F15/'AW Schulen'!$M153)</f>
        <v>1</v>
      </c>
      <c r="L15" s="154">
        <f>IF('AW Schulen'!$P153=0,"x",G15/'AW Schulen'!$P153)</f>
        <v>1</v>
      </c>
    </row>
    <row r="16" spans="1:13" ht="9" customHeight="1">
      <c r="A16" s="21" t="s">
        <v>84</v>
      </c>
      <c r="B16" s="120"/>
      <c r="C16" s="149">
        <f t="shared" si="3"/>
        <v>1</v>
      </c>
      <c r="D16" s="149">
        <f t="shared" ref="D16:E16" si="10">SUM(D34,D52,D70)</f>
        <v>1</v>
      </c>
      <c r="E16" s="149">
        <f t="shared" si="10"/>
        <v>2</v>
      </c>
      <c r="F16" s="149">
        <f t="shared" ref="F16:G16" si="11">SUM(F34,F52,F70)</f>
        <v>1</v>
      </c>
      <c r="G16" s="150">
        <f t="shared" si="11"/>
        <v>1</v>
      </c>
      <c r="H16" s="153">
        <f>IF('AW Schulen'!$D154=0,"x",C16/'AW Schulen'!$D154)</f>
        <v>0.33333333333333331</v>
      </c>
      <c r="I16" s="153">
        <f>IF('AW Schulen'!$G154=0,"x",D16/'AW Schulen'!$G154)</f>
        <v>0.33333333333333331</v>
      </c>
      <c r="J16" s="153">
        <f>IF('AW Schulen'!$J154=0,"x",E16/'AW Schulen'!$J154)</f>
        <v>0.66666666666666663</v>
      </c>
      <c r="K16" s="153">
        <f>IF('AW Schulen'!$M154=0,"x",F16/'AW Schulen'!$M154)</f>
        <v>0.33333333333333331</v>
      </c>
      <c r="L16" s="154">
        <f>IF('AW Schulen'!$P154=0,"x",G16/'AW Schulen'!$P154)</f>
        <v>0.33333333333333331</v>
      </c>
    </row>
    <row r="17" spans="1:12" ht="9" customHeight="1">
      <c r="A17" s="21" t="s">
        <v>85</v>
      </c>
      <c r="B17" s="120"/>
      <c r="C17" s="42">
        <f t="shared" si="3"/>
        <v>0</v>
      </c>
      <c r="D17" s="149">
        <f t="shared" ref="D17:E17" si="12">SUM(D35,D53,D71)</f>
        <v>1</v>
      </c>
      <c r="E17" s="149">
        <f t="shared" si="12"/>
        <v>1</v>
      </c>
      <c r="F17" s="149">
        <f t="shared" ref="F17:G17" si="13">SUM(F35,F53,F71)</f>
        <v>1</v>
      </c>
      <c r="G17" s="150">
        <f t="shared" si="13"/>
        <v>1</v>
      </c>
      <c r="H17" s="182">
        <f>IF('AW Schulen'!$D155=0,"x",C17/'AW Schulen'!$D155)</f>
        <v>0</v>
      </c>
      <c r="I17" s="153">
        <f>IF('AW Schulen'!$G155=0,"x",D17/'AW Schulen'!$G155)</f>
        <v>0.16666666666666666</v>
      </c>
      <c r="J17" s="153">
        <f>IF('AW Schulen'!$J155=0,"x",E17/'AW Schulen'!$J155)</f>
        <v>0.16666666666666666</v>
      </c>
      <c r="K17" s="153">
        <f>IF('AW Schulen'!$M155=0,"x",F17/'AW Schulen'!$M155)</f>
        <v>0.125</v>
      </c>
      <c r="L17" s="154">
        <f>IF('AW Schulen'!$P155=0,"x",G17/'AW Schulen'!$P155)</f>
        <v>0.14285714285714285</v>
      </c>
    </row>
    <row r="18" spans="1:12" ht="9" customHeight="1">
      <c r="A18" s="21" t="s">
        <v>86</v>
      </c>
      <c r="B18" s="120"/>
      <c r="C18" s="42">
        <f t="shared" si="3"/>
        <v>0</v>
      </c>
      <c r="D18" s="42">
        <f t="shared" ref="D18:E18" si="14">SUM(D36,D54,D72)</f>
        <v>0</v>
      </c>
      <c r="E18" s="42">
        <f t="shared" si="14"/>
        <v>0</v>
      </c>
      <c r="F18" s="42">
        <f t="shared" ref="F18:G18" si="15">SUM(F36,F54,F72)</f>
        <v>0</v>
      </c>
      <c r="G18" s="44">
        <f t="shared" si="15"/>
        <v>0</v>
      </c>
      <c r="H18" s="182">
        <f>IF('AW Schulen'!$D156=0,"x",C18/'AW Schulen'!$D156)</f>
        <v>0</v>
      </c>
      <c r="I18" s="182" t="str">
        <f>IF('AW Schulen'!$G156=0,"x",D18/'AW Schulen'!$G156)</f>
        <v>x</v>
      </c>
      <c r="J18" s="182" t="str">
        <f>IF('AW Schulen'!$G156=0,"x",E18/'AW Schulen'!$G156)</f>
        <v>x</v>
      </c>
      <c r="K18" s="182" t="str">
        <f>IF('AW Schulen'!$G156=0,"x",F18/'AW Schulen'!$G156)</f>
        <v>x</v>
      </c>
      <c r="L18" s="196" t="str">
        <f>IF('AW Schulen'!$G156=0,"x",G18/'AW Schulen'!$G156)</f>
        <v>x</v>
      </c>
    </row>
    <row r="19" spans="1:12" ht="9" customHeight="1">
      <c r="A19" s="21" t="s">
        <v>174</v>
      </c>
      <c r="B19" s="120"/>
      <c r="C19" s="149">
        <f t="shared" si="3"/>
        <v>3</v>
      </c>
      <c r="D19" s="149">
        <f t="shared" ref="D19:E19" si="16">SUM(D37,D55,D73)</f>
        <v>3</v>
      </c>
      <c r="E19" s="149">
        <f t="shared" si="16"/>
        <v>3</v>
      </c>
      <c r="F19" s="149">
        <f t="shared" ref="F19:G19" si="17">SUM(F37,F55,F73)</f>
        <v>2</v>
      </c>
      <c r="G19" s="150">
        <f t="shared" si="17"/>
        <v>1</v>
      </c>
      <c r="H19" s="153">
        <f>IF('AW Schulen'!$D157=0,"x",C19/'AW Schulen'!$D157)</f>
        <v>1</v>
      </c>
      <c r="I19" s="153">
        <f>IF('AW Schulen'!$G157=0,"x",D19/'AW Schulen'!$G157)</f>
        <v>1</v>
      </c>
      <c r="J19" s="153">
        <f>IF('AW Schulen'!$J157=0,"x",E19/'AW Schulen'!$J157)</f>
        <v>1</v>
      </c>
      <c r="K19" s="153">
        <f>IF('AW Schulen'!$M157=0,"x",F19/'AW Schulen'!$M157)</f>
        <v>0.5</v>
      </c>
      <c r="L19" s="154">
        <f>IF('AW Schulen'!$P157=0,"x",G19/'AW Schulen'!$P157)</f>
        <v>0.2</v>
      </c>
    </row>
    <row r="20" spans="1:12" ht="9" customHeight="1">
      <c r="A20" s="21" t="s">
        <v>88</v>
      </c>
      <c r="B20" s="120"/>
      <c r="C20" s="42">
        <f t="shared" si="3"/>
        <v>0</v>
      </c>
      <c r="D20" s="42">
        <f t="shared" ref="D20:E20" si="18">SUM(D38,D56,D74)</f>
        <v>0</v>
      </c>
      <c r="E20" s="42">
        <f t="shared" si="18"/>
        <v>0</v>
      </c>
      <c r="F20" s="42">
        <f t="shared" ref="F20:G20" si="19">SUM(F38,F56,F74)</f>
        <v>0</v>
      </c>
      <c r="G20" s="44">
        <f t="shared" si="19"/>
        <v>0</v>
      </c>
      <c r="H20" s="182">
        <f>IF('AW Schulen'!$D158=0,"x",C20/'AW Schulen'!$D158)</f>
        <v>0</v>
      </c>
      <c r="I20" s="182">
        <f>IF('AW Schulen'!$G158=0,"x",D20/'AW Schulen'!$G158)</f>
        <v>0</v>
      </c>
      <c r="J20" s="182">
        <f>IF('AW Schulen'!$G158=0,"x",E20/'AW Schulen'!$G158)</f>
        <v>0</v>
      </c>
      <c r="K20" s="182">
        <f>IF('AW Schulen'!$G158=0,"x",F20/'AW Schulen'!$G158)</f>
        <v>0</v>
      </c>
      <c r="L20" s="196">
        <f>IF('AW Schulen'!$G158=0,"x",G20/'AW Schulen'!$G158)</f>
        <v>0</v>
      </c>
    </row>
    <row r="21" spans="1:12" ht="9" customHeight="1">
      <c r="A21" s="21" t="s">
        <v>89</v>
      </c>
      <c r="B21" s="120"/>
      <c r="C21" s="42">
        <f t="shared" si="3"/>
        <v>38</v>
      </c>
      <c r="D21" s="42">
        <f t="shared" ref="D21:E21" si="20">SUM(D39,D57,D75)</f>
        <v>46</v>
      </c>
      <c r="E21" s="42">
        <f t="shared" si="20"/>
        <v>40</v>
      </c>
      <c r="F21" s="42">
        <f t="shared" ref="F21:G21" si="21">SUM(F39,F57,F75)</f>
        <v>42</v>
      </c>
      <c r="G21" s="44">
        <f t="shared" si="21"/>
        <v>43</v>
      </c>
      <c r="H21" s="153">
        <f>IF('AW Schulen'!$D159=0,"x",C21/'AW Schulen'!$D159)</f>
        <v>0.95</v>
      </c>
      <c r="I21" s="153">
        <f>IF('AW Schulen'!$G159=0,"x",D21/'AW Schulen'!$G159)</f>
        <v>1</v>
      </c>
      <c r="J21" s="153">
        <f>IF('AW Schulen'!$J159=0,"x",E21/'AW Schulen'!$J159)</f>
        <v>1</v>
      </c>
      <c r="K21" s="153">
        <f>IF('AW Schulen'!$M159=0,"x",F21/'AW Schulen'!$M159)</f>
        <v>1</v>
      </c>
      <c r="L21" s="154">
        <f>IF('AW Schulen'!$P159=0,"x",G21/'AW Schulen'!$P159)</f>
        <v>1</v>
      </c>
    </row>
    <row r="22" spans="1:12" ht="9" customHeight="1">
      <c r="A22" s="21" t="s">
        <v>90</v>
      </c>
      <c r="B22" s="120"/>
      <c r="C22" s="42">
        <f t="shared" si="3"/>
        <v>7</v>
      </c>
      <c r="D22" s="42">
        <f t="shared" ref="D22:E22" si="22">SUM(D40,D58,D76)</f>
        <v>7</v>
      </c>
      <c r="E22" s="42">
        <f t="shared" si="22"/>
        <v>6</v>
      </c>
      <c r="F22" s="42">
        <f t="shared" ref="F22:G22" si="23">SUM(F40,F58,F76)</f>
        <v>6</v>
      </c>
      <c r="G22" s="44">
        <f t="shared" si="23"/>
        <v>6</v>
      </c>
      <c r="H22" s="153">
        <f>IF('AW Schulen'!$D160=0,"x",C22/'AW Schulen'!$D160)</f>
        <v>0.77777777777777779</v>
      </c>
      <c r="I22" s="153">
        <f>IF('AW Schulen'!$G160=0,"x",D22/'AW Schulen'!$G160)</f>
        <v>0.77777777777777779</v>
      </c>
      <c r="J22" s="153">
        <f>IF('AW Schulen'!$J160=0,"x",E22/'AW Schulen'!$J160)</f>
        <v>0.75</v>
      </c>
      <c r="K22" s="153">
        <f>IF('AW Schulen'!$M160=0,"x",F22/'AW Schulen'!$M160)</f>
        <v>0.75</v>
      </c>
      <c r="L22" s="154">
        <f>IF('AW Schulen'!$P160=0,"x",G22/'AW Schulen'!$P160)</f>
        <v>0.75</v>
      </c>
    </row>
    <row r="23" spans="1:12" ht="9" customHeight="1">
      <c r="A23" s="21" t="s">
        <v>91</v>
      </c>
      <c r="B23" s="120"/>
      <c r="C23" s="42">
        <f t="shared" si="3"/>
        <v>2</v>
      </c>
      <c r="D23" s="42">
        <f t="shared" ref="D23:E23" si="24">SUM(D41,D59,D77)</f>
        <v>2</v>
      </c>
      <c r="E23" s="42">
        <f t="shared" si="24"/>
        <v>3</v>
      </c>
      <c r="F23" s="42">
        <f t="shared" ref="F23:G23" si="25">SUM(F41,F59,F77)</f>
        <v>3</v>
      </c>
      <c r="G23" s="44">
        <f t="shared" si="25"/>
        <v>3</v>
      </c>
      <c r="H23" s="153">
        <f>IF('AW Schulen'!$D161=0,"x",C23/'AW Schulen'!$D161)</f>
        <v>0.5</v>
      </c>
      <c r="I23" s="153">
        <f>IF('AW Schulen'!$G161=0,"x",D23/'AW Schulen'!$G161)</f>
        <v>0.5</v>
      </c>
      <c r="J23" s="153">
        <f>IF('AW Schulen'!$J161=0,"x",E23/'AW Schulen'!$J161)</f>
        <v>0.75</v>
      </c>
      <c r="K23" s="153">
        <f>IF('AW Schulen'!$M161=0,"x",F23/'AW Schulen'!$M161)</f>
        <v>0.75</v>
      </c>
      <c r="L23" s="154">
        <f>IF('AW Schulen'!$P161=0,"x",G23/'AW Schulen'!$P161)</f>
        <v>0.75</v>
      </c>
    </row>
    <row r="24" spans="1:12" ht="9" customHeight="1">
      <c r="A24" s="21" t="s">
        <v>92</v>
      </c>
      <c r="B24" s="120"/>
      <c r="C24" s="198">
        <f t="shared" si="3"/>
        <v>4</v>
      </c>
      <c r="D24" s="198">
        <f t="shared" ref="D24:E24" si="26">SUM(D42,D60,D78)</f>
        <v>5</v>
      </c>
      <c r="E24" s="198">
        <f t="shared" si="26"/>
        <v>5</v>
      </c>
      <c r="F24" s="198">
        <f t="shared" ref="F24:G24" si="27">SUM(F42,F60,F78)</f>
        <v>6</v>
      </c>
      <c r="G24" s="199">
        <f t="shared" si="27"/>
        <v>6</v>
      </c>
      <c r="H24" s="153">
        <f>IF('AW Schulen'!$D162=0,"x",C24/'AW Schulen'!$D162)</f>
        <v>0.8</v>
      </c>
      <c r="I24" s="153">
        <f>IF('AW Schulen'!$G162=0,"x",D24/'AW Schulen'!$G162)</f>
        <v>1</v>
      </c>
      <c r="J24" s="153">
        <f>IF('AW Schulen'!$J162=0,"x",E24/'AW Schulen'!$J162)</f>
        <v>0.83333333333333337</v>
      </c>
      <c r="K24" s="153">
        <f>IF('AW Schulen'!$M162=0,"x",F24/'AW Schulen'!$M162)</f>
        <v>1</v>
      </c>
      <c r="L24" s="154">
        <f>IF('AW Schulen'!$P162=0,"x",G24/'AW Schulen'!$P162)</f>
        <v>1</v>
      </c>
    </row>
    <row r="25" spans="1:12" ht="9" customHeight="1">
      <c r="A25" s="21" t="s">
        <v>93</v>
      </c>
      <c r="B25" s="120"/>
      <c r="C25" s="186">
        <f t="shared" si="3"/>
        <v>0</v>
      </c>
      <c r="D25" s="186">
        <f t="shared" ref="D25:E25" si="28">SUM(D43,D61,D79)</f>
        <v>0</v>
      </c>
      <c r="E25" s="186">
        <f t="shared" si="28"/>
        <v>0</v>
      </c>
      <c r="F25" s="186">
        <f t="shared" ref="F25:G25" si="29">SUM(F43,F61,F79)</f>
        <v>0</v>
      </c>
      <c r="G25" s="187">
        <f t="shared" si="29"/>
        <v>0</v>
      </c>
      <c r="H25" s="182" t="str">
        <f>IF('AW Schulen'!$D163=0,".",C25/'AW Schulen'!$D163)</f>
        <v>.</v>
      </c>
      <c r="I25" s="182" t="str">
        <f>IF('AW Schulen'!$G163=0,".",D25/'AW Schulen'!$G163)</f>
        <v>.</v>
      </c>
      <c r="J25" s="182" t="str">
        <f>IF('AW Schulen'!$G163=0,".",E25/'AW Schulen'!$G163)</f>
        <v>.</v>
      </c>
      <c r="K25" s="182" t="str">
        <f>IF('AW Schulen'!$G163=0,".",F25/'AW Schulen'!$G163)</f>
        <v>.</v>
      </c>
      <c r="L25" s="196" t="str">
        <f>IF('AW Schulen'!$G163=0,".",G25/'AW Schulen'!$G163)</f>
        <v>.</v>
      </c>
    </row>
    <row r="26" spans="1:12" ht="9" customHeight="1">
      <c r="A26" s="21" t="s">
        <v>94</v>
      </c>
      <c r="B26" s="120"/>
      <c r="C26" s="42">
        <f t="shared" si="3"/>
        <v>10</v>
      </c>
      <c r="D26" s="42">
        <f t="shared" ref="D26:E26" si="30">SUM(D44,D62,D80)</f>
        <v>10</v>
      </c>
      <c r="E26" s="42">
        <f t="shared" si="30"/>
        <v>10</v>
      </c>
      <c r="F26" s="42">
        <f t="shared" ref="F26:G26" si="31">SUM(F44,F62,F80)</f>
        <v>10</v>
      </c>
      <c r="G26" s="44">
        <f t="shared" si="31"/>
        <v>10</v>
      </c>
      <c r="H26" s="153">
        <f>IF('AW Schulen'!$D164=0,"x",C26/'AW Schulen'!$D164)</f>
        <v>0.83333333333333337</v>
      </c>
      <c r="I26" s="153">
        <f>IF('AW Schulen'!$G164=0,"x",D26/'AW Schulen'!$G164)</f>
        <v>0.83333333333333337</v>
      </c>
      <c r="J26" s="153">
        <f>IF('AW Schulen'!$J164=0,"x",E26/'AW Schulen'!$J164)</f>
        <v>0.83333333333333337</v>
      </c>
      <c r="K26" s="153">
        <f>IF('AW Schulen'!$M164=0,"x",F26/'AW Schulen'!$M164)</f>
        <v>0.83333333333333337</v>
      </c>
      <c r="L26" s="154">
        <f>IF('AW Schulen'!$P164=0,"x",G26/'AW Schulen'!$P164)</f>
        <v>0.83333333333333337</v>
      </c>
    </row>
    <row r="27" spans="1:12" ht="9" customHeight="1">
      <c r="A27" s="21" t="s">
        <v>95</v>
      </c>
      <c r="B27" s="120"/>
      <c r="C27" s="198">
        <f t="shared" si="3"/>
        <v>5</v>
      </c>
      <c r="D27" s="198">
        <f t="shared" ref="D27:E27" si="32">SUM(D45,D63,D81)</f>
        <v>5</v>
      </c>
      <c r="E27" s="198">
        <f t="shared" si="32"/>
        <v>5</v>
      </c>
      <c r="F27" s="198">
        <f t="shared" ref="F27:G27" si="33">SUM(F45,F63,F81)</f>
        <v>5</v>
      </c>
      <c r="G27" s="199">
        <f t="shared" si="33"/>
        <v>5</v>
      </c>
      <c r="H27" s="153">
        <f>IF('AW Schulen'!$D165=0,"x",C27/'AW Schulen'!$D165)</f>
        <v>1</v>
      </c>
      <c r="I27" s="153">
        <f>IF('AW Schulen'!$G165=0,"x",D27/'AW Schulen'!$G165)</f>
        <v>1</v>
      </c>
      <c r="J27" s="153">
        <f>IF('AW Schulen'!$J165=0,"x",E27/'AW Schulen'!$J165)</f>
        <v>1</v>
      </c>
      <c r="K27" s="153">
        <f>IF('AW Schulen'!$M165=0,"x",F27/'AW Schulen'!$M165)</f>
        <v>1</v>
      </c>
      <c r="L27" s="154">
        <f>IF('AW Schulen'!$P165=0,"x",G27/'AW Schulen'!$P165)</f>
        <v>1</v>
      </c>
    </row>
    <row r="28" spans="1:12" ht="9" customHeight="1">
      <c r="A28" s="21" t="s">
        <v>96</v>
      </c>
      <c r="B28" s="120"/>
      <c r="C28" s="42">
        <f t="shared" si="3"/>
        <v>116</v>
      </c>
      <c r="D28" s="42">
        <f t="shared" ref="D28:E28" si="34">SUM(D46,D64,D82)</f>
        <v>128</v>
      </c>
      <c r="E28" s="42">
        <f t="shared" si="34"/>
        <v>123</v>
      </c>
      <c r="F28" s="42">
        <f t="shared" ref="F28:G28" si="35">SUM(F46,F64,F82)</f>
        <v>129</v>
      </c>
      <c r="G28" s="44">
        <f t="shared" si="35"/>
        <v>131</v>
      </c>
      <c r="H28" s="153">
        <f>IF('AW Schulen'!$D166=0,"x",C28/'AW Schulen'!$D166)</f>
        <v>0.63736263736263732</v>
      </c>
      <c r="I28" s="153">
        <f>IF('AW Schulen'!$G166=0,"x",D28/'AW Schulen'!$G166)</f>
        <v>0.68449197860962563</v>
      </c>
      <c r="J28" s="153">
        <f>IF('AW Schulen'!$J166=0,"x",E28/'AW Schulen'!$J166)</f>
        <v>0.67582417582417587</v>
      </c>
      <c r="K28" s="153">
        <f>IF('AW Schulen'!$M166=0,"x",F28/'AW Schulen'!$M166)</f>
        <v>0.68617021276595747</v>
      </c>
      <c r="L28" s="154">
        <f>IF('AW Schulen'!$P166=0,"x",G28/'AW Schulen'!$P166)</f>
        <v>0.68947368421052635</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'2.3.8'!C30</f>
        <v>5</v>
      </c>
      <c r="D30" s="23">
        <f>'2.3.8'!D30</f>
        <v>5</v>
      </c>
      <c r="E30" s="23">
        <f>'2.3.8'!E30</f>
        <v>5</v>
      </c>
      <c r="F30" s="23">
        <f>'2.3.8'!F30</f>
        <v>5</v>
      </c>
      <c r="G30" s="34">
        <f>'2.3.8'!G30</f>
        <v>4</v>
      </c>
      <c r="H30" s="155">
        <f>IF('AW Schulen'!$D150=0,"x",C30/'AW Schulen'!$D150)</f>
        <v>8.6206896551724144E-2</v>
      </c>
      <c r="I30" s="155">
        <f>IF('AW Schulen'!$G150=0,"x",D30/'AW Schulen'!$G150)</f>
        <v>8.6206896551724144E-2</v>
      </c>
      <c r="J30" s="155">
        <f>IF('AW Schulen'!$J150=0,"x",E30/'AW Schulen'!$J150)</f>
        <v>8.6206896551724144E-2</v>
      </c>
      <c r="K30" s="155">
        <f>IF('AW Schulen'!$M150=0,"x",F30/'AW Schulen'!$M150)</f>
        <v>8.4745762711864403E-2</v>
      </c>
      <c r="L30" s="156">
        <f>IF('AW Schulen'!$P150=0,"x",G30/'AW Schulen'!$P150)</f>
        <v>6.8965517241379309E-2</v>
      </c>
    </row>
    <row r="31" spans="1:12" ht="9" customHeight="1">
      <c r="A31" s="21" t="s">
        <v>81</v>
      </c>
      <c r="B31" s="120"/>
      <c r="C31" s="23">
        <f>'2.3.8'!C31</f>
        <v>0</v>
      </c>
      <c r="D31" s="23">
        <f>'2.3.8'!D31</f>
        <v>0</v>
      </c>
      <c r="E31" s="23">
        <f>'2.3.8'!E31</f>
        <v>0</v>
      </c>
      <c r="F31" s="23" t="str">
        <f>'2.3.8'!F31</f>
        <v xml:space="preserve">                                      -   </v>
      </c>
      <c r="G31" s="34">
        <f>'2.3.8'!G31</f>
        <v>0</v>
      </c>
      <c r="H31" s="155">
        <f>IF('AW Schulen'!$D151=0,"x",C31/'AW Schulen'!$D151)</f>
        <v>0</v>
      </c>
      <c r="I31" s="155">
        <f>IF('AW Schulen'!$G151=0,"x",D31/'AW Schulen'!$G151)</f>
        <v>0</v>
      </c>
      <c r="J31" s="155">
        <f>IF('AW Schulen'!$J151=0,"x",E31/'AW Schulen'!$J151)</f>
        <v>0</v>
      </c>
      <c r="K31" s="155" t="e">
        <f>IF('AW Schulen'!$M151=0,"x",F31/'AW Schulen'!$M151)</f>
        <v>#VALUE!</v>
      </c>
      <c r="L31" s="156">
        <f>IF('AW Schulen'!$P151=0,"x",G31/'AW Schulen'!$P151)</f>
        <v>0</v>
      </c>
    </row>
    <row r="32" spans="1:12" ht="9" customHeight="1">
      <c r="A32" s="21" t="s">
        <v>82</v>
      </c>
      <c r="B32" s="120"/>
      <c r="C32" s="23">
        <f>'2.3.8'!C32</f>
        <v>0</v>
      </c>
      <c r="D32" s="23">
        <f>'2.3.8'!D32</f>
        <v>0</v>
      </c>
      <c r="E32" s="23">
        <f>'2.3.8'!E32</f>
        <v>0</v>
      </c>
      <c r="F32" s="23">
        <f>'2.3.8'!F32</f>
        <v>0</v>
      </c>
      <c r="G32" s="34">
        <f>'2.3.8'!G32</f>
        <v>0</v>
      </c>
      <c r="H32" s="155">
        <f>IF('AW Schulen'!$D152=0,"x",C32/'AW Schulen'!$D152)</f>
        <v>0</v>
      </c>
      <c r="I32" s="155">
        <f>IF('AW Schulen'!$G152=0,"x",D32/'AW Schulen'!$G152)</f>
        <v>0</v>
      </c>
      <c r="J32" s="155">
        <f>IF('AW Schulen'!$J152=0,"x",E32/'AW Schulen'!$J152)</f>
        <v>0</v>
      </c>
      <c r="K32" s="155">
        <f>IF('AW Schulen'!$M152=0,"x",F32/'AW Schulen'!$M152)</f>
        <v>0</v>
      </c>
      <c r="L32" s="156">
        <f>IF('AW Schulen'!$P152=0,"x",G32/'AW Schulen'!$P152)</f>
        <v>0</v>
      </c>
    </row>
    <row r="33" spans="1:12" ht="9" customHeight="1">
      <c r="A33" s="21" t="s">
        <v>83</v>
      </c>
      <c r="B33" s="120"/>
      <c r="C33" s="23">
        <f>'2.3.8'!C33</f>
        <v>4</v>
      </c>
      <c r="D33" s="23">
        <f>'2.3.8'!D33</f>
        <v>4</v>
      </c>
      <c r="E33" s="23">
        <f>'2.3.8'!E33</f>
        <v>4</v>
      </c>
      <c r="F33" s="23">
        <f>'2.3.8'!F33</f>
        <v>4</v>
      </c>
      <c r="G33" s="34">
        <f>'2.3.8'!G33</f>
        <v>4</v>
      </c>
      <c r="H33" s="155">
        <f>IF('AW Schulen'!$D153=0,"x",C33/'AW Schulen'!$D153)</f>
        <v>0.8</v>
      </c>
      <c r="I33" s="155">
        <f>IF('AW Schulen'!$G153=0,"x",D33/'AW Schulen'!$G153)</f>
        <v>0.8</v>
      </c>
      <c r="J33" s="155">
        <f>IF('AW Schulen'!$J153=0,"x",E33/'AW Schulen'!$J153)</f>
        <v>0.8</v>
      </c>
      <c r="K33" s="155">
        <f>IF('AW Schulen'!$M153=0,"x",F33/'AW Schulen'!$M153)</f>
        <v>0.8</v>
      </c>
      <c r="L33" s="156">
        <f>IF('AW Schulen'!$P153=0,"x",G33/'AW Schulen'!$P153)</f>
        <v>0.8</v>
      </c>
    </row>
    <row r="34" spans="1:12" ht="9" customHeight="1">
      <c r="A34" s="21" t="s">
        <v>84</v>
      </c>
      <c r="B34" s="120"/>
      <c r="C34" s="23">
        <f>'2.3.8'!C34</f>
        <v>0</v>
      </c>
      <c r="D34" s="23">
        <f>'2.3.8'!D34</f>
        <v>0</v>
      </c>
      <c r="E34" s="23">
        <f>'2.3.8'!E34</f>
        <v>0</v>
      </c>
      <c r="F34" s="23">
        <f>'2.3.8'!F34</f>
        <v>0</v>
      </c>
      <c r="G34" s="34">
        <f>'2.3.8'!G34</f>
        <v>0</v>
      </c>
      <c r="H34" s="155">
        <f>IF('AW Schulen'!$D154=0,"x",C34/'AW Schulen'!$D154)</f>
        <v>0</v>
      </c>
      <c r="I34" s="155">
        <f>IF('AW Schulen'!$G154=0,"x",D34/'AW Schulen'!$G154)</f>
        <v>0</v>
      </c>
      <c r="J34" s="155">
        <f>IF('AW Schulen'!$J154=0,"x",E34/'AW Schulen'!$J154)</f>
        <v>0</v>
      </c>
      <c r="K34" s="155">
        <f>IF('AW Schulen'!$M154=0,"x",F34/'AW Schulen'!$M154)</f>
        <v>0</v>
      </c>
      <c r="L34" s="156">
        <f>IF('AW Schulen'!$P154=0,"x",G34/'AW Schulen'!$P154)</f>
        <v>0</v>
      </c>
    </row>
    <row r="35" spans="1:12" ht="9" customHeight="1">
      <c r="A35" s="21" t="s">
        <v>85</v>
      </c>
      <c r="B35" s="120"/>
      <c r="C35" s="36">
        <f>'2.3.8'!C35</f>
        <v>0</v>
      </c>
      <c r="D35" s="36">
        <f>'2.3.8'!D35</f>
        <v>0</v>
      </c>
      <c r="E35" s="36">
        <f>'2.3.8'!E35</f>
        <v>0</v>
      </c>
      <c r="F35" s="36">
        <f>'2.3.8'!F35</f>
        <v>0</v>
      </c>
      <c r="G35" s="37">
        <f>'2.3.8'!G35</f>
        <v>0</v>
      </c>
      <c r="H35" s="183">
        <f>IF('AW Schulen'!$D155=0,"x",C35/'AW Schulen'!$D155)</f>
        <v>0</v>
      </c>
      <c r="I35" s="155">
        <f>IF('AW Schulen'!$G155=0,"x",D35/'AW Schulen'!$G155)</f>
        <v>0</v>
      </c>
      <c r="J35" s="155">
        <f>IF('AW Schulen'!$J155=0,"x",E35/'AW Schulen'!$J155)</f>
        <v>0</v>
      </c>
      <c r="K35" s="155">
        <f>IF('AW Schulen'!$M155=0,"x",F35/'AW Schulen'!$M155)</f>
        <v>0</v>
      </c>
      <c r="L35" s="156">
        <f>IF('AW Schulen'!$P155=0,"x",G35/'AW Schulen'!$P155)</f>
        <v>0</v>
      </c>
    </row>
    <row r="36" spans="1:12" ht="9" customHeight="1">
      <c r="A36" s="21" t="s">
        <v>86</v>
      </c>
      <c r="B36" s="120"/>
      <c r="C36" s="36">
        <f>'2.3.8'!C36</f>
        <v>0</v>
      </c>
      <c r="D36" s="36">
        <f>'2.3.8'!D36</f>
        <v>0</v>
      </c>
      <c r="E36" s="36">
        <f>'2.3.8'!E36</f>
        <v>0</v>
      </c>
      <c r="F36" s="36">
        <f>'2.3.8'!F36</f>
        <v>0</v>
      </c>
      <c r="G36" s="37">
        <f>'2.3.8'!G36</f>
        <v>0</v>
      </c>
      <c r="H36" s="183">
        <f>IF('AW Schulen'!$D156=0,"x",C36/'AW Schulen'!$D156)</f>
        <v>0</v>
      </c>
      <c r="I36" s="183">
        <v>0</v>
      </c>
      <c r="J36" s="183">
        <v>0</v>
      </c>
      <c r="K36" s="183">
        <v>0</v>
      </c>
      <c r="L36" s="197">
        <v>0</v>
      </c>
    </row>
    <row r="37" spans="1:12" ht="9" customHeight="1">
      <c r="A37" s="21" t="s">
        <v>174</v>
      </c>
      <c r="B37" s="120"/>
      <c r="C37" s="23">
        <f>'2.3.8'!C37</f>
        <v>0</v>
      </c>
      <c r="D37" s="23">
        <f>'2.3.8'!D37</f>
        <v>1</v>
      </c>
      <c r="E37" s="23">
        <f>'2.3.8'!E37</f>
        <v>1</v>
      </c>
      <c r="F37" s="23">
        <f>'2.3.8'!F37</f>
        <v>1</v>
      </c>
      <c r="G37" s="34">
        <f>'2.3.8'!G37</f>
        <v>1</v>
      </c>
      <c r="H37" s="155">
        <f>IF('AW Schulen'!$D157=0,"x",C37/'AW Schulen'!$D157)</f>
        <v>0</v>
      </c>
      <c r="I37" s="155">
        <f>IF('AW Schulen'!$G157=0,"x",D37/'AW Schulen'!$G157)</f>
        <v>0.33333333333333331</v>
      </c>
      <c r="J37" s="155">
        <f>IF('AW Schulen'!$J157=0,"x",E37/'AW Schulen'!$J157)</f>
        <v>0.33333333333333331</v>
      </c>
      <c r="K37" s="155">
        <f>IF('AW Schulen'!$M157=0,"x",F37/'AW Schulen'!$M157)</f>
        <v>0.25</v>
      </c>
      <c r="L37" s="156">
        <f>IF('AW Schulen'!$P157=0,"x",G37/'AW Schulen'!$P157)</f>
        <v>0.2</v>
      </c>
    </row>
    <row r="38" spans="1:12" ht="9" customHeight="1">
      <c r="A38" s="21" t="s">
        <v>88</v>
      </c>
      <c r="B38" s="120"/>
      <c r="C38" s="36">
        <f>'2.3.8'!C38</f>
        <v>0</v>
      </c>
      <c r="D38" s="36">
        <f>'2.3.8'!D38</f>
        <v>0</v>
      </c>
      <c r="E38" s="36">
        <f>'2.3.8'!E38</f>
        <v>0</v>
      </c>
      <c r="F38" s="36">
        <f>'2.3.8'!F38</f>
        <v>0</v>
      </c>
      <c r="G38" s="37">
        <f>'2.3.8'!G38</f>
        <v>0</v>
      </c>
      <c r="H38" s="183">
        <f>IF('AW Schulen'!$D158=0,"x",C38/'AW Schulen'!$D158)</f>
        <v>0</v>
      </c>
      <c r="I38" s="183">
        <f>IF('AW Schulen'!$G158=0,"x",D38/'AW Schulen'!$G158)</f>
        <v>0</v>
      </c>
      <c r="J38" s="183">
        <f>IF('AW Schulen'!$G158=0,"x",E38/'AW Schulen'!$G158)</f>
        <v>0</v>
      </c>
      <c r="K38" s="183">
        <f>IF('AW Schulen'!$G158=0,"x",F38/'AW Schulen'!$G158)</f>
        <v>0</v>
      </c>
      <c r="L38" s="197">
        <f>IF('AW Schulen'!$G158=0,"x",G38/'AW Schulen'!$G158)</f>
        <v>0</v>
      </c>
    </row>
    <row r="39" spans="1:12" ht="9" customHeight="1">
      <c r="A39" s="21" t="s">
        <v>89</v>
      </c>
      <c r="B39" s="120"/>
      <c r="C39" s="23">
        <f>'2.3.8'!C39</f>
        <v>2</v>
      </c>
      <c r="D39" s="23">
        <f>'2.3.8'!D39</f>
        <v>11</v>
      </c>
      <c r="E39" s="23">
        <f>'2.3.8'!E39</f>
        <v>5</v>
      </c>
      <c r="F39" s="23">
        <f>'2.3.8'!F39</f>
        <v>6</v>
      </c>
      <c r="G39" s="34">
        <f>'2.3.8'!G39</f>
        <v>8</v>
      </c>
      <c r="H39" s="155">
        <f>IF('AW Schulen'!$D159=0,"x",C39/'AW Schulen'!$D159)</f>
        <v>0.05</v>
      </c>
      <c r="I39" s="155">
        <f>IF('AW Schulen'!$G159=0,"x",D39/'AW Schulen'!$G159)</f>
        <v>0.2391304347826087</v>
      </c>
      <c r="J39" s="155">
        <f>IF('AW Schulen'!$J159=0,"x",E39/'AW Schulen'!$J159)</f>
        <v>0.125</v>
      </c>
      <c r="K39" s="155">
        <f>IF('AW Schulen'!$M159=0,"x",F39/'AW Schulen'!$M159)</f>
        <v>0.14285714285714285</v>
      </c>
      <c r="L39" s="156">
        <f>IF('AW Schulen'!$P159=0,"x",G39/'AW Schulen'!$P159)</f>
        <v>0.18604651162790697</v>
      </c>
    </row>
    <row r="40" spans="1:12" ht="9" customHeight="1">
      <c r="A40" s="21" t="s">
        <v>90</v>
      </c>
      <c r="B40" s="120"/>
      <c r="C40" s="23">
        <f>'2.3.8'!C40</f>
        <v>0</v>
      </c>
      <c r="D40" s="23">
        <f>'2.3.8'!D40</f>
        <v>0</v>
      </c>
      <c r="E40" s="23">
        <f>'2.3.8'!E40</f>
        <v>0</v>
      </c>
      <c r="F40" s="23">
        <f>'2.3.8'!F40</f>
        <v>0</v>
      </c>
      <c r="G40" s="34">
        <f>'2.3.8'!G40</f>
        <v>0</v>
      </c>
      <c r="H40" s="155">
        <f>IF('AW Schulen'!$D160=0,"x",C40/'AW Schulen'!$D160)</f>
        <v>0</v>
      </c>
      <c r="I40" s="155">
        <f>IF('AW Schulen'!$G160=0,"x",D40/'AW Schulen'!$G160)</f>
        <v>0</v>
      </c>
      <c r="J40" s="155">
        <f>IF('AW Schulen'!$J160=0,"x",E40/'AW Schulen'!$J160)</f>
        <v>0</v>
      </c>
      <c r="K40" s="155">
        <f>IF('AW Schulen'!$M160=0,"x",F40/'AW Schulen'!$M160)</f>
        <v>0</v>
      </c>
      <c r="L40" s="156">
        <f>IF('AW Schulen'!$P160=0,"x",G40/'AW Schulen'!$P160)</f>
        <v>0</v>
      </c>
    </row>
    <row r="41" spans="1:12" ht="9" customHeight="1">
      <c r="A41" s="21" t="s">
        <v>91</v>
      </c>
      <c r="B41" s="120"/>
      <c r="C41" s="23">
        <f>'2.3.8'!C41</f>
        <v>0</v>
      </c>
      <c r="D41" s="23">
        <f>'2.3.8'!D41</f>
        <v>0</v>
      </c>
      <c r="E41" s="23">
        <f>'2.3.8'!E41</f>
        <v>0</v>
      </c>
      <c r="F41" s="23">
        <f>'2.3.8'!F41</f>
        <v>0</v>
      </c>
      <c r="G41" s="34">
        <f>'2.3.8'!G41</f>
        <v>0</v>
      </c>
      <c r="H41" s="155">
        <f>IF('AW Schulen'!$D161=0,"x",C41/'AW Schulen'!$D161)</f>
        <v>0</v>
      </c>
      <c r="I41" s="155">
        <f>IF('AW Schulen'!$G161=0,"x",D41/'AW Schulen'!$G161)</f>
        <v>0</v>
      </c>
      <c r="J41" s="155">
        <f>IF('AW Schulen'!$J161=0,"x",E41/'AW Schulen'!$J161)</f>
        <v>0</v>
      </c>
      <c r="K41" s="155">
        <f>IF('AW Schulen'!$M161=0,"x",F41/'AW Schulen'!$M161)</f>
        <v>0</v>
      </c>
      <c r="L41" s="156">
        <f>IF('AW Schulen'!$P161=0,"x",G41/'AW Schulen'!$P161)</f>
        <v>0</v>
      </c>
    </row>
    <row r="42" spans="1:12" ht="9" customHeight="1">
      <c r="A42" s="21" t="s">
        <v>92</v>
      </c>
      <c r="B42" s="120"/>
      <c r="C42" s="23">
        <f>'2.3.8'!C42</f>
        <v>1</v>
      </c>
      <c r="D42" s="23">
        <f>'2.3.8'!D42</f>
        <v>1</v>
      </c>
      <c r="E42" s="23">
        <f>'2.3.8'!E42</f>
        <v>1</v>
      </c>
      <c r="F42" s="23">
        <f>'2.3.8'!F42</f>
        <v>1</v>
      </c>
      <c r="G42" s="34">
        <f>'2.3.8'!G42</f>
        <v>0</v>
      </c>
      <c r="H42" s="155">
        <f>IF('AW Schulen'!$D162=0,"x",C42/'AW Schulen'!$D162)</f>
        <v>0.2</v>
      </c>
      <c r="I42" s="155">
        <f>IF('AW Schulen'!$G162=0,"x",D42/'AW Schulen'!$G162)</f>
        <v>0.2</v>
      </c>
      <c r="J42" s="155">
        <f>IF('AW Schulen'!$J162=0,"x",E42/'AW Schulen'!$J162)</f>
        <v>0.16666666666666666</v>
      </c>
      <c r="K42" s="155">
        <f>IF('AW Schulen'!$M162=0,"x",F42/'AW Schulen'!$M162)</f>
        <v>0.16666666666666666</v>
      </c>
      <c r="L42" s="156">
        <f>IF('AW Schulen'!$P162=0,"x",G42/'AW Schulen'!$P162)</f>
        <v>0</v>
      </c>
    </row>
    <row r="43" spans="1:12" ht="9" customHeight="1">
      <c r="A43" s="21" t="s">
        <v>93</v>
      </c>
      <c r="B43" s="120"/>
      <c r="C43" s="36">
        <f>'2.3.8'!C43</f>
        <v>0</v>
      </c>
      <c r="D43" s="36">
        <f>'2.3.8'!D43</f>
        <v>0</v>
      </c>
      <c r="E43" s="36">
        <f>'2.3.8'!E43</f>
        <v>0</v>
      </c>
      <c r="F43" s="36">
        <f>'2.3.8'!F43</f>
        <v>0</v>
      </c>
      <c r="G43" s="37">
        <f>'2.3.8'!G43</f>
        <v>0</v>
      </c>
      <c r="H43" s="183" t="str">
        <f>IF('AW Schulen'!$D163=0,".",C43/'AW Schulen'!$D163)</f>
        <v>.</v>
      </c>
      <c r="I43" s="183" t="str">
        <f>IF('AW Schulen'!$G163=0,".",D43/'AW Schulen'!$G163)</f>
        <v>.</v>
      </c>
      <c r="J43" s="183" t="str">
        <f>IF('AW Schulen'!$G163=0,".",E43/'AW Schulen'!$G163)</f>
        <v>.</v>
      </c>
      <c r="K43" s="183" t="str">
        <f>IF('AW Schulen'!$G163=0,".",F43/'AW Schulen'!$G163)</f>
        <v>.</v>
      </c>
      <c r="L43" s="197" t="str">
        <f>IF('AW Schulen'!$G163=0,".",G43/'AW Schulen'!$G163)</f>
        <v>.</v>
      </c>
    </row>
    <row r="44" spans="1:12" ht="9" customHeight="1">
      <c r="A44" s="21" t="s">
        <v>94</v>
      </c>
      <c r="B44" s="120"/>
      <c r="C44" s="23">
        <f>'2.3.8'!C44</f>
        <v>0</v>
      </c>
      <c r="D44" s="23">
        <f>'2.3.8'!D44</f>
        <v>0</v>
      </c>
      <c r="E44" s="23">
        <f>'2.3.8'!E44</f>
        <v>0</v>
      </c>
      <c r="F44" s="23">
        <f>'2.3.8'!F44</f>
        <v>0</v>
      </c>
      <c r="G44" s="34">
        <f>'2.3.8'!G44</f>
        <v>0</v>
      </c>
      <c r="H44" s="155">
        <f>IF('AW Schulen'!$D164=0,"x",C44/'AW Schulen'!$D164)</f>
        <v>0</v>
      </c>
      <c r="I44" s="155">
        <f>IF('AW Schulen'!$G164=0,"x",D44/'AW Schulen'!$G164)</f>
        <v>0</v>
      </c>
      <c r="J44" s="155">
        <f>IF('AW Schulen'!$J164=0,"x",E44/'AW Schulen'!$J164)</f>
        <v>0</v>
      </c>
      <c r="K44" s="155">
        <f>IF('AW Schulen'!$M164=0,"x",F44/'AW Schulen'!$M164)</f>
        <v>0</v>
      </c>
      <c r="L44" s="156">
        <f>IF('AW Schulen'!$P164=0,"x",G44/'AW Schulen'!$P164)</f>
        <v>0</v>
      </c>
    </row>
    <row r="45" spans="1:12" ht="9" customHeight="1">
      <c r="A45" s="21" t="s">
        <v>95</v>
      </c>
      <c r="B45" s="120"/>
      <c r="C45" s="23">
        <f>'2.3.8'!C45</f>
        <v>1</v>
      </c>
      <c r="D45" s="23">
        <f>'2.3.8'!D45</f>
        <v>1</v>
      </c>
      <c r="E45" s="23">
        <f>'2.3.8'!E45</f>
        <v>1</v>
      </c>
      <c r="F45" s="23">
        <f>'2.3.8'!F45</f>
        <v>1</v>
      </c>
      <c r="G45" s="34">
        <f>'2.3.8'!G45</f>
        <v>1</v>
      </c>
      <c r="H45" s="155">
        <f>IF('AW Schulen'!$D165=0,"x",C45/'AW Schulen'!$D165)</f>
        <v>0.2</v>
      </c>
      <c r="I45" s="155">
        <f>IF('AW Schulen'!$G165=0,"x",D45/'AW Schulen'!$G165)</f>
        <v>0.2</v>
      </c>
      <c r="J45" s="155">
        <f>IF('AW Schulen'!$J165=0,"x",E45/'AW Schulen'!$J165)</f>
        <v>0.2</v>
      </c>
      <c r="K45" s="155">
        <f>IF('AW Schulen'!$M165=0,"x",F45/'AW Schulen'!$M165)</f>
        <v>0.2</v>
      </c>
      <c r="L45" s="156">
        <f>IF('AW Schulen'!$P165=0,"x",G45/'AW Schulen'!$P165)</f>
        <v>0.2</v>
      </c>
    </row>
    <row r="46" spans="1:12" ht="9" customHeight="1">
      <c r="A46" s="21" t="s">
        <v>96</v>
      </c>
      <c r="B46" s="120"/>
      <c r="C46" s="23">
        <f>'2.3.8'!C46</f>
        <v>13</v>
      </c>
      <c r="D46" s="23">
        <f>'2.3.8'!D46</f>
        <v>23</v>
      </c>
      <c r="E46" s="23">
        <f>'2.3.8'!E46</f>
        <v>17</v>
      </c>
      <c r="F46" s="23">
        <f>'2.3.8'!F46</f>
        <v>18</v>
      </c>
      <c r="G46" s="34">
        <f>'2.3.8'!G46</f>
        <v>18</v>
      </c>
      <c r="H46" s="155">
        <f>IF('AW Schulen'!$D166=0,"x",C46/'AW Schulen'!$D166)</f>
        <v>7.1428571428571425E-2</v>
      </c>
      <c r="I46" s="155">
        <f>IF('AW Schulen'!$G166=0,"x",D46/'AW Schulen'!$G166)</f>
        <v>0.12299465240641712</v>
      </c>
      <c r="J46" s="155">
        <f>IF('AW Schulen'!$J166=0,"x",E46/'AW Schulen'!$J166)</f>
        <v>9.3406593406593408E-2</v>
      </c>
      <c r="K46" s="155">
        <f>IF('AW Schulen'!$M166=0,"x",F46/'AW Schulen'!$M166)</f>
        <v>9.5744680851063829E-2</v>
      </c>
      <c r="L46" s="156">
        <f>IF('AW Schulen'!$P166=0,"x",G46/'AW Schulen'!$P166)</f>
        <v>9.4736842105263161E-2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'2.3.8'!C48</f>
        <v>5</v>
      </c>
      <c r="D48" s="23">
        <f>'2.3.8'!D48</f>
        <v>4</v>
      </c>
      <c r="E48" s="23">
        <f>'2.3.8'!E48</f>
        <v>4</v>
      </c>
      <c r="F48" s="23">
        <f>'2.3.8'!F48</f>
        <v>4</v>
      </c>
      <c r="G48" s="34">
        <f>'2.3.8'!G48</f>
        <v>6</v>
      </c>
      <c r="H48" s="155">
        <f>IF('AW Schulen'!$D150=0,"x",C48/'AW Schulen'!$D150)</f>
        <v>8.6206896551724144E-2</v>
      </c>
      <c r="I48" s="155">
        <f>IF('AW Schulen'!$G150=0,"x",D48/'AW Schulen'!$G150)</f>
        <v>6.8965517241379309E-2</v>
      </c>
      <c r="J48" s="155">
        <f>IF('AW Schulen'!$J150=0,"x",E48/'AW Schulen'!$J150)</f>
        <v>6.8965517241379309E-2</v>
      </c>
      <c r="K48" s="155">
        <f>IF('AW Schulen'!$M150=0,"x",F48/'AW Schulen'!$M150)</f>
        <v>6.7796610169491525E-2</v>
      </c>
      <c r="L48" s="156">
        <f>IF('AW Schulen'!$P150=0,"x",G48/'AW Schulen'!$P150)</f>
        <v>0.10344827586206896</v>
      </c>
    </row>
    <row r="49" spans="1:12" ht="9" customHeight="1">
      <c r="A49" s="21" t="s">
        <v>81</v>
      </c>
      <c r="B49" s="120"/>
      <c r="C49" s="23">
        <f>'2.3.8'!C49</f>
        <v>3</v>
      </c>
      <c r="D49" s="23">
        <f>'2.3.8'!D49</f>
        <v>2</v>
      </c>
      <c r="E49" s="23">
        <f>'2.3.8'!E49</f>
        <v>3</v>
      </c>
      <c r="F49" s="23">
        <f>'2.3.8'!F49</f>
        <v>3</v>
      </c>
      <c r="G49" s="34">
        <f>'2.3.8'!G49</f>
        <v>2</v>
      </c>
      <c r="H49" s="155">
        <f>IF('AW Schulen'!$D151=0,"x",C49/'AW Schulen'!$D151)</f>
        <v>0.14285714285714285</v>
      </c>
      <c r="I49" s="155">
        <f>IF('AW Schulen'!$G151=0,"x",D49/'AW Schulen'!$G151)</f>
        <v>9.5238095238095233E-2</v>
      </c>
      <c r="J49" s="155">
        <f>IF('AW Schulen'!$J151=0,"x",E49/'AW Schulen'!$J151)</f>
        <v>0.13636363636363635</v>
      </c>
      <c r="K49" s="155">
        <f>IF('AW Schulen'!$M151=0,"x",F49/'AW Schulen'!$M151)</f>
        <v>0.13636363636363635</v>
      </c>
      <c r="L49" s="156">
        <f>IF('AW Schulen'!$P151=0,"x",G49/'AW Schulen'!$P151)</f>
        <v>8.6956521739130432E-2</v>
      </c>
    </row>
    <row r="50" spans="1:12" ht="9" customHeight="1">
      <c r="A50" s="21" t="s">
        <v>82</v>
      </c>
      <c r="B50" s="120"/>
      <c r="C50" s="23">
        <f>'2.3.8'!C50</f>
        <v>0</v>
      </c>
      <c r="D50" s="23">
        <f>'2.3.8'!D50</f>
        <v>0</v>
      </c>
      <c r="E50" s="23">
        <f>'2.3.8'!E50</f>
        <v>0</v>
      </c>
      <c r="F50" s="23">
        <f>'2.3.8'!F50</f>
        <v>0</v>
      </c>
      <c r="G50" s="34">
        <f>'2.3.8'!G50</f>
        <v>0</v>
      </c>
      <c r="H50" s="155">
        <f>IF('AW Schulen'!$D152=0,"x",C50/'AW Schulen'!$D152)</f>
        <v>0</v>
      </c>
      <c r="I50" s="155">
        <f>IF('AW Schulen'!$G152=0,"x",D50/'AW Schulen'!$G152)</f>
        <v>0</v>
      </c>
      <c r="J50" s="155">
        <f>IF('AW Schulen'!$J152=0,"x",E50/'AW Schulen'!$J152)</f>
        <v>0</v>
      </c>
      <c r="K50" s="155">
        <f>IF('AW Schulen'!$M152=0,"x",F50/'AW Schulen'!$M152)</f>
        <v>0</v>
      </c>
      <c r="L50" s="156">
        <f>IF('AW Schulen'!$P152=0,"x",G50/'AW Schulen'!$P152)</f>
        <v>0</v>
      </c>
    </row>
    <row r="51" spans="1:12" ht="9" customHeight="1">
      <c r="A51" s="21" t="s">
        <v>83</v>
      </c>
      <c r="B51" s="120"/>
      <c r="C51" s="23">
        <f>'2.3.8'!C51</f>
        <v>0</v>
      </c>
      <c r="D51" s="23">
        <f>'2.3.8'!D51</f>
        <v>0</v>
      </c>
      <c r="E51" s="23">
        <f>'2.3.8'!E51</f>
        <v>0</v>
      </c>
      <c r="F51" s="23">
        <f>'2.3.8'!F51</f>
        <v>1</v>
      </c>
      <c r="G51" s="34">
        <f>'2.3.8'!G51</f>
        <v>1</v>
      </c>
      <c r="H51" s="155">
        <f>IF('AW Schulen'!$D153=0,"x",C51/'AW Schulen'!$D153)</f>
        <v>0</v>
      </c>
      <c r="I51" s="155">
        <f>IF('AW Schulen'!$G153=0,"x",D51/'AW Schulen'!$G153)</f>
        <v>0</v>
      </c>
      <c r="J51" s="155">
        <f>IF('AW Schulen'!$J153=0,"x",E51/'AW Schulen'!$J153)</f>
        <v>0</v>
      </c>
      <c r="K51" s="155">
        <f>IF('AW Schulen'!$M153=0,"x",F51/'AW Schulen'!$M153)</f>
        <v>0.2</v>
      </c>
      <c r="L51" s="156">
        <f>IF('AW Schulen'!$P153=0,"x",G51/'AW Schulen'!$P153)</f>
        <v>0.2</v>
      </c>
    </row>
    <row r="52" spans="1:12" ht="9" customHeight="1">
      <c r="A52" s="21" t="s">
        <v>84</v>
      </c>
      <c r="B52" s="120"/>
      <c r="C52" s="23">
        <f>'2.3.8'!C52</f>
        <v>1</v>
      </c>
      <c r="D52" s="23">
        <f>'2.3.8'!D52</f>
        <v>1</v>
      </c>
      <c r="E52" s="23">
        <f>'2.3.8'!E52</f>
        <v>2</v>
      </c>
      <c r="F52" s="23">
        <f>'2.3.8'!F52</f>
        <v>1</v>
      </c>
      <c r="G52" s="34">
        <f>'2.3.8'!G52</f>
        <v>1</v>
      </c>
      <c r="H52" s="155">
        <f>IF('AW Schulen'!$D154=0,"x",C52/'AW Schulen'!$D154)</f>
        <v>0.33333333333333331</v>
      </c>
      <c r="I52" s="155">
        <f>IF('AW Schulen'!$G154=0,"x",D52/'AW Schulen'!$G154)</f>
        <v>0.33333333333333331</v>
      </c>
      <c r="J52" s="155">
        <f>IF('AW Schulen'!$J154=0,"x",E52/'AW Schulen'!$J154)</f>
        <v>0.66666666666666663</v>
      </c>
      <c r="K52" s="155">
        <f>IF('AW Schulen'!$M154=0,"x",F52/'AW Schulen'!$M154)</f>
        <v>0.33333333333333331</v>
      </c>
      <c r="L52" s="156">
        <f>IF('AW Schulen'!$P154=0,"x",G52/'AW Schulen'!$P154)</f>
        <v>0.33333333333333331</v>
      </c>
    </row>
    <row r="53" spans="1:12" ht="9" customHeight="1">
      <c r="A53" s="21" t="s">
        <v>85</v>
      </c>
      <c r="B53" s="120"/>
      <c r="C53" s="36">
        <f>'2.3.8'!C53</f>
        <v>0</v>
      </c>
      <c r="D53" s="36">
        <f>'2.3.8'!D53</f>
        <v>1</v>
      </c>
      <c r="E53" s="36">
        <f>'2.3.8'!E53</f>
        <v>1</v>
      </c>
      <c r="F53" s="36">
        <f>'2.3.8'!F53</f>
        <v>1</v>
      </c>
      <c r="G53" s="37">
        <f>'2.3.8'!G53</f>
        <v>1</v>
      </c>
      <c r="H53" s="183">
        <f>IF('AW Schulen'!$D155=0,"x",C53/'AW Schulen'!$D155)</f>
        <v>0</v>
      </c>
      <c r="I53" s="155">
        <f>IF('AW Schulen'!$G155=0,"x",D53/'AW Schulen'!$G155)</f>
        <v>0.16666666666666666</v>
      </c>
      <c r="J53" s="155">
        <f>IF('AW Schulen'!$J155=0,"x",E53/'AW Schulen'!$J155)</f>
        <v>0.16666666666666666</v>
      </c>
      <c r="K53" s="155">
        <f>IF('AW Schulen'!$M155=0,"x",F53/'AW Schulen'!$M155)</f>
        <v>0.125</v>
      </c>
      <c r="L53" s="156">
        <f>IF('AW Schulen'!$P155=0,"x",G53/'AW Schulen'!$P155)</f>
        <v>0.14285714285714285</v>
      </c>
    </row>
    <row r="54" spans="1:12" ht="9" customHeight="1">
      <c r="A54" s="21" t="s">
        <v>86</v>
      </c>
      <c r="B54" s="120"/>
      <c r="C54" s="36">
        <f>'2.3.8'!C54</f>
        <v>0</v>
      </c>
      <c r="D54" s="36">
        <f>'2.3.8'!D54</f>
        <v>0</v>
      </c>
      <c r="E54" s="36">
        <f>'2.3.8'!E54</f>
        <v>0</v>
      </c>
      <c r="F54" s="36">
        <f>'2.3.8'!F54</f>
        <v>0</v>
      </c>
      <c r="G54" s="37">
        <f>'2.3.8'!G54</f>
        <v>0</v>
      </c>
      <c r="H54" s="183">
        <f>IF('AW Schulen'!$D156=0,"x",C54/'AW Schulen'!$D156)</f>
        <v>0</v>
      </c>
      <c r="I54" s="183">
        <v>0</v>
      </c>
      <c r="J54" s="183">
        <v>0</v>
      </c>
      <c r="K54" s="183">
        <v>0</v>
      </c>
      <c r="L54" s="197">
        <v>0</v>
      </c>
    </row>
    <row r="55" spans="1:12" ht="9" customHeight="1">
      <c r="A55" s="21" t="s">
        <v>174</v>
      </c>
      <c r="B55" s="120"/>
      <c r="C55" s="23">
        <f>'2.3.8'!C55</f>
        <v>2</v>
      </c>
      <c r="D55" s="23">
        <f>'2.3.8'!D55</f>
        <v>2</v>
      </c>
      <c r="E55" s="23">
        <f>'2.3.8'!E55</f>
        <v>2</v>
      </c>
      <c r="F55" s="23">
        <f>'2.3.8'!F55</f>
        <v>1</v>
      </c>
      <c r="G55" s="34">
        <f>'2.3.8'!G55</f>
        <v>0</v>
      </c>
      <c r="H55" s="155">
        <f>IF('AW Schulen'!$D157=0,"x",C55/'AW Schulen'!$D157)</f>
        <v>0.66666666666666663</v>
      </c>
      <c r="I55" s="155">
        <f>IF('AW Schulen'!$G157=0,"x",D55/'AW Schulen'!$G157)</f>
        <v>0.66666666666666663</v>
      </c>
      <c r="J55" s="155">
        <f>IF('AW Schulen'!$J157=0,"x",E55/'AW Schulen'!$J157)</f>
        <v>0.66666666666666663</v>
      </c>
      <c r="K55" s="155">
        <f>IF('AW Schulen'!$M157=0,"x",F55/'AW Schulen'!$M157)</f>
        <v>0.25</v>
      </c>
      <c r="L55" s="156">
        <f>IF('AW Schulen'!$P157=0,"x",G55/'AW Schulen'!$P157)</f>
        <v>0</v>
      </c>
    </row>
    <row r="56" spans="1:12" ht="9" customHeight="1">
      <c r="A56" s="21" t="s">
        <v>88</v>
      </c>
      <c r="B56" s="120"/>
      <c r="C56" s="36">
        <f>'2.3.8'!C56</f>
        <v>0</v>
      </c>
      <c r="D56" s="36">
        <f>'2.3.8'!D56</f>
        <v>0</v>
      </c>
      <c r="E56" s="36">
        <f>'2.3.8'!E56</f>
        <v>0</v>
      </c>
      <c r="F56" s="36">
        <f>'2.3.8'!F56</f>
        <v>0</v>
      </c>
      <c r="G56" s="37">
        <f>'2.3.8'!G56</f>
        <v>0</v>
      </c>
      <c r="H56" s="183">
        <f>IF('AW Schulen'!$D158=0,"x",C56/'AW Schulen'!$D158)</f>
        <v>0</v>
      </c>
      <c r="I56" s="183">
        <f>IF('AW Schulen'!$G158=0,"x",D56/'AW Schulen'!$G158)</f>
        <v>0</v>
      </c>
      <c r="J56" s="183">
        <f>IF('AW Schulen'!$G158=0,"x",E56/'AW Schulen'!$G158)</f>
        <v>0</v>
      </c>
      <c r="K56" s="183">
        <f>IF('AW Schulen'!$G158=0,"x",F56/'AW Schulen'!$G158)</f>
        <v>0</v>
      </c>
      <c r="L56" s="197">
        <f>IF('AW Schulen'!$G158=0,"x",G56/'AW Schulen'!$G158)</f>
        <v>0</v>
      </c>
    </row>
    <row r="57" spans="1:12" ht="9" customHeight="1">
      <c r="A57" s="21" t="s">
        <v>89</v>
      </c>
      <c r="B57" s="120"/>
      <c r="C57" s="23">
        <f>'2.3.8'!C57</f>
        <v>0</v>
      </c>
      <c r="D57" s="23">
        <f>'2.3.8'!D57</f>
        <v>0</v>
      </c>
      <c r="E57" s="23">
        <f>'2.3.8'!E57</f>
        <v>7</v>
      </c>
      <c r="F57" s="23">
        <f>'2.3.8'!F57</f>
        <v>2</v>
      </c>
      <c r="G57" s="34">
        <f>'2.3.8'!G57</f>
        <v>3</v>
      </c>
      <c r="H57" s="155">
        <f>IF('AW Schulen'!$D159=0,"x",C57/'AW Schulen'!$D159)</f>
        <v>0</v>
      </c>
      <c r="I57" s="155">
        <f>IF('AW Schulen'!$G159=0,"x",D57/'AW Schulen'!$G159)</f>
        <v>0</v>
      </c>
      <c r="J57" s="155">
        <f>IF('AW Schulen'!$J159=0,"x",E57/'AW Schulen'!$J159)</f>
        <v>0.17499999999999999</v>
      </c>
      <c r="K57" s="155">
        <f>IF('AW Schulen'!$M159=0,"x",F57/'AW Schulen'!$M159)</f>
        <v>4.7619047619047616E-2</v>
      </c>
      <c r="L57" s="156">
        <f>IF('AW Schulen'!$P159=0,"x",G57/'AW Schulen'!$P159)</f>
        <v>6.9767441860465115E-2</v>
      </c>
    </row>
    <row r="58" spans="1:12" ht="9" customHeight="1">
      <c r="A58" s="21" t="s">
        <v>90</v>
      </c>
      <c r="B58" s="120"/>
      <c r="C58" s="23">
        <f>'2.3.8'!C58</f>
        <v>7</v>
      </c>
      <c r="D58" s="23">
        <f>'2.3.8'!D58</f>
        <v>7</v>
      </c>
      <c r="E58" s="23">
        <f>'2.3.8'!E58</f>
        <v>6</v>
      </c>
      <c r="F58" s="23">
        <f>'2.3.8'!F58</f>
        <v>6</v>
      </c>
      <c r="G58" s="34">
        <f>'2.3.8'!G58</f>
        <v>6</v>
      </c>
      <c r="H58" s="155">
        <f>IF('AW Schulen'!$D160=0,"x",C58/'AW Schulen'!$D160)</f>
        <v>0.77777777777777779</v>
      </c>
      <c r="I58" s="155">
        <f>IF('AW Schulen'!$G160=0,"x",D58/'AW Schulen'!$G160)</f>
        <v>0.77777777777777779</v>
      </c>
      <c r="J58" s="155">
        <f>IF('AW Schulen'!$J160=0,"x",E58/'AW Schulen'!$J160)</f>
        <v>0.75</v>
      </c>
      <c r="K58" s="155">
        <f>IF('AW Schulen'!$M160=0,"x",F58/'AW Schulen'!$M160)</f>
        <v>0.75</v>
      </c>
      <c r="L58" s="156">
        <f>IF('AW Schulen'!$P160=0,"x",G58/'AW Schulen'!$P160)</f>
        <v>0.75</v>
      </c>
    </row>
    <row r="59" spans="1:12" ht="9" customHeight="1">
      <c r="A59" s="21" t="s">
        <v>91</v>
      </c>
      <c r="B59" s="120"/>
      <c r="C59" s="23">
        <f>'2.3.8'!C59</f>
        <v>0</v>
      </c>
      <c r="D59" s="23">
        <f>'2.3.8'!D59</f>
        <v>0</v>
      </c>
      <c r="E59" s="23">
        <f>'2.3.8'!E59</f>
        <v>0</v>
      </c>
      <c r="F59" s="23">
        <f>'2.3.8'!F59</f>
        <v>0</v>
      </c>
      <c r="G59" s="34">
        <f>'2.3.8'!G59</f>
        <v>0</v>
      </c>
      <c r="H59" s="155">
        <f>IF('AW Schulen'!$D161=0,"x",C59/'AW Schulen'!$D161)</f>
        <v>0</v>
      </c>
      <c r="I59" s="155">
        <f>IF('AW Schulen'!$G161=0,"x",D59/'AW Schulen'!$G161)</f>
        <v>0</v>
      </c>
      <c r="J59" s="155">
        <f>IF('AW Schulen'!$J161=0,"x",E59/'AW Schulen'!$J161)</f>
        <v>0</v>
      </c>
      <c r="K59" s="155">
        <f>IF('AW Schulen'!$M161=0,"x",F59/'AW Schulen'!$M161)</f>
        <v>0</v>
      </c>
      <c r="L59" s="156">
        <f>IF('AW Schulen'!$P161=0,"x",G59/'AW Schulen'!$P161)</f>
        <v>0</v>
      </c>
    </row>
    <row r="60" spans="1:12" ht="9" customHeight="1">
      <c r="A60" s="21" t="s">
        <v>92</v>
      </c>
      <c r="B60" s="120"/>
      <c r="C60" s="23">
        <f>'2.3.8'!C60</f>
        <v>3</v>
      </c>
      <c r="D60" s="23">
        <f>'2.3.8'!D60</f>
        <v>3</v>
      </c>
      <c r="E60" s="23">
        <f>'2.3.8'!E60</f>
        <v>3</v>
      </c>
      <c r="F60" s="23">
        <f>'2.3.8'!F60</f>
        <v>5</v>
      </c>
      <c r="G60" s="34">
        <f>'2.3.8'!G60</f>
        <v>4</v>
      </c>
      <c r="H60" s="155">
        <f>IF('AW Schulen'!$D162=0,"x",C60/'AW Schulen'!$D162)</f>
        <v>0.6</v>
      </c>
      <c r="I60" s="155">
        <f>IF('AW Schulen'!$G162=0,"x",D60/'AW Schulen'!$G162)</f>
        <v>0.6</v>
      </c>
      <c r="J60" s="155">
        <f>IF('AW Schulen'!$J162=0,"x",E60/'AW Schulen'!$J162)</f>
        <v>0.5</v>
      </c>
      <c r="K60" s="155">
        <f>IF('AW Schulen'!$M162=0,"x",F60/'AW Schulen'!$M162)</f>
        <v>0.83333333333333337</v>
      </c>
      <c r="L60" s="156">
        <f>IF('AW Schulen'!$P162=0,"x",G60/'AW Schulen'!$P162)</f>
        <v>0.66666666666666663</v>
      </c>
    </row>
    <row r="61" spans="1:12" ht="9" customHeight="1">
      <c r="A61" s="21" t="s">
        <v>93</v>
      </c>
      <c r="B61" s="120"/>
      <c r="C61" s="36">
        <f>'2.3.8'!C61</f>
        <v>0</v>
      </c>
      <c r="D61" s="36">
        <f>'2.3.8'!D61</f>
        <v>0</v>
      </c>
      <c r="E61" s="36">
        <f>'2.3.8'!E61</f>
        <v>0</v>
      </c>
      <c r="F61" s="36">
        <f>'2.3.8'!F61</f>
        <v>0</v>
      </c>
      <c r="G61" s="37">
        <f>'2.3.8'!G61</f>
        <v>0</v>
      </c>
      <c r="H61" s="183" t="str">
        <f>IF('AW Schulen'!$D163=0,".",C61/'AW Schulen'!$D163)</f>
        <v>.</v>
      </c>
      <c r="I61" s="183" t="str">
        <f>IF('AW Schulen'!$G163=0,".",D61/'AW Schulen'!$G163)</f>
        <v>.</v>
      </c>
      <c r="J61" s="183" t="str">
        <f>IF('AW Schulen'!$J163=0,".",E61/'AW Schulen'!$J163)</f>
        <v>.</v>
      </c>
      <c r="K61" s="183" t="str">
        <f>IF('AW Schulen'!$M163=0,".",F61/'AW Schulen'!$M163)</f>
        <v>.</v>
      </c>
      <c r="L61" s="197" t="str">
        <f>IF('AW Schulen'!$P163=0,".",G61/'AW Schulen'!$P163)</f>
        <v>.</v>
      </c>
    </row>
    <row r="62" spans="1:12" ht="9" customHeight="1">
      <c r="A62" s="21" t="s">
        <v>94</v>
      </c>
      <c r="B62" s="120"/>
      <c r="C62" s="23">
        <f>'2.3.8'!C62</f>
        <v>0</v>
      </c>
      <c r="D62" s="23">
        <f>'2.3.8'!D62</f>
        <v>0</v>
      </c>
      <c r="E62" s="23">
        <f>'2.3.8'!E62</f>
        <v>0</v>
      </c>
      <c r="F62" s="23">
        <f>'2.3.8'!F62</f>
        <v>0</v>
      </c>
      <c r="G62" s="34">
        <f>'2.3.8'!G62</f>
        <v>0</v>
      </c>
      <c r="H62" s="155">
        <f>IF('AW Schulen'!$D164=0,"x",C62/'AW Schulen'!$D164)</f>
        <v>0</v>
      </c>
      <c r="I62" s="155">
        <f>IF('AW Schulen'!$G164=0,"x",D62/'AW Schulen'!$G164)</f>
        <v>0</v>
      </c>
      <c r="J62" s="155">
        <f>IF('AW Schulen'!$J164=0,"x",E62/'AW Schulen'!$J164)</f>
        <v>0</v>
      </c>
      <c r="K62" s="155">
        <f>IF('AW Schulen'!$M164=0,"x",F62/'AW Schulen'!$M164)</f>
        <v>0</v>
      </c>
      <c r="L62" s="156">
        <f>IF('AW Schulen'!$P164=0,"x",G62/'AW Schulen'!$P164)</f>
        <v>0</v>
      </c>
    </row>
    <row r="63" spans="1:12" ht="9" customHeight="1">
      <c r="A63" s="21" t="s">
        <v>95</v>
      </c>
      <c r="B63" s="120"/>
      <c r="C63" s="23">
        <f>'2.3.8'!C63</f>
        <v>2</v>
      </c>
      <c r="D63" s="23">
        <f>'2.3.8'!D63</f>
        <v>2</v>
      </c>
      <c r="E63" s="23">
        <f>'2.3.8'!E63</f>
        <v>2</v>
      </c>
      <c r="F63" s="23">
        <f>'2.3.8'!F63</f>
        <v>2</v>
      </c>
      <c r="G63" s="34">
        <f>'2.3.8'!G63</f>
        <v>2</v>
      </c>
      <c r="H63" s="155">
        <f>IF('AW Schulen'!$D165=0,"x",C63/'AW Schulen'!$D165)</f>
        <v>0.4</v>
      </c>
      <c r="I63" s="155">
        <f>IF('AW Schulen'!$G165=0,"x",D63/'AW Schulen'!$G165)</f>
        <v>0.4</v>
      </c>
      <c r="J63" s="155">
        <f>IF('AW Schulen'!$J165=0,"x",E63/'AW Schulen'!$J165)</f>
        <v>0.4</v>
      </c>
      <c r="K63" s="155">
        <f>IF('AW Schulen'!$M165=0,"x",F63/'AW Schulen'!$M165)</f>
        <v>0.4</v>
      </c>
      <c r="L63" s="156">
        <f>IF('AW Schulen'!$P165=0,"x",G63/'AW Schulen'!$P165)</f>
        <v>0.4</v>
      </c>
    </row>
    <row r="64" spans="1:12" ht="8.65" customHeight="1">
      <c r="A64" s="21" t="s">
        <v>96</v>
      </c>
      <c r="B64" s="120"/>
      <c r="C64" s="23">
        <f>'2.3.8'!C64</f>
        <v>23</v>
      </c>
      <c r="D64" s="23">
        <f>'2.3.8'!D64</f>
        <v>22</v>
      </c>
      <c r="E64" s="23">
        <f>'2.3.8'!E64</f>
        <v>30</v>
      </c>
      <c r="F64" s="23">
        <f>'2.3.8'!F64</f>
        <v>26</v>
      </c>
      <c r="G64" s="34">
        <f>'2.3.8'!G64</f>
        <v>26</v>
      </c>
      <c r="H64" s="155">
        <f>IF('AW Schulen'!$D166=0,"x",C64/'AW Schulen'!$D166)</f>
        <v>0.12637362637362637</v>
      </c>
      <c r="I64" s="155">
        <f>IF('AW Schulen'!$G166=0,"x",D64/'AW Schulen'!$G166)</f>
        <v>0.11764705882352941</v>
      </c>
      <c r="J64" s="155">
        <f>IF('AW Schulen'!$J166=0,"x",E64/'AW Schulen'!$J166)</f>
        <v>0.16483516483516483</v>
      </c>
      <c r="K64" s="155">
        <f>IF('AW Schulen'!$M166=0,"x",F64/'AW Schulen'!$M166)</f>
        <v>0.13829787234042554</v>
      </c>
      <c r="L64" s="156">
        <f>IF('AW Schulen'!$P166=0,"x",G64/'AW Schulen'!$P166)</f>
        <v>0.1368421052631579</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'2.3.8'!C66</f>
        <v>7</v>
      </c>
      <c r="D66" s="23">
        <f>'2.3.8'!D66</f>
        <v>7</v>
      </c>
      <c r="E66" s="23">
        <f>'2.3.8'!E66</f>
        <v>7</v>
      </c>
      <c r="F66" s="23">
        <f>'2.3.8'!F66</f>
        <v>9</v>
      </c>
      <c r="G66" s="34">
        <f>'2.3.8'!G66</f>
        <v>10</v>
      </c>
      <c r="H66" s="155">
        <f>IF('AW Schulen'!$D150=0,"x",C66/'AW Schulen'!$D150)</f>
        <v>0.1206896551724138</v>
      </c>
      <c r="I66" s="155">
        <f>IF('AW Schulen'!$G150=0,"x",D66/'AW Schulen'!$G150)</f>
        <v>0.1206896551724138</v>
      </c>
      <c r="J66" s="155">
        <f>IF('AW Schulen'!$J150=0,"x",E66/'AW Schulen'!$J150)</f>
        <v>0.1206896551724138</v>
      </c>
      <c r="K66" s="155">
        <f>IF('AW Schulen'!$M150=0,"x",F66/'AW Schulen'!$M150)</f>
        <v>0.15254237288135594</v>
      </c>
      <c r="L66" s="156">
        <f>IF('AW Schulen'!$P150=0,"x",G66/'AW Schulen'!$P150)</f>
        <v>0.17241379310344829</v>
      </c>
    </row>
    <row r="67" spans="1:12" ht="10.15" customHeight="1">
      <c r="A67" s="224" t="s">
        <v>81</v>
      </c>
      <c r="B67" s="120"/>
      <c r="C67" s="23">
        <f>'2.3.8'!C67</f>
        <v>11</v>
      </c>
      <c r="D67" s="23">
        <f>'2.3.8'!D67</f>
        <v>15</v>
      </c>
      <c r="E67" s="23">
        <f>'2.3.8'!E67</f>
        <v>15</v>
      </c>
      <c r="F67" s="23">
        <f>'2.3.8'!F67</f>
        <v>17</v>
      </c>
      <c r="G67" s="34">
        <f>'2.3.8'!G67</f>
        <v>18</v>
      </c>
      <c r="H67" s="155">
        <f>IF('AW Schulen'!$D151=0,"x",C67/'AW Schulen'!$D151)</f>
        <v>0.52380952380952384</v>
      </c>
      <c r="I67" s="155">
        <f>IF('AW Schulen'!$G151=0,"x",D67/'AW Schulen'!$G151)</f>
        <v>0.7142857142857143</v>
      </c>
      <c r="J67" s="155">
        <f>IF('AW Schulen'!$J151=0,"x",E67/'AW Schulen'!$J151)</f>
        <v>0.68181818181818177</v>
      </c>
      <c r="K67" s="155">
        <f>IF('AW Schulen'!$M151=0,"x",F67/'AW Schulen'!$M151)</f>
        <v>0.77272727272727271</v>
      </c>
      <c r="L67" s="156">
        <f>IF('AW Schulen'!$P151=0,"x",G67/'AW Schulen'!$P151)</f>
        <v>0.78260869565217395</v>
      </c>
    </row>
    <row r="68" spans="1:12" ht="10.15" customHeight="1">
      <c r="A68" s="224" t="s">
        <v>82</v>
      </c>
      <c r="B68" s="120"/>
      <c r="C68" s="23">
        <f>'2.3.8'!C68</f>
        <v>10</v>
      </c>
      <c r="D68" s="23">
        <f>'2.3.8'!D68</f>
        <v>10</v>
      </c>
      <c r="E68" s="23">
        <f>'2.3.8'!E68</f>
        <v>9</v>
      </c>
      <c r="F68" s="23">
        <f>'2.3.8'!F68</f>
        <v>10</v>
      </c>
      <c r="G68" s="34">
        <f>'2.3.8'!G68</f>
        <v>10</v>
      </c>
      <c r="H68" s="155">
        <f>IF('AW Schulen'!$D152=0,"x",C68/'AW Schulen'!$D152)</f>
        <v>0.90909090909090906</v>
      </c>
      <c r="I68" s="155">
        <f>IF('AW Schulen'!$G152=0,"x",D68/'AW Schulen'!$G152)</f>
        <v>1</v>
      </c>
      <c r="J68" s="155">
        <f>IF('AW Schulen'!$J152=0,"x",E68/'AW Schulen'!$J152)</f>
        <v>0.9</v>
      </c>
      <c r="K68" s="155">
        <f>IF('AW Schulen'!$M152=0,"x",F68/'AW Schulen'!$M152)</f>
        <v>1</v>
      </c>
      <c r="L68" s="156">
        <f>IF('AW Schulen'!$P152=0,"x",G68/'AW Schulen'!$P152)</f>
        <v>0.90909090909090906</v>
      </c>
    </row>
    <row r="69" spans="1:12" ht="9" customHeight="1">
      <c r="A69" s="21" t="s">
        <v>83</v>
      </c>
      <c r="B69" s="120"/>
      <c r="C69" s="23">
        <f>'2.3.8'!C69</f>
        <v>1</v>
      </c>
      <c r="D69" s="23">
        <f>'2.3.8'!D69</f>
        <v>1</v>
      </c>
      <c r="E69" s="23">
        <f>'2.3.8'!E69</f>
        <v>1</v>
      </c>
      <c r="F69" s="23">
        <f>'2.3.8'!F69</f>
        <v>0</v>
      </c>
      <c r="G69" s="34">
        <f>'2.3.8'!G69</f>
        <v>0</v>
      </c>
      <c r="H69" s="155">
        <f>IF('AW Schulen'!$D153=0,"x",C69/'AW Schulen'!$D153)</f>
        <v>0.2</v>
      </c>
      <c r="I69" s="155">
        <f>IF('AW Schulen'!$G153=0,"x",D69/'AW Schulen'!$G153)</f>
        <v>0.2</v>
      </c>
      <c r="J69" s="155">
        <f>IF('AW Schulen'!$J153=0,"x",E69/'AW Schulen'!$J153)</f>
        <v>0.2</v>
      </c>
      <c r="K69" s="155">
        <f>IF('AW Schulen'!$M153=0,"x",F69/'AW Schulen'!$M153)</f>
        <v>0</v>
      </c>
      <c r="L69" s="156">
        <f>IF('AW Schulen'!$P153=0,"x",G69/'AW Schulen'!$P153)</f>
        <v>0</v>
      </c>
    </row>
    <row r="70" spans="1:12" ht="9" customHeight="1">
      <c r="A70" s="21" t="s">
        <v>84</v>
      </c>
      <c r="B70" s="120"/>
      <c r="C70" s="23">
        <f>'2.3.8'!C70</f>
        <v>0</v>
      </c>
      <c r="D70" s="23">
        <f>'2.3.8'!D70</f>
        <v>0</v>
      </c>
      <c r="E70" s="23">
        <f>'2.3.8'!E70</f>
        <v>0</v>
      </c>
      <c r="F70" s="23">
        <f>'2.3.8'!F70</f>
        <v>0</v>
      </c>
      <c r="G70" s="34">
        <f>'2.3.8'!G70</f>
        <v>0</v>
      </c>
      <c r="H70" s="155">
        <f>IF('AW Schulen'!$D154=0,"x",C70/'AW Schulen'!$D154)</f>
        <v>0</v>
      </c>
      <c r="I70" s="155">
        <f>IF('AW Schulen'!$G154=0,"x",D70/'AW Schulen'!$G154)</f>
        <v>0</v>
      </c>
      <c r="J70" s="155">
        <f>IF('AW Schulen'!$J154=0,"x",E70/'AW Schulen'!$J154)</f>
        <v>0</v>
      </c>
      <c r="K70" s="155">
        <f>IF('AW Schulen'!$M154=0,"x",F70/'AW Schulen'!$M154)</f>
        <v>0</v>
      </c>
      <c r="L70" s="156">
        <f>IF('AW Schulen'!$P154=0,"x",G70/'AW Schulen'!$P154)</f>
        <v>0</v>
      </c>
    </row>
    <row r="71" spans="1:12" ht="9" customHeight="1">
      <c r="A71" s="21" t="s">
        <v>85</v>
      </c>
      <c r="B71" s="120"/>
      <c r="C71" s="36">
        <f>'2.3.8'!C71</f>
        <v>0</v>
      </c>
      <c r="D71" s="36">
        <f>'2.3.8'!D71</f>
        <v>0</v>
      </c>
      <c r="E71" s="36">
        <f>'2.3.8'!E71</f>
        <v>0</v>
      </c>
      <c r="F71" s="36">
        <f>'2.3.8'!F71</f>
        <v>0</v>
      </c>
      <c r="G71" s="37">
        <f>'2.3.8'!G71</f>
        <v>0</v>
      </c>
      <c r="H71" s="183">
        <f>IF('AW Schulen'!$D155=0,"x",C71/'AW Schulen'!$D155)</f>
        <v>0</v>
      </c>
      <c r="I71" s="155">
        <f>IF('AW Schulen'!$G155=0,"x",D71/'AW Schulen'!$G155)</f>
        <v>0</v>
      </c>
      <c r="J71" s="155">
        <f>IF('AW Schulen'!$J155=0,"x",E71/'AW Schulen'!$J155)</f>
        <v>0</v>
      </c>
      <c r="K71" s="155">
        <f>IF('AW Schulen'!$M155=0,"x",F71/'AW Schulen'!$M155)</f>
        <v>0</v>
      </c>
      <c r="L71" s="156">
        <f>IF('AW Schulen'!$P155=0,"x",G71/'AW Schulen'!$P155)</f>
        <v>0</v>
      </c>
    </row>
    <row r="72" spans="1:12" ht="9" customHeight="1">
      <c r="A72" s="21" t="s">
        <v>86</v>
      </c>
      <c r="B72" s="120"/>
      <c r="C72" s="36">
        <f>'2.3.8'!C72</f>
        <v>0</v>
      </c>
      <c r="D72" s="36">
        <f>'2.3.8'!D72</f>
        <v>0</v>
      </c>
      <c r="E72" s="36">
        <f>'2.3.8'!E72</f>
        <v>0</v>
      </c>
      <c r="F72" s="36">
        <f>'2.3.8'!F72</f>
        <v>0</v>
      </c>
      <c r="G72" s="37">
        <f>'2.3.8'!G72</f>
        <v>0</v>
      </c>
      <c r="H72" s="183">
        <f>IF('AW Schulen'!$D156=0,"x",C72/'AW Schulen'!$D156)</f>
        <v>0</v>
      </c>
      <c r="I72" s="183">
        <v>0</v>
      </c>
      <c r="J72" s="183">
        <v>0</v>
      </c>
      <c r="K72" s="183">
        <v>0</v>
      </c>
      <c r="L72" s="197">
        <v>0</v>
      </c>
    </row>
    <row r="73" spans="1:12" ht="9" customHeight="1">
      <c r="A73" s="21" t="s">
        <v>174</v>
      </c>
      <c r="B73" s="120"/>
      <c r="C73" s="23">
        <f>'2.3.8'!C73</f>
        <v>1</v>
      </c>
      <c r="D73" s="23">
        <f>'2.3.8'!D73</f>
        <v>0</v>
      </c>
      <c r="E73" s="23">
        <f>'2.3.8'!E73</f>
        <v>0</v>
      </c>
      <c r="F73" s="23">
        <f>'2.3.8'!F73</f>
        <v>0</v>
      </c>
      <c r="G73" s="34">
        <f>'2.3.8'!G73</f>
        <v>0</v>
      </c>
      <c r="H73" s="155">
        <f>IF('AW Schulen'!$D157=0,"x",C73/'AW Schulen'!$D157)</f>
        <v>0.33333333333333331</v>
      </c>
      <c r="I73" s="155">
        <f>IF('AW Schulen'!$G157=0,"x",D73/'AW Schulen'!$G157)</f>
        <v>0</v>
      </c>
      <c r="J73" s="155">
        <f>IF('AW Schulen'!$J157=0,"x",E73/'AW Schulen'!$J157)</f>
        <v>0</v>
      </c>
      <c r="K73" s="155">
        <f>IF('AW Schulen'!$M157=0,"x",F73/'AW Schulen'!$M157)</f>
        <v>0</v>
      </c>
      <c r="L73" s="156">
        <f>IF('AW Schulen'!$P157=0,"x",G73/'AW Schulen'!$P157)</f>
        <v>0</v>
      </c>
    </row>
    <row r="74" spans="1:12" ht="9" customHeight="1">
      <c r="A74" s="21" t="s">
        <v>88</v>
      </c>
      <c r="B74" s="120"/>
      <c r="C74" s="36">
        <f>'2.3.8'!C74</f>
        <v>0</v>
      </c>
      <c r="D74" s="36">
        <f>'2.3.8'!D74</f>
        <v>0</v>
      </c>
      <c r="E74" s="36">
        <f>'2.3.8'!E74</f>
        <v>0</v>
      </c>
      <c r="F74" s="36">
        <f>'2.3.8'!F74</f>
        <v>0</v>
      </c>
      <c r="G74" s="37">
        <f>'2.3.8'!G74</f>
        <v>0</v>
      </c>
      <c r="H74" s="183">
        <f>IF('AW Schulen'!$D158=0,"x",C74/'AW Schulen'!$D158)</f>
        <v>0</v>
      </c>
      <c r="I74" s="183">
        <f>IF('AW Schulen'!$G158=0,"x",D74/'AW Schulen'!$G158)</f>
        <v>0</v>
      </c>
      <c r="J74" s="183">
        <f>IF('AW Schulen'!$G158=0,"x",E74/'AW Schulen'!$G158)</f>
        <v>0</v>
      </c>
      <c r="K74" s="183">
        <f>IF('AW Schulen'!$G158=0,"x",F74/'AW Schulen'!$G158)</f>
        <v>0</v>
      </c>
      <c r="L74" s="197">
        <f>IF('AW Schulen'!$G158=0,"x",G74/'AW Schulen'!$G158)</f>
        <v>0</v>
      </c>
    </row>
    <row r="75" spans="1:12" ht="9" customHeight="1">
      <c r="A75" s="21" t="s">
        <v>89</v>
      </c>
      <c r="B75" s="120"/>
      <c r="C75" s="23">
        <f>'2.3.8'!C75</f>
        <v>36</v>
      </c>
      <c r="D75" s="23">
        <f>'2.3.8'!D75</f>
        <v>35</v>
      </c>
      <c r="E75" s="23">
        <f>'2.3.8'!E75</f>
        <v>28</v>
      </c>
      <c r="F75" s="23">
        <f>'2.3.8'!F75</f>
        <v>34</v>
      </c>
      <c r="G75" s="34">
        <f>'2.3.8'!G75</f>
        <v>32</v>
      </c>
      <c r="H75" s="155">
        <f>IF('AW Schulen'!$D159=0,"x",C75/'AW Schulen'!$D159)</f>
        <v>0.9</v>
      </c>
      <c r="I75" s="155">
        <f>IF('AW Schulen'!$G159=0,"x",D75/'AW Schulen'!$G159)</f>
        <v>0.76086956521739135</v>
      </c>
      <c r="J75" s="155">
        <f>IF('AW Schulen'!$J159=0,"x",E75/'AW Schulen'!$J159)</f>
        <v>0.7</v>
      </c>
      <c r="K75" s="155">
        <f>IF('AW Schulen'!$M159=0,"x",F75/'AW Schulen'!$M159)</f>
        <v>0.80952380952380953</v>
      </c>
      <c r="L75" s="156">
        <f>IF('AW Schulen'!$P159=0,"x",G75/'AW Schulen'!$P159)</f>
        <v>0.7441860465116279</v>
      </c>
    </row>
    <row r="76" spans="1:12" ht="9" customHeight="1">
      <c r="A76" s="21" t="s">
        <v>90</v>
      </c>
      <c r="B76" s="120"/>
      <c r="C76" s="23">
        <f>'2.3.8'!C76</f>
        <v>0</v>
      </c>
      <c r="D76" s="23">
        <f>'2.3.8'!D76</f>
        <v>0</v>
      </c>
      <c r="E76" s="23">
        <f>'2.3.8'!E76</f>
        <v>0</v>
      </c>
      <c r="F76" s="23">
        <f>'2.3.8'!F76</f>
        <v>0</v>
      </c>
      <c r="G76" s="34">
        <f>'2.3.8'!G76</f>
        <v>0</v>
      </c>
      <c r="H76" s="155">
        <f>IF('AW Schulen'!$D160=0,"x",C76/'AW Schulen'!$D160)</f>
        <v>0</v>
      </c>
      <c r="I76" s="155">
        <f>IF('AW Schulen'!$G160=0,"x",D76/'AW Schulen'!$G160)</f>
        <v>0</v>
      </c>
      <c r="J76" s="155">
        <f>IF('AW Schulen'!$J160=0,"x",E76/'AW Schulen'!$J160)</f>
        <v>0</v>
      </c>
      <c r="K76" s="155">
        <f>IF('AW Schulen'!$M160=0,"x",F76/'AW Schulen'!$M160)</f>
        <v>0</v>
      </c>
      <c r="L76" s="156">
        <f>IF('AW Schulen'!$P160=0,"x",G76/'AW Schulen'!$P160)</f>
        <v>0</v>
      </c>
    </row>
    <row r="77" spans="1:12" ht="9" customHeight="1">
      <c r="A77" s="21" t="s">
        <v>91</v>
      </c>
      <c r="B77" s="120"/>
      <c r="C77" s="23">
        <f>'2.3.8'!C77</f>
        <v>2</v>
      </c>
      <c r="D77" s="23">
        <f>'2.3.8'!D77</f>
        <v>2</v>
      </c>
      <c r="E77" s="23">
        <f>'2.3.8'!E77</f>
        <v>3</v>
      </c>
      <c r="F77" s="23">
        <f>'2.3.8'!F77</f>
        <v>3</v>
      </c>
      <c r="G77" s="34">
        <f>'2.3.8'!G77</f>
        <v>3</v>
      </c>
      <c r="H77" s="155">
        <f>IF('AW Schulen'!$D161=0,"x",C77/'AW Schulen'!$D161)</f>
        <v>0.5</v>
      </c>
      <c r="I77" s="155">
        <f>IF('AW Schulen'!$G161=0,"x",D77/'AW Schulen'!$G161)</f>
        <v>0.5</v>
      </c>
      <c r="J77" s="155">
        <f>IF('AW Schulen'!$J161=0,"x",E77/'AW Schulen'!$J161)</f>
        <v>0.75</v>
      </c>
      <c r="K77" s="155">
        <f>IF('AW Schulen'!$M161=0,"x",F77/'AW Schulen'!$M161)</f>
        <v>0.75</v>
      </c>
      <c r="L77" s="156">
        <f>IF('AW Schulen'!$P161=0,"x",G77/'AW Schulen'!$P161)</f>
        <v>0.75</v>
      </c>
    </row>
    <row r="78" spans="1:12" ht="9" customHeight="1">
      <c r="A78" s="21" t="s">
        <v>92</v>
      </c>
      <c r="B78" s="120"/>
      <c r="C78" s="23">
        <f>'2.3.8'!C78</f>
        <v>0</v>
      </c>
      <c r="D78" s="23">
        <f>'2.3.8'!D78</f>
        <v>1</v>
      </c>
      <c r="E78" s="23">
        <f>'2.3.8'!E78</f>
        <v>1</v>
      </c>
      <c r="F78" s="23">
        <f>'2.3.8'!F78</f>
        <v>0</v>
      </c>
      <c r="G78" s="34">
        <f>'2.3.8'!G78</f>
        <v>2</v>
      </c>
      <c r="H78" s="155">
        <f>IF('AW Schulen'!$D162=0,"x",C78/'AW Schulen'!$D162)</f>
        <v>0</v>
      </c>
      <c r="I78" s="155">
        <f>IF('AW Schulen'!$G162=0,"x",D78/'AW Schulen'!$G162)</f>
        <v>0.2</v>
      </c>
      <c r="J78" s="155">
        <f>IF('AW Schulen'!$J162=0,"x",E78/'AW Schulen'!$J162)</f>
        <v>0.16666666666666666</v>
      </c>
      <c r="K78" s="155">
        <f>IF('AW Schulen'!$M162=0,"x",F78/'AW Schulen'!$M162)</f>
        <v>0</v>
      </c>
      <c r="L78" s="156">
        <f>IF('AW Schulen'!$P162=0,"x",G78/'AW Schulen'!$P162)</f>
        <v>0.33333333333333331</v>
      </c>
    </row>
    <row r="79" spans="1:12" ht="9" customHeight="1">
      <c r="A79" s="21" t="s">
        <v>93</v>
      </c>
      <c r="B79" s="120"/>
      <c r="C79" s="36">
        <f>'2.3.8'!C79</f>
        <v>0</v>
      </c>
      <c r="D79" s="36">
        <f>'2.3.8'!D79</f>
        <v>0</v>
      </c>
      <c r="E79" s="36">
        <f>'2.3.8'!E79</f>
        <v>0</v>
      </c>
      <c r="F79" s="36">
        <f>'2.3.8'!F79</f>
        <v>0</v>
      </c>
      <c r="G79" s="37">
        <f>'2.3.8'!G79</f>
        <v>0</v>
      </c>
      <c r="H79" s="183" t="str">
        <f>IF('AW Schulen'!$D163=0,".",C79/'AW Schulen'!$D163)</f>
        <v>.</v>
      </c>
      <c r="I79" s="183" t="str">
        <f>IF('AW Schulen'!$G163=0,".",D79/'AW Schulen'!$G163)</f>
        <v>.</v>
      </c>
      <c r="J79" s="183" t="str">
        <f>IF('AW Schulen'!$G163=0,".",E79/'AW Schulen'!$G163)</f>
        <v>.</v>
      </c>
      <c r="K79" s="183" t="str">
        <f>IF('AW Schulen'!$G163=0,".",F79/'AW Schulen'!$G163)</f>
        <v>.</v>
      </c>
      <c r="L79" s="197" t="str">
        <f>IF('AW Schulen'!$G163=0,".",G79/'AW Schulen'!$G163)</f>
        <v>.</v>
      </c>
    </row>
    <row r="80" spans="1:12" ht="9" customHeight="1">
      <c r="A80" s="21" t="s">
        <v>94</v>
      </c>
      <c r="B80" s="120"/>
      <c r="C80" s="23">
        <f>'2.3.8'!C80</f>
        <v>10</v>
      </c>
      <c r="D80" s="23">
        <f>'2.3.8'!D80</f>
        <v>10</v>
      </c>
      <c r="E80" s="23">
        <f>'2.3.8'!E80</f>
        <v>10</v>
      </c>
      <c r="F80" s="23">
        <f>'2.3.8'!F80</f>
        <v>10</v>
      </c>
      <c r="G80" s="34">
        <f>'2.3.8'!G80</f>
        <v>10</v>
      </c>
      <c r="H80" s="155">
        <f>IF('AW Schulen'!$D164=0,"x",C80/'AW Schulen'!$D164)</f>
        <v>0.83333333333333337</v>
      </c>
      <c r="I80" s="155">
        <f>IF('AW Schulen'!$G164=0,"x",D80/'AW Schulen'!$G164)</f>
        <v>0.83333333333333337</v>
      </c>
      <c r="J80" s="155">
        <f>IF('AW Schulen'!$J164=0,"x",E80/'AW Schulen'!$J164)</f>
        <v>0.83333333333333337</v>
      </c>
      <c r="K80" s="155">
        <f>IF('AW Schulen'!$M164=0,"x",F80/'AW Schulen'!$M164)</f>
        <v>0.83333333333333337</v>
      </c>
      <c r="L80" s="156">
        <f>IF('AW Schulen'!$P164=0,"x",G80/'AW Schulen'!$P164)</f>
        <v>0.83333333333333337</v>
      </c>
    </row>
    <row r="81" spans="1:12" ht="9" customHeight="1">
      <c r="A81" s="21" t="s">
        <v>95</v>
      </c>
      <c r="B81" s="120"/>
      <c r="C81" s="23">
        <f>'2.3.8'!C81</f>
        <v>2</v>
      </c>
      <c r="D81" s="23">
        <f>'2.3.8'!D81</f>
        <v>2</v>
      </c>
      <c r="E81" s="23">
        <f>'2.3.8'!E81</f>
        <v>2</v>
      </c>
      <c r="F81" s="23">
        <f>'2.3.8'!F81</f>
        <v>2</v>
      </c>
      <c r="G81" s="34">
        <f>'2.3.8'!G81</f>
        <v>2</v>
      </c>
      <c r="H81" s="155">
        <f>IF('AW Schulen'!$D165=0,"x",C81/'AW Schulen'!$D165)</f>
        <v>0.4</v>
      </c>
      <c r="I81" s="155">
        <f>IF('AW Schulen'!$G165=0,"x",D81/'AW Schulen'!$G165)</f>
        <v>0.4</v>
      </c>
      <c r="J81" s="155">
        <f>IF('AW Schulen'!$J165=0,"x",E81/'AW Schulen'!$J165)</f>
        <v>0.4</v>
      </c>
      <c r="K81" s="155">
        <f>IF('AW Schulen'!$M165=0,"x",F81/'AW Schulen'!$M165)</f>
        <v>0.4</v>
      </c>
      <c r="L81" s="156">
        <f>IF('AW Schulen'!$P165=0,"x",G81/'AW Schulen'!$P165)</f>
        <v>0.4</v>
      </c>
    </row>
    <row r="82" spans="1:12" ht="9" customHeight="1">
      <c r="A82" s="24" t="s">
        <v>96</v>
      </c>
      <c r="B82" s="121"/>
      <c r="C82" s="26">
        <f>'2.3.8'!C82</f>
        <v>80</v>
      </c>
      <c r="D82" s="26">
        <f>'2.3.8'!D82</f>
        <v>83</v>
      </c>
      <c r="E82" s="26">
        <f>'2.3.8'!E82</f>
        <v>76</v>
      </c>
      <c r="F82" s="26">
        <f>'2.3.8'!F82</f>
        <v>85</v>
      </c>
      <c r="G82" s="47">
        <f>'2.3.8'!G82</f>
        <v>87</v>
      </c>
      <c r="H82" s="157">
        <f>IF('AW Schulen'!$D166=0,"x",C82/'AW Schulen'!$D166)</f>
        <v>0.43956043956043955</v>
      </c>
      <c r="I82" s="157">
        <f>IF('AW Schulen'!$G166=0,"x",D82/'AW Schulen'!$G166)</f>
        <v>0.44385026737967914</v>
      </c>
      <c r="J82" s="157">
        <f>IF('AW Schulen'!$J166=0,"x",E82/'AW Schulen'!$J166)</f>
        <v>0.4175824175824176</v>
      </c>
      <c r="K82" s="157">
        <f>IF('AW Schulen'!$M166=0,"x",F82/'AW Schulen'!$M166)</f>
        <v>0.4521276595744681</v>
      </c>
      <c r="L82" s="158">
        <f>IF('AW Schulen'!$P166=0,"x",G82/'AW Schulen'!$P166)</f>
        <v>0.45789473684210524</v>
      </c>
    </row>
    <row r="83" spans="1:12" ht="18.75" customHeight="1">
      <c r="A83" s="396" t="s">
        <v>312</v>
      </c>
      <c r="B83" s="396"/>
      <c r="C83" s="396"/>
      <c r="D83" s="396"/>
      <c r="E83" s="396"/>
      <c r="F83" s="396"/>
      <c r="G83" s="396"/>
      <c r="H83" s="396"/>
      <c r="I83" s="396"/>
      <c r="J83" s="396"/>
      <c r="K83" s="396"/>
      <c r="L83" s="396"/>
    </row>
    <row r="84" spans="1:12" ht="10.15" customHeight="1">
      <c r="A84" s="399" t="s">
        <v>102</v>
      </c>
      <c r="B84" s="401"/>
      <c r="C84" s="401"/>
      <c r="D84" s="401"/>
      <c r="E84" s="401"/>
      <c r="F84" s="401"/>
      <c r="G84" s="401"/>
      <c r="H84" s="401"/>
      <c r="I84" s="238"/>
      <c r="J84" s="251"/>
      <c r="K84" s="317"/>
      <c r="L84" s="344"/>
    </row>
    <row r="85" spans="1:12" ht="19.5" customHeight="1">
      <c r="A85" s="381" t="s">
        <v>201</v>
      </c>
      <c r="B85" s="381"/>
      <c r="C85" s="381"/>
      <c r="D85" s="381"/>
      <c r="E85" s="381"/>
      <c r="F85" s="381"/>
      <c r="G85" s="381"/>
      <c r="H85" s="381"/>
      <c r="I85" s="381"/>
      <c r="J85" s="381"/>
      <c r="K85" s="394"/>
      <c r="L85" s="394"/>
    </row>
    <row r="86" spans="1:12" ht="10.5" customHeight="1">
      <c r="A86" s="306" t="s">
        <v>227</v>
      </c>
    </row>
  </sheetData>
  <mergeCells count="10">
    <mergeCell ref="A1:L1"/>
    <mergeCell ref="A85:L85"/>
    <mergeCell ref="A84:H84"/>
    <mergeCell ref="C9:G9"/>
    <mergeCell ref="H9:L9"/>
    <mergeCell ref="A11:L11"/>
    <mergeCell ref="A29:L29"/>
    <mergeCell ref="A47:L47"/>
    <mergeCell ref="A65:L65"/>
    <mergeCell ref="A83:L83"/>
  </mergeCells>
  <phoneticPr fontId="18" type="noConversion"/>
  <conditionalFormatting sqref="N25">
    <cfRule type="cellIs" dxfId="58"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view="pageBreakPreview" topLeftCell="A49" zoomScale="175" zoomScaleNormal="115" zoomScaleSheetLayoutView="175" workbookViewId="0">
      <selection activeCell="N23" sqref="N23:N24"/>
    </sheetView>
  </sheetViews>
  <sheetFormatPr baseColWidth="10" defaultColWidth="11.42578125" defaultRowHeight="9"/>
  <cols>
    <col min="1" max="1" width="8.7109375" style="2" customWidth="1"/>
    <col min="2" max="2" width="0.28515625" style="2" customWidth="1"/>
    <col min="3" max="12" width="6.7109375" style="2" customWidth="1"/>
    <col min="13" max="16384" width="11.42578125" style="2"/>
  </cols>
  <sheetData>
    <row r="1" spans="1:13" ht="13.5">
      <c r="A1" s="383">
        <f>'2.1.8'!A1:J1+1</f>
        <v>13</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4.1" customHeight="1">
      <c r="A5" s="13" t="s">
        <v>18</v>
      </c>
      <c r="B5" s="39" t="s">
        <v>75</v>
      </c>
      <c r="C5" s="14"/>
      <c r="D5" s="14"/>
      <c r="E5" s="14"/>
      <c r="F5" s="14"/>
      <c r="G5" s="14"/>
    </row>
    <row r="6" spans="1:13" s="3" customFormat="1" ht="12" customHeight="1">
      <c r="A6" s="291" t="s">
        <v>232</v>
      </c>
      <c r="B6" s="39" t="s">
        <v>279</v>
      </c>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148</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82">
        <v>0</v>
      </c>
      <c r="D12" s="42">
        <f t="shared" ref="D12:E27" si="0">SUM(D30,D48,D66)</f>
        <v>16</v>
      </c>
      <c r="E12" s="42">
        <f t="shared" si="0"/>
        <v>16</v>
      </c>
      <c r="F12" s="42">
        <f t="shared" ref="F12:G12" si="1">SUM(F30,F48,F66)</f>
        <v>18</v>
      </c>
      <c r="G12" s="44">
        <f t="shared" si="1"/>
        <v>20</v>
      </c>
      <c r="H12" s="182">
        <v>0</v>
      </c>
      <c r="I12" s="297">
        <f>IF('AW Schulen'!$G150=0,"x",(IF('AW Schulen'!$G168=0,"-",D12/'AW Schulen'!$G168)))</f>
        <v>0.27586206896551724</v>
      </c>
      <c r="J12" s="297">
        <f>IF('AW Schulen'!$J150=0,"x",(IF('AW Schulen'!$J168=0,"-",E12/'AW Schulen'!$J168)))</f>
        <v>0.27586206896551724</v>
      </c>
      <c r="K12" s="297">
        <f>IF('AW Schulen'!$M150=0,"x",(IF('AW Schulen'!$M168=0,"-",F12/'AW Schulen'!$M168)))</f>
        <v>0.31034482758620691</v>
      </c>
      <c r="L12" s="298">
        <f>IF('AW Schulen'!$P150=0,"x",(IF('AW Schulen'!$P168=0,"-",G12/'AW Schulen'!$P168)))</f>
        <v>0.35087719298245612</v>
      </c>
    </row>
    <row r="13" spans="1:13" ht="9" customHeight="1">
      <c r="A13" s="21" t="s">
        <v>81</v>
      </c>
      <c r="B13" s="120"/>
      <c r="C13" s="182">
        <v>0</v>
      </c>
      <c r="D13" s="42">
        <f t="shared" si="0"/>
        <v>1</v>
      </c>
      <c r="E13" s="42">
        <f t="shared" si="0"/>
        <v>0</v>
      </c>
      <c r="F13" s="42">
        <f t="shared" ref="F13:G13" si="2">SUM(F31,F49,F67)</f>
        <v>0</v>
      </c>
      <c r="G13" s="44">
        <f t="shared" si="2"/>
        <v>0</v>
      </c>
      <c r="H13" s="182">
        <v>0</v>
      </c>
      <c r="I13" s="297">
        <f>IF('AW Schulen'!$G151=0,"x",(IF('AW Schulen'!$G169=0,"-",D13/'AW Schulen'!$G169)))</f>
        <v>4.7619047619047616E-2</v>
      </c>
      <c r="J13" s="297">
        <f>IF('AW Schulen'!$J151=0,"x",(IF('AW Schulen'!$J169=0,"-",E13/'AW Schulen'!$J169)))</f>
        <v>0</v>
      </c>
      <c r="K13" s="297">
        <f>IF('AW Schulen'!$M151=0,"x",(IF('AW Schulen'!$M169=0,"-",F13/'AW Schulen'!$M169)))</f>
        <v>0</v>
      </c>
      <c r="L13" s="298">
        <f>IF('AW Schulen'!$P151=0,"x",(IF('AW Schulen'!$P169=0,"-",G13/'AW Schulen'!$P169)))</f>
        <v>0</v>
      </c>
    </row>
    <row r="14" spans="1:13" ht="9" customHeight="1">
      <c r="A14" s="21" t="s">
        <v>82</v>
      </c>
      <c r="B14" s="120"/>
      <c r="C14" s="182">
        <v>0</v>
      </c>
      <c r="D14" s="198">
        <f t="shared" si="0"/>
        <v>10</v>
      </c>
      <c r="E14" s="198">
        <f t="shared" si="0"/>
        <v>9</v>
      </c>
      <c r="F14" s="198">
        <f t="shared" ref="F14:G14" si="3">SUM(F32,F50,F68)</f>
        <v>10</v>
      </c>
      <c r="G14" s="199">
        <f t="shared" si="3"/>
        <v>10</v>
      </c>
      <c r="H14" s="182">
        <v>0</v>
      </c>
      <c r="I14" s="297">
        <f>IF('AW Schulen'!$G152=0,"x",(IF('AW Schulen'!$G170=0,"-",D14/'AW Schulen'!$G170)))</f>
        <v>1</v>
      </c>
      <c r="J14" s="297">
        <f>IF('AW Schulen'!$J152=0,"x",(IF('AW Schulen'!$J170=0,"-",E14/'AW Schulen'!$J170)))</f>
        <v>0.9</v>
      </c>
      <c r="K14" s="297">
        <f>IF('AW Schulen'!$M152=0,"x",(IF('AW Schulen'!$M170=0,"-",F14/'AW Schulen'!$M170)))</f>
        <v>1</v>
      </c>
      <c r="L14" s="298">
        <f>IF('AW Schulen'!$P152=0,"x",(IF('AW Schulen'!$P170=0,"-",G14/'AW Schulen'!$P170)))</f>
        <v>1</v>
      </c>
    </row>
    <row r="15" spans="1:13" ht="9" customHeight="1">
      <c r="A15" s="21" t="s">
        <v>83</v>
      </c>
      <c r="B15" s="120"/>
      <c r="C15" s="182">
        <v>0</v>
      </c>
      <c r="D15" s="149">
        <f t="shared" si="0"/>
        <v>4</v>
      </c>
      <c r="E15" s="149">
        <f t="shared" si="0"/>
        <v>4</v>
      </c>
      <c r="F15" s="149">
        <f t="shared" ref="F15:G15" si="4">SUM(F33,F51,F69)</f>
        <v>4</v>
      </c>
      <c r="G15" s="150">
        <f t="shared" si="4"/>
        <v>4</v>
      </c>
      <c r="H15" s="182">
        <v>0</v>
      </c>
      <c r="I15" s="297">
        <f>IF('AW Schulen'!$G153=0,"x",(IF('AW Schulen'!$G171=0,"-",D15/'AW Schulen'!$G171)))</f>
        <v>0.8</v>
      </c>
      <c r="J15" s="297">
        <f>IF('AW Schulen'!$J153=0,"x",(IF('AW Schulen'!$J171=0,"-",E15/'AW Schulen'!$J171)))</f>
        <v>0.8</v>
      </c>
      <c r="K15" s="297">
        <f>IF('AW Schulen'!$M153=0,"x",(IF('AW Schulen'!$M171=0,"-",F15/'AW Schulen'!$M171)))</f>
        <v>0.8</v>
      </c>
      <c r="L15" s="298">
        <f>IF('AW Schulen'!$P153=0,"x",(IF('AW Schulen'!$P171=0,"-",G15/'AW Schulen'!$P171)))</f>
        <v>0.8</v>
      </c>
    </row>
    <row r="16" spans="1:13" ht="9" customHeight="1">
      <c r="A16" s="21" t="s">
        <v>84</v>
      </c>
      <c r="B16" s="120"/>
      <c r="C16" s="182">
        <v>0</v>
      </c>
      <c r="D16" s="149">
        <f t="shared" si="0"/>
        <v>1</v>
      </c>
      <c r="E16" s="149">
        <f t="shared" si="0"/>
        <v>1</v>
      </c>
      <c r="F16" s="149">
        <f t="shared" ref="F16:G16" si="5">SUM(F34,F52,F70)</f>
        <v>1</v>
      </c>
      <c r="G16" s="150">
        <f t="shared" si="5"/>
        <v>1</v>
      </c>
      <c r="H16" s="182">
        <v>0</v>
      </c>
      <c r="I16" s="297">
        <f>IF('AW Schulen'!$G154=0,"x",(IF('AW Schulen'!$G172=0,"-",D16/'AW Schulen'!$G172)))</f>
        <v>0.33333333333333331</v>
      </c>
      <c r="J16" s="297">
        <f>IF('AW Schulen'!$J154=0,"x",(IF('AW Schulen'!$J172=0,"-",E16/'AW Schulen'!$J172)))</f>
        <v>0.33333333333333331</v>
      </c>
      <c r="K16" s="297">
        <f>IF('AW Schulen'!$M154=0,"x",(IF('AW Schulen'!$M172=0,"-",F16/'AW Schulen'!$M172)))</f>
        <v>0.33333333333333331</v>
      </c>
      <c r="L16" s="298">
        <f>IF('AW Schulen'!$P154=0,"x",(IF('AW Schulen'!$P172=0,"-",G16/'AW Schulen'!$P172)))</f>
        <v>0.33333333333333331</v>
      </c>
    </row>
    <row r="17" spans="1:12" ht="9" customHeight="1">
      <c r="A17" s="21" t="s">
        <v>85</v>
      </c>
      <c r="B17" s="120"/>
      <c r="C17" s="182">
        <v>0</v>
      </c>
      <c r="D17" s="186">
        <f t="shared" si="0"/>
        <v>0</v>
      </c>
      <c r="E17" s="186">
        <f t="shared" si="0"/>
        <v>0</v>
      </c>
      <c r="F17" s="186">
        <f t="shared" ref="F17:G17" si="6">SUM(F35,F53,F71)</f>
        <v>0</v>
      </c>
      <c r="G17" s="187">
        <f t="shared" si="6"/>
        <v>0</v>
      </c>
      <c r="H17" s="182">
        <v>0</v>
      </c>
      <c r="I17" s="182">
        <f>IF('AW Schulen'!$G155=0,"x",(IF('AW Schulen'!$G173=0,"-",D17/'AW Schulen'!$G173)))</f>
        <v>0</v>
      </c>
      <c r="J17" s="182">
        <v>0</v>
      </c>
      <c r="K17" s="182">
        <f>IF('AW Schulen'!$M155=0,"x",(IF('AW Schulen'!$M173=0,"-",F17/'AW Schulen'!$M173)))</f>
        <v>0</v>
      </c>
      <c r="L17" s="196">
        <f>IF('AW Schulen'!$P155=0,"x",(IF('AW Schulen'!$P173=0,"-",G17/'AW Schulen'!$P173)))</f>
        <v>0</v>
      </c>
    </row>
    <row r="18" spans="1:12" ht="9" customHeight="1">
      <c r="A18" s="21" t="s">
        <v>86</v>
      </c>
      <c r="B18" s="120"/>
      <c r="C18" s="182">
        <v>0</v>
      </c>
      <c r="D18" s="186">
        <f t="shared" si="0"/>
        <v>0</v>
      </c>
      <c r="E18" s="186">
        <f t="shared" si="0"/>
        <v>0</v>
      </c>
      <c r="F18" s="186">
        <f t="shared" ref="F18:G18" si="7">SUM(F36,F54,F72)</f>
        <v>0</v>
      </c>
      <c r="G18" s="187">
        <f t="shared" si="7"/>
        <v>0</v>
      </c>
      <c r="H18" s="182">
        <v>0</v>
      </c>
      <c r="I18" s="182">
        <v>0</v>
      </c>
      <c r="J18" s="182">
        <v>0</v>
      </c>
      <c r="K18" s="182">
        <v>0</v>
      </c>
      <c r="L18" s="196">
        <v>1</v>
      </c>
    </row>
    <row r="19" spans="1:12" ht="9" customHeight="1">
      <c r="A19" s="21" t="s">
        <v>87</v>
      </c>
      <c r="B19" s="120"/>
      <c r="C19" s="182">
        <v>0</v>
      </c>
      <c r="D19" s="149">
        <f t="shared" si="0"/>
        <v>0</v>
      </c>
      <c r="E19" s="149">
        <f t="shared" si="0"/>
        <v>0</v>
      </c>
      <c r="F19" s="149">
        <f t="shared" ref="F19:G19" si="8">SUM(F37,F55,F73)</f>
        <v>0</v>
      </c>
      <c r="G19" s="150">
        <f t="shared" si="8"/>
        <v>0</v>
      </c>
      <c r="H19" s="182">
        <v>0</v>
      </c>
      <c r="I19" s="297" t="s">
        <v>261</v>
      </c>
      <c r="J19" s="297" t="s">
        <v>261</v>
      </c>
      <c r="K19" s="297" t="s">
        <v>261</v>
      </c>
      <c r="L19" s="298" t="s">
        <v>261</v>
      </c>
    </row>
    <row r="20" spans="1:12" ht="9" customHeight="1">
      <c r="A20" s="21" t="s">
        <v>88</v>
      </c>
      <c r="B20" s="120"/>
      <c r="C20" s="182">
        <v>0</v>
      </c>
      <c r="D20" s="42">
        <f t="shared" si="0"/>
        <v>0</v>
      </c>
      <c r="E20" s="42">
        <f t="shared" si="0"/>
        <v>0</v>
      </c>
      <c r="F20" s="42">
        <f t="shared" ref="F20:G20" si="9">SUM(F38,F56,F74)</f>
        <v>0</v>
      </c>
      <c r="G20" s="44">
        <f t="shared" si="9"/>
        <v>0</v>
      </c>
      <c r="H20" s="182">
        <v>0</v>
      </c>
      <c r="I20" s="182" t="str">
        <f>IF('AW Schulen'!$G158=0,"x",(IF('AW Schulen'!$G176=0,".",D20/'AW Schulen'!$G176)))</f>
        <v>.</v>
      </c>
      <c r="J20" s="182">
        <f>IF('AW Schulen'!$J158=0,"x",(IF('AW Schulen'!$J176=0,"-",E20/'AW Schulen'!$J176)))</f>
        <v>0</v>
      </c>
      <c r="K20" s="182">
        <f>IF('AW Schulen'!$M158=0,"x",(IF('AW Schulen'!$M176=0,"-",F20/'AW Schulen'!$M176)))</f>
        <v>0</v>
      </c>
      <c r="L20" s="196">
        <f>IF('AW Schulen'!$P158=0,"x",(IF('AW Schulen'!$P176=0,"-",G20/'AW Schulen'!$P176)))</f>
        <v>0</v>
      </c>
    </row>
    <row r="21" spans="1:12" ht="9" customHeight="1">
      <c r="A21" s="21" t="s">
        <v>89</v>
      </c>
      <c r="B21" s="120"/>
      <c r="C21" s="182">
        <v>0</v>
      </c>
      <c r="D21" s="42">
        <f t="shared" si="0"/>
        <v>36</v>
      </c>
      <c r="E21" s="42">
        <f t="shared" si="0"/>
        <v>40</v>
      </c>
      <c r="F21" s="42">
        <f t="shared" ref="F21:G21" si="10">SUM(F39,F57,F75)</f>
        <v>42</v>
      </c>
      <c r="G21" s="44">
        <f t="shared" si="10"/>
        <v>37</v>
      </c>
      <c r="H21" s="182">
        <v>0</v>
      </c>
      <c r="I21" s="297">
        <f>IF('AW Schulen'!$G159=0,"x",(IF('AW Schulen'!$G177=0,"-",D21/'AW Schulen'!$G177)))</f>
        <v>0.9</v>
      </c>
      <c r="J21" s="297">
        <f>IF('AW Schulen'!$J159=0,"x",(IF('AW Schulen'!$J177=0,"-",E21/'AW Schulen'!$J177)))</f>
        <v>1</v>
      </c>
      <c r="K21" s="297">
        <f>IF('AW Schulen'!$M159=0,"x",(IF('AW Schulen'!$M177=0,"-",F21/'AW Schulen'!$M177)))</f>
        <v>1</v>
      </c>
      <c r="L21" s="298">
        <f>IF('AW Schulen'!$P159=0,"x",(IF('AW Schulen'!$P177=0,"-",G21/'AW Schulen'!$P177)))</f>
        <v>0.86046511627906974</v>
      </c>
    </row>
    <row r="22" spans="1:12" ht="9" customHeight="1">
      <c r="A22" s="21" t="s">
        <v>90</v>
      </c>
      <c r="B22" s="120"/>
      <c r="C22" s="182">
        <v>0</v>
      </c>
      <c r="D22" s="42">
        <f t="shared" si="0"/>
        <v>7</v>
      </c>
      <c r="E22" s="42">
        <f t="shared" si="0"/>
        <v>6</v>
      </c>
      <c r="F22" s="42">
        <f t="shared" ref="F22:G22" si="11">SUM(F40,F58,F76)</f>
        <v>6</v>
      </c>
      <c r="G22" s="44">
        <f t="shared" si="11"/>
        <v>6</v>
      </c>
      <c r="H22" s="182">
        <v>0</v>
      </c>
      <c r="I22" s="297" t="str">
        <f>IF('AW Schulen'!$G160=0,"x",(IF('AW Schulen'!$G178=0,"-",D22/'AW Schulen'!$G178)))</f>
        <v>-</v>
      </c>
      <c r="J22" s="297" t="str">
        <f>IF('AW Schulen'!$J160=0,"x",(IF('AW Schulen'!$J178=0,"-",E22/'AW Schulen'!$J178)))</f>
        <v>-</v>
      </c>
      <c r="K22" s="297">
        <f>IF('AW Schulen'!$M160=0,"x",(IF('AW Schulen'!$M178=0,"-",F22/'AW Schulen'!$M178)))</f>
        <v>0.75</v>
      </c>
      <c r="L22" s="298">
        <f>IF('AW Schulen'!$P160=0,"x",(IF('AW Schulen'!$P178=0,"-",G22/'AW Schulen'!$P178)))</f>
        <v>0.75</v>
      </c>
    </row>
    <row r="23" spans="1:12" ht="9" customHeight="1">
      <c r="A23" s="21" t="s">
        <v>91</v>
      </c>
      <c r="B23" s="120"/>
      <c r="C23" s="182">
        <v>0</v>
      </c>
      <c r="D23" s="42">
        <f t="shared" si="0"/>
        <v>2</v>
      </c>
      <c r="E23" s="42">
        <f t="shared" si="0"/>
        <v>3</v>
      </c>
      <c r="F23" s="42">
        <f t="shared" ref="F23:G23" si="12">SUM(F41,F59,F77)</f>
        <v>3</v>
      </c>
      <c r="G23" s="44">
        <f t="shared" si="12"/>
        <v>3</v>
      </c>
      <c r="H23" s="182">
        <v>0</v>
      </c>
      <c r="I23" s="297">
        <f>IF('AW Schulen'!$G161=0,"x",(IF('AW Schulen'!$G179=0,"-",D23/'AW Schulen'!$G179)))</f>
        <v>0.5</v>
      </c>
      <c r="J23" s="297">
        <f>IF('AW Schulen'!$J161=0,"x",(IF('AW Schulen'!$J179=0,"-",E23/'AW Schulen'!$J179)))</f>
        <v>0.75</v>
      </c>
      <c r="K23" s="297">
        <f>IF('AW Schulen'!$M161=0,"x",(IF('AW Schulen'!$M179=0,"-",F23/'AW Schulen'!$M179)))</f>
        <v>0.75</v>
      </c>
      <c r="L23" s="298">
        <f>IF('AW Schulen'!$P161=0,"x",(IF('AW Schulen'!$P179=0,"-",G23/'AW Schulen'!$P179)))</f>
        <v>0.75</v>
      </c>
    </row>
    <row r="24" spans="1:12" ht="9" customHeight="1">
      <c r="A24" s="21" t="s">
        <v>260</v>
      </c>
      <c r="B24" s="120"/>
      <c r="C24" s="182">
        <v>0</v>
      </c>
      <c r="D24" s="198">
        <f t="shared" si="0"/>
        <v>0</v>
      </c>
      <c r="E24" s="198">
        <f t="shared" si="0"/>
        <v>0</v>
      </c>
      <c r="F24" s="198">
        <f t="shared" ref="F24:G24" si="13">SUM(F42,F60,F78)</f>
        <v>0</v>
      </c>
      <c r="G24" s="199">
        <f t="shared" si="13"/>
        <v>0</v>
      </c>
      <c r="H24" s="182">
        <v>0</v>
      </c>
      <c r="I24" s="297" t="str">
        <f>IF('AW Schulen'!$G162=0,"x",(IF('AW Schulen'!$G180=0,"-",D24/'AW Schulen'!$G180)))</f>
        <v>-</v>
      </c>
      <c r="J24" s="297">
        <f>IF('AW Schulen'!$J162=0,"x",(IF('AW Schulen'!$J180=0,"-",E24/'AW Schulen'!$J180)))</f>
        <v>0</v>
      </c>
      <c r="K24" s="297">
        <f>IF('AW Schulen'!$M162=0,"x",(IF('AW Schulen'!$M180=0,"-",F24/'AW Schulen'!$M180)))</f>
        <v>0</v>
      </c>
      <c r="L24" s="298">
        <f>IF('AW Schulen'!$P162=0,"x",(IF('AW Schulen'!$P180=0,"-",G24/'AW Schulen'!$P180)))</f>
        <v>0</v>
      </c>
    </row>
    <row r="25" spans="1:12" ht="9" customHeight="1">
      <c r="A25" s="21" t="s">
        <v>93</v>
      </c>
      <c r="B25" s="120"/>
      <c r="C25" s="182">
        <v>0</v>
      </c>
      <c r="D25" s="186">
        <f t="shared" si="0"/>
        <v>0</v>
      </c>
      <c r="E25" s="186">
        <f t="shared" si="0"/>
        <v>0</v>
      </c>
      <c r="F25" s="186">
        <f t="shared" ref="F25:G25" si="14">SUM(F43,F61,F79)</f>
        <v>0</v>
      </c>
      <c r="G25" s="187">
        <f t="shared" si="14"/>
        <v>0</v>
      </c>
      <c r="H25" s="182">
        <v>0</v>
      </c>
      <c r="I25" s="182">
        <v>0</v>
      </c>
      <c r="J25" s="182">
        <v>0</v>
      </c>
      <c r="K25" s="182">
        <v>0</v>
      </c>
      <c r="L25" s="196">
        <v>0</v>
      </c>
    </row>
    <row r="26" spans="1:12" ht="9" customHeight="1">
      <c r="A26" s="21" t="s">
        <v>94</v>
      </c>
      <c r="B26" s="120"/>
      <c r="C26" s="182">
        <v>0</v>
      </c>
      <c r="D26" s="42">
        <f t="shared" si="0"/>
        <v>10</v>
      </c>
      <c r="E26" s="42">
        <f t="shared" si="0"/>
        <v>10</v>
      </c>
      <c r="F26" s="42">
        <f t="shared" ref="F26:G26" si="15">SUM(F44,F62,F80)</f>
        <v>10</v>
      </c>
      <c r="G26" s="44">
        <f t="shared" si="15"/>
        <v>10</v>
      </c>
      <c r="H26" s="182">
        <v>0</v>
      </c>
      <c r="I26" s="297">
        <f>IF('AW Schulen'!$G164=0,"x",(IF('AW Schulen'!$G182=0,"-",D26/'AW Schulen'!$G182)))</f>
        <v>0.83333333333333337</v>
      </c>
      <c r="J26" s="297">
        <f>IF('AW Schulen'!$J164=0,"x",(IF('AW Schulen'!$J182=0,"-",E26/'AW Schulen'!$J182)))</f>
        <v>0.83333333333333337</v>
      </c>
      <c r="K26" s="297">
        <f>IF('AW Schulen'!$M164=0,"x",(IF('AW Schulen'!$M182=0,"-",F26/'AW Schulen'!$M182)))</f>
        <v>0.83333333333333337</v>
      </c>
      <c r="L26" s="298">
        <f>IF('AW Schulen'!$P164=0,"x",(IF('AW Schulen'!$P182=0,"-",G26/'AW Schulen'!$P182)))</f>
        <v>0.83333333333333337</v>
      </c>
    </row>
    <row r="27" spans="1:12" ht="9" customHeight="1">
      <c r="A27" s="21" t="s">
        <v>95</v>
      </c>
      <c r="B27" s="120"/>
      <c r="C27" s="182">
        <v>0</v>
      </c>
      <c r="D27" s="198">
        <f t="shared" si="0"/>
        <v>5</v>
      </c>
      <c r="E27" s="198">
        <f t="shared" si="0"/>
        <v>5</v>
      </c>
      <c r="F27" s="198">
        <f t="shared" ref="F27:G27" si="16">SUM(F45,F63,F81)</f>
        <v>5</v>
      </c>
      <c r="G27" s="199">
        <f t="shared" si="16"/>
        <v>5</v>
      </c>
      <c r="H27" s="182">
        <v>0</v>
      </c>
      <c r="I27" s="297">
        <f>IF('AW Schulen'!$G165=0,"x",(IF('AW Schulen'!$G183=0,"-",D27/'AW Schulen'!$G183)))</f>
        <v>1</v>
      </c>
      <c r="J27" s="297">
        <f>IF('AW Schulen'!$J165=0,"x",(IF('AW Schulen'!$J183=0,"-",E27/'AW Schulen'!$J183)))</f>
        <v>1</v>
      </c>
      <c r="K27" s="297">
        <f>IF('AW Schulen'!$M165=0,"x",(IF('AW Schulen'!$M183=0,"-",F27/'AW Schulen'!$M183)))</f>
        <v>1</v>
      </c>
      <c r="L27" s="298">
        <f>IF('AW Schulen'!$P165=0,"x",(IF('AW Schulen'!$P183=0,"-",G27/'AW Schulen'!$P183)))</f>
        <v>1</v>
      </c>
    </row>
    <row r="28" spans="1:12" ht="9" customHeight="1">
      <c r="A28" s="21" t="s">
        <v>96</v>
      </c>
      <c r="B28" s="120"/>
      <c r="C28" s="182">
        <v>0</v>
      </c>
      <c r="D28" s="42">
        <f t="shared" ref="D28:E28" si="17">SUM(D46,D64,D82)</f>
        <v>92</v>
      </c>
      <c r="E28" s="42">
        <f t="shared" si="17"/>
        <v>94</v>
      </c>
      <c r="F28" s="42">
        <f t="shared" ref="F28:G28" si="18">SUM(F46,F64,F82)</f>
        <v>99</v>
      </c>
      <c r="G28" s="44">
        <f t="shared" si="18"/>
        <v>96</v>
      </c>
      <c r="H28" s="182">
        <v>0</v>
      </c>
      <c r="I28" s="297">
        <f>IF('AW Schulen'!$G166=0,"x",(IF('AW Schulen'!$G184=0,"-",D28/'AW Schulen'!$G184)))</f>
        <v>0.56097560975609762</v>
      </c>
      <c r="J28" s="297">
        <f>IF('AW Schulen'!$J166=0,"x",(IF('AW Schulen'!$J184=0,"-",E28/'AW Schulen'!$J184)))</f>
        <v>0.5696969696969697</v>
      </c>
      <c r="K28" s="297">
        <f>IF('AW Schulen'!$M166=0,"x",(IF('AW Schulen'!$M184=0,"-",F28/'AW Schulen'!$M184)))</f>
        <v>0.532258064516129</v>
      </c>
      <c r="L28" s="298">
        <f>IF('AW Schulen'!$P166=0,"x",(IF('AW Schulen'!$P184=0,"-",G28/'AW Schulen'!$P184)))</f>
        <v>0.51063829787234039</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182">
        <v>0</v>
      </c>
      <c r="D30" s="23">
        <f>'2.3.8.1'!D30</f>
        <v>5</v>
      </c>
      <c r="E30" s="23">
        <f>'2.3.8.1'!E30</f>
        <v>5</v>
      </c>
      <c r="F30" s="23">
        <f>'2.3.8.1'!F30</f>
        <v>5</v>
      </c>
      <c r="G30" s="34">
        <f>'2.3.8.1'!G30</f>
        <v>4</v>
      </c>
      <c r="H30" s="183">
        <v>0</v>
      </c>
      <c r="I30" s="299">
        <f>IF('AW Schulen'!$G150=0,"x",(IF('AW Schulen'!$G168=0,"-",D30/'AW Schulen'!$G168)))</f>
        <v>8.6206896551724144E-2</v>
      </c>
      <c r="J30" s="299">
        <f>IF('AW Schulen'!$J150=0,"x",(IF('AW Schulen'!$J168=0,"-",E30/'AW Schulen'!$J168)))</f>
        <v>8.6206896551724144E-2</v>
      </c>
      <c r="K30" s="299">
        <f>IF('AW Schulen'!$M150=0,"x",(IF('AW Schulen'!$M168=0,"-",F30/'AW Schulen'!$M168)))</f>
        <v>8.6206896551724144E-2</v>
      </c>
      <c r="L30" s="300">
        <f>IF('AW Schulen'!$P150=0,"x",(IF('AW Schulen'!$P168=0,"-",G30/'AW Schulen'!$P168)))</f>
        <v>7.0175438596491224E-2</v>
      </c>
    </row>
    <row r="31" spans="1:12" ht="9" customHeight="1">
      <c r="A31" s="21" t="s">
        <v>81</v>
      </c>
      <c r="B31" s="120"/>
      <c r="C31" s="182">
        <v>0</v>
      </c>
      <c r="D31" s="23">
        <f>'2.3.8.1'!D31</f>
        <v>0</v>
      </c>
      <c r="E31" s="23">
        <f>'2.3.8.1'!E31</f>
        <v>0</v>
      </c>
      <c r="F31" s="23" t="str">
        <f>'2.3.8.1'!F31</f>
        <v xml:space="preserve">                                      -   </v>
      </c>
      <c r="G31" s="34">
        <f>'2.3.8.1'!G31</f>
        <v>0</v>
      </c>
      <c r="H31" s="183">
        <v>0</v>
      </c>
      <c r="I31" s="299">
        <f>IF('AW Schulen'!$G151=0,"x",(IF('AW Schulen'!$G169=0,"-",D31/'AW Schulen'!$G169)))</f>
        <v>0</v>
      </c>
      <c r="J31" s="299">
        <f>IF('AW Schulen'!$J151=0,"x",(IF('AW Schulen'!$J169=0,"-",E31/'AW Schulen'!$J169)))</f>
        <v>0</v>
      </c>
      <c r="K31" s="299" t="e">
        <f>IF('AW Schulen'!$M151=0,"x",(IF('AW Schulen'!$M169=0,"-",F31/'AW Schulen'!$M169)))</f>
        <v>#VALUE!</v>
      </c>
      <c r="L31" s="300">
        <f>IF('AW Schulen'!$P151=0,"x",(IF('AW Schulen'!$P169=0,"-",G31/'AW Schulen'!$P169)))</f>
        <v>0</v>
      </c>
    </row>
    <row r="32" spans="1:12" ht="9" customHeight="1">
      <c r="A32" s="21" t="s">
        <v>82</v>
      </c>
      <c r="B32" s="120"/>
      <c r="C32" s="182">
        <v>0</v>
      </c>
      <c r="D32" s="23">
        <f>'2.3.8.1'!D32</f>
        <v>0</v>
      </c>
      <c r="E32" s="23">
        <f>'2.3.8.1'!E32</f>
        <v>0</v>
      </c>
      <c r="F32" s="23">
        <f>'2.3.8.1'!F32</f>
        <v>0</v>
      </c>
      <c r="G32" s="34">
        <f>'2.3.8.1'!G32</f>
        <v>0</v>
      </c>
      <c r="H32" s="183">
        <v>0</v>
      </c>
      <c r="I32" s="299">
        <f>IF('AW Schulen'!$G152=0,"x",(IF('AW Schulen'!$G170=0,"-",D32/'AW Schulen'!$G170)))</f>
        <v>0</v>
      </c>
      <c r="J32" s="299">
        <f>IF('AW Schulen'!$J152=0,"x",(IF('AW Schulen'!$J170=0,"-",E32/'AW Schulen'!$J170)))</f>
        <v>0</v>
      </c>
      <c r="K32" s="299">
        <f>IF('AW Schulen'!$M152=0,"x",(IF('AW Schulen'!$M170=0,"-",F32/'AW Schulen'!$M170)))</f>
        <v>0</v>
      </c>
      <c r="L32" s="300">
        <f>IF('AW Schulen'!$P152=0,"x",(IF('AW Schulen'!$P170=0,"-",G32/'AW Schulen'!$P170)))</f>
        <v>0</v>
      </c>
    </row>
    <row r="33" spans="1:12" ht="9" customHeight="1">
      <c r="A33" s="21" t="s">
        <v>83</v>
      </c>
      <c r="B33" s="120"/>
      <c r="C33" s="182">
        <v>0</v>
      </c>
      <c r="D33" s="23">
        <f>'2.3.8.1'!D33</f>
        <v>0</v>
      </c>
      <c r="E33" s="23">
        <f>'2.3.8.1'!E33</f>
        <v>0</v>
      </c>
      <c r="F33" s="23">
        <f>'2.3.8.1'!F33</f>
        <v>0</v>
      </c>
      <c r="G33" s="34">
        <f>'2.3.8.1'!G33</f>
        <v>0</v>
      </c>
      <c r="H33" s="183">
        <v>0</v>
      </c>
      <c r="I33" s="299">
        <f>IF('AW Schulen'!$G153=0,"x",(IF('AW Schulen'!$G171=0,"-",D33/'AW Schulen'!$G171)))</f>
        <v>0</v>
      </c>
      <c r="J33" s="299">
        <f>IF('AW Schulen'!$J153=0,"x",(IF('AW Schulen'!$J171=0,"-",E33/'AW Schulen'!$J171)))</f>
        <v>0</v>
      </c>
      <c r="K33" s="299">
        <f>IF('AW Schulen'!$M153=0,"x",(IF('AW Schulen'!$M171=0,"-",F33/'AW Schulen'!$M171)))</f>
        <v>0</v>
      </c>
      <c r="L33" s="300">
        <f>IF('AW Schulen'!$P153=0,"x",(IF('AW Schulen'!$P171=0,"-",G33/'AW Schulen'!$P171)))</f>
        <v>0</v>
      </c>
    </row>
    <row r="34" spans="1:12" ht="9" customHeight="1">
      <c r="A34" s="21" t="s">
        <v>84</v>
      </c>
      <c r="B34" s="120"/>
      <c r="C34" s="182">
        <v>0</v>
      </c>
      <c r="D34" s="23">
        <f>'2.3.8.1'!D34</f>
        <v>0</v>
      </c>
      <c r="E34" s="23">
        <f>'2.3.8.1'!E34</f>
        <v>0</v>
      </c>
      <c r="F34" s="23">
        <f>'2.3.8.1'!F34</f>
        <v>0</v>
      </c>
      <c r="G34" s="34">
        <f>'2.3.8.1'!G34</f>
        <v>0</v>
      </c>
      <c r="H34" s="183">
        <v>0</v>
      </c>
      <c r="I34" s="299">
        <f>IF('AW Schulen'!$G154=0,"x",(IF('AW Schulen'!$G172=0,"-",D34/'AW Schulen'!$G172)))</f>
        <v>0</v>
      </c>
      <c r="J34" s="299">
        <f>IF('AW Schulen'!$J154=0,"x",(IF('AW Schulen'!$J172=0,"-",E34/'AW Schulen'!$J172)))</f>
        <v>0</v>
      </c>
      <c r="K34" s="299">
        <f>IF('AW Schulen'!$M154=0,"x",(IF('AW Schulen'!$M172=0,"-",F34/'AW Schulen'!$M172)))</f>
        <v>0</v>
      </c>
      <c r="L34" s="300">
        <f>IF('AW Schulen'!$P154=0,"x",(IF('AW Schulen'!$P172=0,"-",G34/'AW Schulen'!$P172)))</f>
        <v>0</v>
      </c>
    </row>
    <row r="35" spans="1:12" ht="9" customHeight="1">
      <c r="A35" s="21" t="s">
        <v>85</v>
      </c>
      <c r="B35" s="120"/>
      <c r="C35" s="182">
        <v>0</v>
      </c>
      <c r="D35" s="36">
        <f>'2.3.8.1'!D35</f>
        <v>0</v>
      </c>
      <c r="E35" s="36">
        <f>'2.3.8.1'!E35</f>
        <v>0</v>
      </c>
      <c r="F35" s="36">
        <f>'2.3.8.1'!F35</f>
        <v>0</v>
      </c>
      <c r="G35" s="37">
        <f>'2.3.8.1'!G35</f>
        <v>0</v>
      </c>
      <c r="H35" s="183">
        <v>0</v>
      </c>
      <c r="I35" s="299">
        <f>IF('AW Schulen'!$G155=0,"x",(IF('AW Schulen'!$G173=0,"-",D35/'AW Schulen'!$G173)))</f>
        <v>0</v>
      </c>
      <c r="J35" s="299" t="str">
        <f>IF('AW Schulen'!$J155=0,"x",(IF('AW Schulen'!$J173=0,"-",E35/'AW Schulen'!$J173)))</f>
        <v>-</v>
      </c>
      <c r="K35" s="299">
        <f>IF('AW Schulen'!$M155=0,"x",(IF('AW Schulen'!$M173=0,"-",F35/'AW Schulen'!$M173)))</f>
        <v>0</v>
      </c>
      <c r="L35" s="300">
        <f>IF('AW Schulen'!$P155=0,"x",(IF('AW Schulen'!$P173=0,"-",G35/'AW Schulen'!$P173)))</f>
        <v>0</v>
      </c>
    </row>
    <row r="36" spans="1:12" ht="9" customHeight="1">
      <c r="A36" s="21" t="s">
        <v>86</v>
      </c>
      <c r="B36" s="120"/>
      <c r="C36" s="182">
        <v>0</v>
      </c>
      <c r="D36" s="36">
        <f>'2.3.8.1'!D36</f>
        <v>0</v>
      </c>
      <c r="E36" s="36">
        <f>'2.3.8.1'!E36</f>
        <v>0</v>
      </c>
      <c r="F36" s="36">
        <f>'2.3.8.1'!F36</f>
        <v>0</v>
      </c>
      <c r="G36" s="37">
        <f>'2.3.8.1'!G36</f>
        <v>0</v>
      </c>
      <c r="H36" s="183">
        <v>0</v>
      </c>
      <c r="I36" s="183">
        <v>0</v>
      </c>
      <c r="J36" s="183">
        <v>0</v>
      </c>
      <c r="K36" s="183">
        <v>0</v>
      </c>
      <c r="L36" s="197">
        <v>0</v>
      </c>
    </row>
    <row r="37" spans="1:12" ht="9" customHeight="1">
      <c r="A37" s="21" t="s">
        <v>87</v>
      </c>
      <c r="B37" s="120"/>
      <c r="C37" s="182">
        <v>0</v>
      </c>
      <c r="D37" s="151" t="str">
        <f>'2.3.8.1'!D37</f>
        <v>x</v>
      </c>
      <c r="E37" s="151" t="str">
        <f>'2.3.8.1'!E37</f>
        <v>x</v>
      </c>
      <c r="F37" s="151" t="str">
        <f>'2.3.8.1'!F37</f>
        <v>x</v>
      </c>
      <c r="G37" s="152" t="str">
        <f>'2.3.8.1'!G37</f>
        <v>x</v>
      </c>
      <c r="H37" s="183">
        <v>0</v>
      </c>
      <c r="I37" s="299" t="s">
        <v>261</v>
      </c>
      <c r="J37" s="299" t="s">
        <v>261</v>
      </c>
      <c r="K37" s="299" t="s">
        <v>261</v>
      </c>
      <c r="L37" s="300" t="s">
        <v>261</v>
      </c>
    </row>
    <row r="38" spans="1:12" ht="9" customHeight="1">
      <c r="A38" s="21" t="s">
        <v>88</v>
      </c>
      <c r="B38" s="120"/>
      <c r="C38" s="182">
        <v>0</v>
      </c>
      <c r="D38" s="36">
        <f>'2.3.8.1'!D38</f>
        <v>0</v>
      </c>
      <c r="E38" s="36">
        <f>'2.3.8.1'!E38</f>
        <v>0</v>
      </c>
      <c r="F38" s="36">
        <f>'2.3.8.1'!F38</f>
        <v>0</v>
      </c>
      <c r="G38" s="37">
        <f>'2.3.8.1'!G38</f>
        <v>0</v>
      </c>
      <c r="H38" s="183">
        <v>0</v>
      </c>
      <c r="I38" s="183">
        <v>0</v>
      </c>
      <c r="J38" s="183">
        <f>IF('AW Schulen'!$J158=0,"x",(IF('AW Schulen'!$J176=0,"-",E38/'AW Schulen'!$J176)))</f>
        <v>0</v>
      </c>
      <c r="K38" s="183">
        <f>IF('AW Schulen'!$M158=0,"x",(IF('AW Schulen'!$M176=0,"-",F38/'AW Schulen'!$M176)))</f>
        <v>0</v>
      </c>
      <c r="L38" s="197">
        <f>IF('AW Schulen'!$P158=0,"x",(IF('AW Schulen'!$P176=0,"-",G38/'AW Schulen'!$P176)))</f>
        <v>0</v>
      </c>
    </row>
    <row r="39" spans="1:12" ht="9" customHeight="1">
      <c r="A39" s="21" t="s">
        <v>89</v>
      </c>
      <c r="B39" s="120"/>
      <c r="C39" s="182">
        <v>0</v>
      </c>
      <c r="D39" s="23">
        <f>'2.3.8.1'!D39</f>
        <v>1</v>
      </c>
      <c r="E39" s="23">
        <f>'2.3.8.1'!E39</f>
        <v>5</v>
      </c>
      <c r="F39" s="23">
        <f>'2.3.8.1'!F39</f>
        <v>6</v>
      </c>
      <c r="G39" s="34">
        <f>'2.3.8.1'!G39</f>
        <v>2</v>
      </c>
      <c r="H39" s="183">
        <v>0</v>
      </c>
      <c r="I39" s="299">
        <f>IF('AW Schulen'!$G159=0,"x",(IF('AW Schulen'!$G177=0,"-",D39/'AW Schulen'!$G177)))</f>
        <v>2.5000000000000001E-2</v>
      </c>
      <c r="J39" s="299">
        <f>IF('AW Schulen'!$J159=0,"x",(IF('AW Schulen'!$J177=0,"-",E39/'AW Schulen'!$J177)))</f>
        <v>0.125</v>
      </c>
      <c r="K39" s="299">
        <f>IF('AW Schulen'!$M159=0,"x",(IF('AW Schulen'!$M177=0,"-",F39/'AW Schulen'!$M177)))</f>
        <v>0.14285714285714285</v>
      </c>
      <c r="L39" s="300">
        <f>IF('AW Schulen'!$P159=0,"x",(IF('AW Schulen'!$P177=0,"-",G39/'AW Schulen'!$P177)))</f>
        <v>4.6511627906976744E-2</v>
      </c>
    </row>
    <row r="40" spans="1:12" ht="9" customHeight="1">
      <c r="A40" s="21" t="s">
        <v>90</v>
      </c>
      <c r="B40" s="120"/>
      <c r="C40" s="182">
        <v>0</v>
      </c>
      <c r="D40" s="23">
        <f>'2.3.8.1'!D40</f>
        <v>0</v>
      </c>
      <c r="E40" s="23">
        <f>'2.3.8.1'!E40</f>
        <v>0</v>
      </c>
      <c r="F40" s="23">
        <f>'2.3.8.1'!F40</f>
        <v>0</v>
      </c>
      <c r="G40" s="34">
        <f>'2.3.8.1'!G40</f>
        <v>0</v>
      </c>
      <c r="H40" s="183">
        <v>0</v>
      </c>
      <c r="I40" s="299" t="str">
        <f>IF('AW Schulen'!$G160=0,"x",(IF('AW Schulen'!$G178=0,"-",D40/'AW Schulen'!$G178)))</f>
        <v>-</v>
      </c>
      <c r="J40" s="299" t="str">
        <f>IF('AW Schulen'!$J160=0,"x",(IF('AW Schulen'!$J178=0,"-",E40/'AW Schulen'!$J178)))</f>
        <v>-</v>
      </c>
      <c r="K40" s="299">
        <f>IF('AW Schulen'!$M160=0,"x",(IF('AW Schulen'!$M178=0,"-",F40/'AW Schulen'!$M178)))</f>
        <v>0</v>
      </c>
      <c r="L40" s="300">
        <f>IF('AW Schulen'!$P160=0,"x",(IF('AW Schulen'!$P178=0,"-",G40/'AW Schulen'!$P178)))</f>
        <v>0</v>
      </c>
    </row>
    <row r="41" spans="1:12" ht="9" customHeight="1">
      <c r="A41" s="21" t="s">
        <v>91</v>
      </c>
      <c r="B41" s="120"/>
      <c r="C41" s="182">
        <v>0</v>
      </c>
      <c r="D41" s="23">
        <f>'2.3.8.1'!D41</f>
        <v>0</v>
      </c>
      <c r="E41" s="23">
        <f>'2.3.8.1'!E41</f>
        <v>0</v>
      </c>
      <c r="F41" s="23">
        <f>'2.3.8.1'!F41</f>
        <v>0</v>
      </c>
      <c r="G41" s="34">
        <f>'2.3.8.1'!G41</f>
        <v>0</v>
      </c>
      <c r="H41" s="183">
        <v>0</v>
      </c>
      <c r="I41" s="299">
        <f>IF('AW Schulen'!$G161=0,"x",(IF('AW Schulen'!$G179=0,"-",D41/'AW Schulen'!$G179)))</f>
        <v>0</v>
      </c>
      <c r="J41" s="299">
        <f>IF('AW Schulen'!$J161=0,"x",(IF('AW Schulen'!$J179=0,"-",E41/'AW Schulen'!$J179)))</f>
        <v>0</v>
      </c>
      <c r="K41" s="299">
        <f>IF('AW Schulen'!$M161=0,"x",(IF('AW Schulen'!$M179=0,"-",F41/'AW Schulen'!$M179)))</f>
        <v>0</v>
      </c>
      <c r="L41" s="300">
        <f>IF('AW Schulen'!$P161=0,"x",(IF('AW Schulen'!$P179=0,"-",G41/'AW Schulen'!$P179)))</f>
        <v>0</v>
      </c>
    </row>
    <row r="42" spans="1:12" ht="9" customHeight="1">
      <c r="A42" s="21" t="s">
        <v>260</v>
      </c>
      <c r="B42" s="120"/>
      <c r="C42" s="182">
        <v>0</v>
      </c>
      <c r="D42" s="23">
        <f>'2.3.8.1'!D42</f>
        <v>0</v>
      </c>
      <c r="E42" s="23">
        <f>'2.3.8.1'!E42</f>
        <v>0</v>
      </c>
      <c r="F42" s="23">
        <f>'2.3.8.1'!F42</f>
        <v>0</v>
      </c>
      <c r="G42" s="34">
        <f>'2.3.8.1'!G42</f>
        <v>0</v>
      </c>
      <c r="H42" s="183">
        <v>0</v>
      </c>
      <c r="I42" s="299" t="str">
        <f>IF('AW Schulen'!$G162=0,"x",(IF('AW Schulen'!$G180=0,"-",D42/'AW Schulen'!$G180)))</f>
        <v>-</v>
      </c>
      <c r="J42" s="299">
        <f>IF('AW Schulen'!$J162=0,"x",(IF('AW Schulen'!$J180=0,"-",E42/'AW Schulen'!$J180)))</f>
        <v>0</v>
      </c>
      <c r="K42" s="299">
        <f>IF('AW Schulen'!$M162=0,"x",(IF('AW Schulen'!$M180=0,"-",F42/'AW Schulen'!$M180)))</f>
        <v>0</v>
      </c>
      <c r="L42" s="300">
        <f>IF('AW Schulen'!$P162=0,"x",(IF('AW Schulen'!$P180=0,"-",G42/'AW Schulen'!$P180)))</f>
        <v>0</v>
      </c>
    </row>
    <row r="43" spans="1:12" ht="9" customHeight="1">
      <c r="A43" s="21" t="s">
        <v>93</v>
      </c>
      <c r="B43" s="120"/>
      <c r="C43" s="182">
        <v>0</v>
      </c>
      <c r="D43" s="36">
        <f>'2.3.8.1'!D43</f>
        <v>0</v>
      </c>
      <c r="E43" s="36">
        <f>'2.3.8.1'!E43</f>
        <v>0</v>
      </c>
      <c r="F43" s="36">
        <f>'2.3.8.1'!F43</f>
        <v>0</v>
      </c>
      <c r="G43" s="37">
        <f>'2.3.8.1'!G43</f>
        <v>0</v>
      </c>
      <c r="H43" s="183">
        <v>0</v>
      </c>
      <c r="I43" s="183">
        <v>0</v>
      </c>
      <c r="J43" s="183">
        <v>0</v>
      </c>
      <c r="K43" s="183">
        <v>0</v>
      </c>
      <c r="L43" s="197">
        <v>0</v>
      </c>
    </row>
    <row r="44" spans="1:12" ht="9" customHeight="1">
      <c r="A44" s="21" t="s">
        <v>94</v>
      </c>
      <c r="B44" s="120"/>
      <c r="C44" s="182">
        <v>0</v>
      </c>
      <c r="D44" s="23">
        <f>'2.3.8.1'!D44</f>
        <v>0</v>
      </c>
      <c r="E44" s="23">
        <f>'2.3.8.1'!E44</f>
        <v>0</v>
      </c>
      <c r="F44" s="23">
        <f>'2.3.8.1'!F44</f>
        <v>0</v>
      </c>
      <c r="G44" s="34">
        <f>'2.3.8.1'!G44</f>
        <v>0</v>
      </c>
      <c r="H44" s="183">
        <v>0</v>
      </c>
      <c r="I44" s="299">
        <f>IF('AW Schulen'!$G164=0,"x",(IF('AW Schulen'!$G182=0,"-",D44/'AW Schulen'!$G182)))</f>
        <v>0</v>
      </c>
      <c r="J44" s="299">
        <f>IF('AW Schulen'!$J164=0,"x",(IF('AW Schulen'!$J182=0,"-",E44/'AW Schulen'!$J182)))</f>
        <v>0</v>
      </c>
      <c r="K44" s="299">
        <f>IF('AW Schulen'!$M164=0,"x",(IF('AW Schulen'!$M182=0,"-",F44/'AW Schulen'!$M182)))</f>
        <v>0</v>
      </c>
      <c r="L44" s="300">
        <f>IF('AW Schulen'!$P164=0,"x",(IF('AW Schulen'!$P182=0,"-",G44/'AW Schulen'!$P182)))</f>
        <v>0</v>
      </c>
    </row>
    <row r="45" spans="1:12" ht="9" customHeight="1">
      <c r="A45" s="21" t="s">
        <v>95</v>
      </c>
      <c r="B45" s="120"/>
      <c r="C45" s="182">
        <v>0</v>
      </c>
      <c r="D45" s="23">
        <f>'2.3.8.1'!D45</f>
        <v>1</v>
      </c>
      <c r="E45" s="23">
        <f>'2.3.8.1'!E45</f>
        <v>1</v>
      </c>
      <c r="F45" s="23">
        <f>'2.3.8.1'!F45</f>
        <v>1</v>
      </c>
      <c r="G45" s="34">
        <f>'2.3.8.1'!G45</f>
        <v>1</v>
      </c>
      <c r="H45" s="183">
        <v>0</v>
      </c>
      <c r="I45" s="299">
        <f>IF('AW Schulen'!$G165=0,"x",(IF('AW Schulen'!$G183=0,"-",D45/'AW Schulen'!$G183)))</f>
        <v>0.2</v>
      </c>
      <c r="J45" s="299">
        <f>IF('AW Schulen'!$J165=0,"x",(IF('AW Schulen'!$J183=0,"-",E45/'AW Schulen'!$J183)))</f>
        <v>0.2</v>
      </c>
      <c r="K45" s="299">
        <f>IF('AW Schulen'!$M165=0,"x",(IF('AW Schulen'!$M183=0,"-",F45/'AW Schulen'!$M183)))</f>
        <v>0.2</v>
      </c>
      <c r="L45" s="300">
        <f>IF('AW Schulen'!$P165=0,"x",(IF('AW Schulen'!$P183=0,"-",G45/'AW Schulen'!$P183)))</f>
        <v>0.2</v>
      </c>
    </row>
    <row r="46" spans="1:12" ht="9" customHeight="1">
      <c r="A46" s="21" t="s">
        <v>96</v>
      </c>
      <c r="B46" s="120"/>
      <c r="C46" s="182">
        <v>0</v>
      </c>
      <c r="D46" s="23">
        <f>'2.3.8.1'!D46</f>
        <v>7</v>
      </c>
      <c r="E46" s="23">
        <f>'2.3.8.1'!E46</f>
        <v>11</v>
      </c>
      <c r="F46" s="23">
        <f>'2.3.8.1'!F46</f>
        <v>12</v>
      </c>
      <c r="G46" s="34">
        <f>'2.3.8.1'!G46</f>
        <v>7</v>
      </c>
      <c r="H46" s="183">
        <v>0</v>
      </c>
      <c r="I46" s="299">
        <f>IF('AW Schulen'!$G166=0,"x",(IF('AW Schulen'!$G184=0,"-",D46/'AW Schulen'!$G184)))</f>
        <v>4.2682926829268296E-2</v>
      </c>
      <c r="J46" s="299">
        <f>IF('AW Schulen'!$J166=0,"x",(IF('AW Schulen'!$J184=0,"-",E46/'AW Schulen'!$J184)))</f>
        <v>6.6666666666666666E-2</v>
      </c>
      <c r="K46" s="299">
        <f>IF('AW Schulen'!$M166=0,"x",(IF('AW Schulen'!$M184=0,"-",F46/'AW Schulen'!$M184)))</f>
        <v>6.4516129032258063E-2</v>
      </c>
      <c r="L46" s="300">
        <f>IF('AW Schulen'!$P166=0,"x",(IF('AW Schulen'!$P184=0,"-",G46/'AW Schulen'!$P184)))</f>
        <v>3.7234042553191488E-2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182">
        <v>0</v>
      </c>
      <c r="D48" s="23">
        <f>'2.3.8.1'!D48</f>
        <v>4</v>
      </c>
      <c r="E48" s="23">
        <f>'2.3.8.1'!E48</f>
        <v>4</v>
      </c>
      <c r="F48" s="23">
        <f>'2.3.8.1'!F48</f>
        <v>4</v>
      </c>
      <c r="G48" s="34">
        <f>'2.3.8.1'!G48</f>
        <v>6</v>
      </c>
      <c r="H48" s="183">
        <v>0</v>
      </c>
      <c r="I48" s="299">
        <f>IF('AW Schulen'!$G150=0,"x",(IF('AW Schulen'!$G168=0,"-",D48/'AW Schulen'!$G168)))</f>
        <v>6.8965517241379309E-2</v>
      </c>
      <c r="J48" s="299">
        <f>IF('AW Schulen'!$J150=0,"x",(IF('AW Schulen'!$J168=0,"-",E48/'AW Schulen'!$J168)))</f>
        <v>6.8965517241379309E-2</v>
      </c>
      <c r="K48" s="299">
        <f>IF('AW Schulen'!$M150=0,"x",(IF('AW Schulen'!$M168=0,"-",F48/'AW Schulen'!$M168)))</f>
        <v>6.8965517241379309E-2</v>
      </c>
      <c r="L48" s="300">
        <f>IF('AW Schulen'!$P150=0,"x",(IF('AW Schulen'!$P168=0,"-",G48/'AW Schulen'!$P168)))</f>
        <v>0.10526315789473684</v>
      </c>
    </row>
    <row r="49" spans="1:12" ht="9" customHeight="1">
      <c r="A49" s="21" t="s">
        <v>81</v>
      </c>
      <c r="B49" s="120"/>
      <c r="C49" s="182">
        <v>0</v>
      </c>
      <c r="D49" s="23">
        <f>'2.3.8.1'!D49</f>
        <v>0</v>
      </c>
      <c r="E49" s="23">
        <f>'2.3.8.1'!E49</f>
        <v>0</v>
      </c>
      <c r="F49" s="23" t="str">
        <f>'2.3.8.1'!F49</f>
        <v xml:space="preserve">                                      -   </v>
      </c>
      <c r="G49" s="34">
        <f>'2.3.8.1'!G49</f>
        <v>0</v>
      </c>
      <c r="H49" s="183">
        <v>0</v>
      </c>
      <c r="I49" s="299">
        <f>IF('AW Schulen'!$G151=0,"x",(IF('AW Schulen'!$G169=0,"-",D49/'AW Schulen'!$G169)))</f>
        <v>0</v>
      </c>
      <c r="J49" s="299">
        <f>IF('AW Schulen'!$J151=0,"x",(IF('AW Schulen'!$J169=0,"-",E49/'AW Schulen'!$J169)))</f>
        <v>0</v>
      </c>
      <c r="K49" s="299" t="e">
        <f>IF('AW Schulen'!$M151=0,"x",(IF('AW Schulen'!$M169=0,"-",F49/'AW Schulen'!$M169)))</f>
        <v>#VALUE!</v>
      </c>
      <c r="L49" s="300">
        <f>IF('AW Schulen'!$P151=0,"x",(IF('AW Schulen'!$P169=0,"-",G49/'AW Schulen'!$P169)))</f>
        <v>0</v>
      </c>
    </row>
    <row r="50" spans="1:12" ht="9" customHeight="1">
      <c r="A50" s="21" t="s">
        <v>82</v>
      </c>
      <c r="B50" s="120"/>
      <c r="C50" s="182">
        <v>0</v>
      </c>
      <c r="D50" s="23">
        <f>'2.3.8.1'!D50</f>
        <v>0</v>
      </c>
      <c r="E50" s="23">
        <f>'2.3.8.1'!E50</f>
        <v>0</v>
      </c>
      <c r="F50" s="23">
        <f>'2.3.8.1'!F50</f>
        <v>0</v>
      </c>
      <c r="G50" s="34">
        <f>'2.3.8.1'!G50</f>
        <v>0</v>
      </c>
      <c r="H50" s="183">
        <v>0</v>
      </c>
      <c r="I50" s="299">
        <f>IF('AW Schulen'!$G152=0,"x",(IF('AW Schulen'!$G170=0,"-",D50/'AW Schulen'!$G170)))</f>
        <v>0</v>
      </c>
      <c r="J50" s="299">
        <f>IF('AW Schulen'!$J152=0,"x",(IF('AW Schulen'!$J170=0,"-",E50/'AW Schulen'!$J170)))</f>
        <v>0</v>
      </c>
      <c r="K50" s="299">
        <f>IF('AW Schulen'!$M152=0,"x",(IF('AW Schulen'!$M170=0,"-",F50/'AW Schulen'!$M170)))</f>
        <v>0</v>
      </c>
      <c r="L50" s="300">
        <f>IF('AW Schulen'!$P152=0,"x",(IF('AW Schulen'!$P170=0,"-",G50/'AW Schulen'!$P170)))</f>
        <v>0</v>
      </c>
    </row>
    <row r="51" spans="1:12" ht="9" customHeight="1">
      <c r="A51" s="21" t="s">
        <v>83</v>
      </c>
      <c r="B51" s="120"/>
      <c r="C51" s="182">
        <v>0</v>
      </c>
      <c r="D51" s="23">
        <f>'2.3.8.1'!D51</f>
        <v>0</v>
      </c>
      <c r="E51" s="23">
        <f>'2.3.8.1'!E51</f>
        <v>0</v>
      </c>
      <c r="F51" s="23">
        <f>'2.3.8.1'!F51</f>
        <v>0</v>
      </c>
      <c r="G51" s="34">
        <f>'2.3.8.1'!G51</f>
        <v>0</v>
      </c>
      <c r="H51" s="183">
        <v>0</v>
      </c>
      <c r="I51" s="299">
        <f>IF('AW Schulen'!$G153=0,"x",(IF('AW Schulen'!$G171=0,"-",D51/'AW Schulen'!$G171)))</f>
        <v>0</v>
      </c>
      <c r="J51" s="299">
        <f>IF('AW Schulen'!$J153=0,"x",(IF('AW Schulen'!$J171=0,"-",E51/'AW Schulen'!$J171)))</f>
        <v>0</v>
      </c>
      <c r="K51" s="299">
        <f>IF('AW Schulen'!$M153=0,"x",(IF('AW Schulen'!$M171=0,"-",F51/'AW Schulen'!$M171)))</f>
        <v>0</v>
      </c>
      <c r="L51" s="300">
        <f>IF('AW Schulen'!$P153=0,"x",(IF('AW Schulen'!$P171=0,"-",G51/'AW Schulen'!$P171)))</f>
        <v>0</v>
      </c>
    </row>
    <row r="52" spans="1:12" ht="9" customHeight="1">
      <c r="A52" s="21" t="s">
        <v>84</v>
      </c>
      <c r="B52" s="120"/>
      <c r="C52" s="182">
        <v>0</v>
      </c>
      <c r="D52" s="23">
        <f>'2.3.8.1'!D52</f>
        <v>1</v>
      </c>
      <c r="E52" s="23">
        <f>'2.3.8.1'!E52</f>
        <v>1</v>
      </c>
      <c r="F52" s="23">
        <f>'2.3.8.1'!F52</f>
        <v>1</v>
      </c>
      <c r="G52" s="34">
        <f>'2.3.8.1'!G52</f>
        <v>1</v>
      </c>
      <c r="H52" s="183">
        <v>0</v>
      </c>
      <c r="I52" s="299">
        <f>IF('AW Schulen'!$G154=0,"x",(IF('AW Schulen'!$G172=0,"-",D52/'AW Schulen'!$G172)))</f>
        <v>0.33333333333333331</v>
      </c>
      <c r="J52" s="299">
        <f>IF('AW Schulen'!$J154=0,"x",(IF('AW Schulen'!$J172=0,"-",E52/'AW Schulen'!$J172)))</f>
        <v>0.33333333333333331</v>
      </c>
      <c r="K52" s="299">
        <f>IF('AW Schulen'!$M154=0,"x",(IF('AW Schulen'!$M172=0,"-",F52/'AW Schulen'!$M172)))</f>
        <v>0.33333333333333331</v>
      </c>
      <c r="L52" s="300">
        <f>IF('AW Schulen'!$P154=0,"x",(IF('AW Schulen'!$P172=0,"-",G52/'AW Schulen'!$P172)))</f>
        <v>0.33333333333333331</v>
      </c>
    </row>
    <row r="53" spans="1:12" ht="9" customHeight="1">
      <c r="A53" s="21" t="s">
        <v>85</v>
      </c>
      <c r="B53" s="120"/>
      <c r="C53" s="182">
        <v>0</v>
      </c>
      <c r="D53" s="36">
        <f>'2.3.8.1'!D53</f>
        <v>0</v>
      </c>
      <c r="E53" s="36">
        <f>'2.3.8.1'!E53</f>
        <v>0</v>
      </c>
      <c r="F53" s="36">
        <f>'2.3.8.1'!F53</f>
        <v>0</v>
      </c>
      <c r="G53" s="37">
        <f>'2.3.8.1'!G53</f>
        <v>0</v>
      </c>
      <c r="H53" s="183">
        <v>0</v>
      </c>
      <c r="I53" s="299">
        <f>IF('AW Schulen'!$G155=0,"x",(IF('AW Schulen'!$G173=0,"-",D53/'AW Schulen'!$G173)))</f>
        <v>0</v>
      </c>
      <c r="J53" s="299" t="str">
        <f>IF('AW Schulen'!$J155=0,"x",(IF('AW Schulen'!$J173=0,"-",E53/'AW Schulen'!$J173)))</f>
        <v>-</v>
      </c>
      <c r="K53" s="299">
        <f>IF('AW Schulen'!$M155=0,"x",(IF('AW Schulen'!$M173=0,"-",F53/'AW Schulen'!$M173)))</f>
        <v>0</v>
      </c>
      <c r="L53" s="300">
        <f>IF('AW Schulen'!$P155=0,"x",(IF('AW Schulen'!$P173=0,"-",G53/'AW Schulen'!$P173)))</f>
        <v>0</v>
      </c>
    </row>
    <row r="54" spans="1:12" ht="9" customHeight="1">
      <c r="A54" s="21" t="s">
        <v>86</v>
      </c>
      <c r="B54" s="120"/>
      <c r="C54" s="182">
        <v>0</v>
      </c>
      <c r="D54" s="36">
        <f>'2.3.8.1'!D54</f>
        <v>0</v>
      </c>
      <c r="E54" s="36">
        <f>'2.3.8.1'!E54</f>
        <v>0</v>
      </c>
      <c r="F54" s="36">
        <f>'2.3.8.1'!F54</f>
        <v>0</v>
      </c>
      <c r="G54" s="37">
        <f>'2.3.8.1'!G54</f>
        <v>0</v>
      </c>
      <c r="H54" s="183">
        <v>0</v>
      </c>
      <c r="I54" s="183">
        <v>0</v>
      </c>
      <c r="J54" s="183">
        <v>0</v>
      </c>
      <c r="K54" s="183">
        <v>0</v>
      </c>
      <c r="L54" s="197">
        <v>0</v>
      </c>
    </row>
    <row r="55" spans="1:12" ht="9" customHeight="1">
      <c r="A55" s="21" t="s">
        <v>87</v>
      </c>
      <c r="B55" s="120"/>
      <c r="C55" s="182">
        <v>0</v>
      </c>
      <c r="D55" s="151" t="str">
        <f>'2.3.8.1'!D55</f>
        <v>x</v>
      </c>
      <c r="E55" s="151" t="str">
        <f>'2.3.8.1'!E55</f>
        <v>x</v>
      </c>
      <c r="F55" s="151" t="str">
        <f>'2.3.8.1'!F55</f>
        <v>x</v>
      </c>
      <c r="G55" s="152" t="str">
        <f>'2.3.8.1'!G55</f>
        <v>x</v>
      </c>
      <c r="H55" s="183">
        <v>0</v>
      </c>
      <c r="I55" s="299" t="s">
        <v>261</v>
      </c>
      <c r="J55" s="299" t="s">
        <v>261</v>
      </c>
      <c r="K55" s="299" t="s">
        <v>261</v>
      </c>
      <c r="L55" s="300" t="s">
        <v>261</v>
      </c>
    </row>
    <row r="56" spans="1:12" ht="9" customHeight="1">
      <c r="A56" s="21" t="s">
        <v>88</v>
      </c>
      <c r="B56" s="120"/>
      <c r="C56" s="182">
        <v>0</v>
      </c>
      <c r="D56" s="36">
        <f>'2.3.8.1'!D56</f>
        <v>0</v>
      </c>
      <c r="E56" s="36">
        <f>'2.3.8.1'!E56</f>
        <v>0</v>
      </c>
      <c r="F56" s="36">
        <f>'2.3.8.1'!F56</f>
        <v>0</v>
      </c>
      <c r="G56" s="37">
        <f>'2.3.8.1'!G56</f>
        <v>0</v>
      </c>
      <c r="H56" s="183">
        <v>0</v>
      </c>
      <c r="I56" s="183">
        <v>0</v>
      </c>
      <c r="J56" s="183">
        <f>IF('AW Schulen'!$J158=0,"x",(IF('AW Schulen'!$J176=0,"-",E56/'AW Schulen'!$J176)))</f>
        <v>0</v>
      </c>
      <c r="K56" s="183">
        <f>IF('AW Schulen'!$M158=0,"x",(IF('AW Schulen'!$M176=0,"-",F56/'AW Schulen'!$M176)))</f>
        <v>0</v>
      </c>
      <c r="L56" s="197">
        <f>IF('AW Schulen'!$P158=0,"x",(IF('AW Schulen'!$P176=0,"-",G56/'AW Schulen'!$P176)))</f>
        <v>0</v>
      </c>
    </row>
    <row r="57" spans="1:12" ht="9" customHeight="1">
      <c r="A57" s="21" t="s">
        <v>89</v>
      </c>
      <c r="B57" s="120"/>
      <c r="C57" s="182">
        <v>0</v>
      </c>
      <c r="D57" s="23">
        <f>'2.3.8.1'!D57</f>
        <v>0</v>
      </c>
      <c r="E57" s="23">
        <f>'2.3.8.1'!E57</f>
        <v>7</v>
      </c>
      <c r="F57" s="23">
        <f>'2.3.8.1'!F57</f>
        <v>2</v>
      </c>
      <c r="G57" s="34">
        <f>'2.3.8.1'!G57</f>
        <v>0</v>
      </c>
      <c r="H57" s="183">
        <v>0</v>
      </c>
      <c r="I57" s="299">
        <f>IF('AW Schulen'!$G159=0,"x",(IF('AW Schulen'!$G177=0,"-",D57/'AW Schulen'!$G177)))</f>
        <v>0</v>
      </c>
      <c r="J57" s="299">
        <f>IF('AW Schulen'!$J159=0,"x",(IF('AW Schulen'!$J177=0,"-",E57/'AW Schulen'!$J177)))</f>
        <v>0.17499999999999999</v>
      </c>
      <c r="K57" s="299">
        <f>IF('AW Schulen'!$M159=0,"x",(IF('AW Schulen'!$M177=0,"-",F57/'AW Schulen'!$M177)))</f>
        <v>4.7619047619047616E-2</v>
      </c>
      <c r="L57" s="300">
        <f>IF('AW Schulen'!$P159=0,"x",(IF('AW Schulen'!$P177=0,"-",G57/'AW Schulen'!$P177)))</f>
        <v>0</v>
      </c>
    </row>
    <row r="58" spans="1:12" ht="9" customHeight="1">
      <c r="A58" s="21" t="s">
        <v>90</v>
      </c>
      <c r="B58" s="120"/>
      <c r="C58" s="182">
        <v>0</v>
      </c>
      <c r="D58" s="23">
        <f>'2.3.8.1'!D58</f>
        <v>7</v>
      </c>
      <c r="E58" s="23">
        <f>'2.3.8.1'!E58</f>
        <v>6</v>
      </c>
      <c r="F58" s="23">
        <f>'2.3.8.1'!F58</f>
        <v>6</v>
      </c>
      <c r="G58" s="34">
        <f>'2.3.8.1'!G58</f>
        <v>6</v>
      </c>
      <c r="H58" s="183">
        <v>0</v>
      </c>
      <c r="I58" s="299" t="str">
        <f>IF('AW Schulen'!$G160=0,"x",(IF('AW Schulen'!$G178=0,"-",D58/'AW Schulen'!$G178)))</f>
        <v>-</v>
      </c>
      <c r="J58" s="299" t="str">
        <f>IF('AW Schulen'!$J160=0,"x",(IF('AW Schulen'!$J178=0,"-",E58/'AW Schulen'!$J178)))</f>
        <v>-</v>
      </c>
      <c r="K58" s="299">
        <f>IF('AW Schulen'!$M160=0,"x",(IF('AW Schulen'!$M178=0,"-",F58/'AW Schulen'!$M178)))</f>
        <v>0.75</v>
      </c>
      <c r="L58" s="300">
        <f>IF('AW Schulen'!$P160=0,"x",(IF('AW Schulen'!$P178=0,"-",G58/'AW Schulen'!$P178)))</f>
        <v>0.75</v>
      </c>
    </row>
    <row r="59" spans="1:12" ht="9" customHeight="1">
      <c r="A59" s="21" t="s">
        <v>91</v>
      </c>
      <c r="B59" s="120"/>
      <c r="C59" s="182">
        <v>0</v>
      </c>
      <c r="D59" s="23">
        <f>'2.3.8.1'!D59</f>
        <v>0</v>
      </c>
      <c r="E59" s="23">
        <f>'2.3.8.1'!E59</f>
        <v>0</v>
      </c>
      <c r="F59" s="23">
        <f>'2.3.8.1'!F59</f>
        <v>0</v>
      </c>
      <c r="G59" s="34">
        <f>'2.3.8.1'!G59</f>
        <v>0</v>
      </c>
      <c r="H59" s="183">
        <v>0</v>
      </c>
      <c r="I59" s="299">
        <f>IF('AW Schulen'!$G161=0,"x",(IF('AW Schulen'!$G179=0,"-",D59/'AW Schulen'!$G179)))</f>
        <v>0</v>
      </c>
      <c r="J59" s="299">
        <f>IF('AW Schulen'!$J161=0,"x",(IF('AW Schulen'!$J179=0,"-",E59/'AW Schulen'!$J179)))</f>
        <v>0</v>
      </c>
      <c r="K59" s="299">
        <f>IF('AW Schulen'!$M161=0,"x",(IF('AW Schulen'!$M179=0,"-",F59/'AW Schulen'!$M179)))</f>
        <v>0</v>
      </c>
      <c r="L59" s="300">
        <f>IF('AW Schulen'!$P161=0,"x",(IF('AW Schulen'!$P179=0,"-",G59/'AW Schulen'!$P179)))</f>
        <v>0</v>
      </c>
    </row>
    <row r="60" spans="1:12" ht="9" customHeight="1">
      <c r="A60" s="21" t="s">
        <v>260</v>
      </c>
      <c r="B60" s="120"/>
      <c r="C60" s="182">
        <v>0</v>
      </c>
      <c r="D60" s="23">
        <f>'2.3.8.1'!D60</f>
        <v>0</v>
      </c>
      <c r="E60" s="23">
        <f>'2.3.8.1'!E60</f>
        <v>0</v>
      </c>
      <c r="F60" s="23">
        <f>'2.3.8.1'!F60</f>
        <v>0</v>
      </c>
      <c r="G60" s="34">
        <f>'2.3.8.1'!G60</f>
        <v>0</v>
      </c>
      <c r="H60" s="183">
        <v>0</v>
      </c>
      <c r="I60" s="299" t="str">
        <f>IF('AW Schulen'!$G162=0,"x",(IF('AW Schulen'!$G180=0,"-",D60/'AW Schulen'!$G180)))</f>
        <v>-</v>
      </c>
      <c r="J60" s="299">
        <f>IF('AW Schulen'!$J162=0,"x",(IF('AW Schulen'!$J180=0,"-",E60/'AW Schulen'!$J180)))</f>
        <v>0</v>
      </c>
      <c r="K60" s="299">
        <f>IF('AW Schulen'!$M162=0,"x",(IF('AW Schulen'!$M180=0,"-",F60/'AW Schulen'!$M180)))</f>
        <v>0</v>
      </c>
      <c r="L60" s="300">
        <f>IF('AW Schulen'!$P162=0,"x",(IF('AW Schulen'!$P180=0,"-",G60/'AW Schulen'!$P180)))</f>
        <v>0</v>
      </c>
    </row>
    <row r="61" spans="1:12" ht="9" customHeight="1">
      <c r="A61" s="21" t="s">
        <v>93</v>
      </c>
      <c r="B61" s="120"/>
      <c r="C61" s="182">
        <v>0</v>
      </c>
      <c r="D61" s="36">
        <f>'2.3.8.1'!D61</f>
        <v>0</v>
      </c>
      <c r="E61" s="36">
        <f>'2.3.8.1'!E61</f>
        <v>0</v>
      </c>
      <c r="F61" s="36">
        <f>'2.3.8.1'!F61</f>
        <v>0</v>
      </c>
      <c r="G61" s="37">
        <f>'2.3.8.1'!G61</f>
        <v>0</v>
      </c>
      <c r="H61" s="183">
        <v>0</v>
      </c>
      <c r="I61" s="183">
        <v>0</v>
      </c>
      <c r="J61" s="183">
        <v>0</v>
      </c>
      <c r="K61" s="183">
        <v>0</v>
      </c>
      <c r="L61" s="197">
        <v>0</v>
      </c>
    </row>
    <row r="62" spans="1:12" ht="9" customHeight="1">
      <c r="A62" s="21" t="s">
        <v>94</v>
      </c>
      <c r="B62" s="120"/>
      <c r="C62" s="182">
        <v>0</v>
      </c>
      <c r="D62" s="23">
        <f>'2.3.8.1'!D62</f>
        <v>0</v>
      </c>
      <c r="E62" s="23">
        <f>'2.3.8.1'!E62</f>
        <v>0</v>
      </c>
      <c r="F62" s="23">
        <f>'2.3.8.1'!F62</f>
        <v>0</v>
      </c>
      <c r="G62" s="34">
        <f>'2.3.8.1'!G62</f>
        <v>0</v>
      </c>
      <c r="H62" s="183">
        <v>0</v>
      </c>
      <c r="I62" s="299">
        <f>IF('AW Schulen'!$G164=0,"x",(IF('AW Schulen'!$G182=0,"-",D62/'AW Schulen'!$G182)))</f>
        <v>0</v>
      </c>
      <c r="J62" s="299">
        <f>IF('AW Schulen'!$J164=0,"x",(IF('AW Schulen'!$J182=0,"-",E62/'AW Schulen'!$J182)))</f>
        <v>0</v>
      </c>
      <c r="K62" s="299">
        <f>IF('AW Schulen'!$M164=0,"x",(IF('AW Schulen'!$M182=0,"-",F62/'AW Schulen'!$M182)))</f>
        <v>0</v>
      </c>
      <c r="L62" s="300">
        <f>IF('AW Schulen'!$P164=0,"x",(IF('AW Schulen'!$P182=0,"-",G62/'AW Schulen'!$P182)))</f>
        <v>0</v>
      </c>
    </row>
    <row r="63" spans="1:12" ht="9" customHeight="1">
      <c r="A63" s="21" t="s">
        <v>95</v>
      </c>
      <c r="B63" s="120"/>
      <c r="C63" s="182">
        <v>0</v>
      </c>
      <c r="D63" s="23">
        <f>'2.3.8.1'!D63</f>
        <v>2</v>
      </c>
      <c r="E63" s="23">
        <f>'2.3.8.1'!E63</f>
        <v>2</v>
      </c>
      <c r="F63" s="23">
        <f>'2.3.8.1'!F63</f>
        <v>2</v>
      </c>
      <c r="G63" s="34">
        <f>'2.3.8.1'!G63</f>
        <v>2</v>
      </c>
      <c r="H63" s="183">
        <v>0</v>
      </c>
      <c r="I63" s="299">
        <f>IF('AW Schulen'!$G165=0,"x",(IF('AW Schulen'!$G183=0,"-",D63/'AW Schulen'!$G183)))</f>
        <v>0.4</v>
      </c>
      <c r="J63" s="299">
        <f>IF('AW Schulen'!$J165=0,"x",(IF('AW Schulen'!$J183=0,"-",E63/'AW Schulen'!$J183)))</f>
        <v>0.4</v>
      </c>
      <c r="K63" s="299">
        <f>IF('AW Schulen'!$M165=0,"x",(IF('AW Schulen'!$M183=0,"-",F63/'AW Schulen'!$M183)))</f>
        <v>0.4</v>
      </c>
      <c r="L63" s="300">
        <f>IF('AW Schulen'!$P165=0,"x",(IF('AW Schulen'!$P183=0,"-",G63/'AW Schulen'!$P183)))</f>
        <v>0.4</v>
      </c>
    </row>
    <row r="64" spans="1:12" ht="8.65" customHeight="1">
      <c r="A64" s="21" t="s">
        <v>96</v>
      </c>
      <c r="B64" s="120"/>
      <c r="C64" s="182">
        <v>0</v>
      </c>
      <c r="D64" s="23">
        <f>'2.3.8.1'!D64</f>
        <v>14</v>
      </c>
      <c r="E64" s="23">
        <f>'2.3.8.1'!E64</f>
        <v>20</v>
      </c>
      <c r="F64" s="23">
        <f>'2.3.8.1'!F64</f>
        <v>15</v>
      </c>
      <c r="G64" s="34">
        <f>'2.3.8.1'!G64</f>
        <v>15</v>
      </c>
      <c r="H64" s="183">
        <v>0</v>
      </c>
      <c r="I64" s="299">
        <f>IF('AW Schulen'!$G166=0,"x",(IF('AW Schulen'!$G184=0,"-",D64/'AW Schulen'!$G184)))</f>
        <v>8.5365853658536592E-2</v>
      </c>
      <c r="J64" s="299">
        <f>IF('AW Schulen'!$J166=0,"x",(IF('AW Schulen'!$J184=0,"-",E64/'AW Schulen'!$J184)))</f>
        <v>0.12121212121212122</v>
      </c>
      <c r="K64" s="299">
        <f>IF('AW Schulen'!$M166=0,"x",(IF('AW Schulen'!$M184=0,"-",F64/'AW Schulen'!$M184)))</f>
        <v>8.0645161290322578E-2</v>
      </c>
      <c r="L64" s="300">
        <f>IF('AW Schulen'!$P166=0,"x",(IF('AW Schulen'!$P184=0,"-",G64/'AW Schulen'!$P184)))</f>
        <v>7.9787234042553196E-2</v>
      </c>
    </row>
    <row r="65" spans="1:12" ht="12.6" customHeight="1">
      <c r="A65" s="391" t="s">
        <v>100</v>
      </c>
      <c r="B65" s="392"/>
      <c r="C65" s="392"/>
      <c r="D65" s="392"/>
      <c r="E65" s="392"/>
      <c r="F65" s="392"/>
      <c r="G65" s="392"/>
      <c r="H65" s="392"/>
      <c r="I65" s="392"/>
      <c r="J65" s="392"/>
      <c r="K65" s="392"/>
      <c r="L65" s="393"/>
    </row>
    <row r="66" spans="1:12" ht="10.15" customHeight="1">
      <c r="A66" s="21" t="s">
        <v>80</v>
      </c>
      <c r="B66" s="120"/>
      <c r="C66" s="182">
        <v>0</v>
      </c>
      <c r="D66" s="23">
        <f>'2.3.8.1'!D66</f>
        <v>7</v>
      </c>
      <c r="E66" s="23">
        <f>'2.3.8.1'!E66</f>
        <v>7</v>
      </c>
      <c r="F66" s="23">
        <f>'2.3.8.1'!F66</f>
        <v>9</v>
      </c>
      <c r="G66" s="34">
        <f>'2.3.8.1'!G66</f>
        <v>10</v>
      </c>
      <c r="H66" s="183">
        <v>0</v>
      </c>
      <c r="I66" s="299">
        <f>IF('AW Schulen'!$G150=0,"x",(IF('AW Schulen'!$G168=0,"-",D66/'AW Schulen'!$G168)))</f>
        <v>0.1206896551724138</v>
      </c>
      <c r="J66" s="299">
        <f>IF('AW Schulen'!$J150=0,"x",(IF('AW Schulen'!$J168=0,"-",E66/'AW Schulen'!$J168)))</f>
        <v>0.1206896551724138</v>
      </c>
      <c r="K66" s="299">
        <f>IF('AW Schulen'!$M150=0,"x",(IF('AW Schulen'!$M168=0,"-",F66/'AW Schulen'!$M168)))</f>
        <v>0.15517241379310345</v>
      </c>
      <c r="L66" s="300">
        <f>IF('AW Schulen'!$P150=0,"x",(IF('AW Schulen'!$P168=0,"-",G66/'AW Schulen'!$P168)))</f>
        <v>0.17543859649122806</v>
      </c>
    </row>
    <row r="67" spans="1:12" ht="10.15" customHeight="1">
      <c r="A67" s="21" t="s">
        <v>81</v>
      </c>
      <c r="B67" s="120"/>
      <c r="C67" s="182">
        <v>0</v>
      </c>
      <c r="D67" s="23">
        <f>'2.3.8.1'!D67</f>
        <v>1</v>
      </c>
      <c r="E67" s="23">
        <f>'2.3.8.1'!E67</f>
        <v>0</v>
      </c>
      <c r="F67" s="23" t="str">
        <f>'2.3.8.1'!F67</f>
        <v xml:space="preserve">                                      -   </v>
      </c>
      <c r="G67" s="34">
        <f>'2.3.8.1'!G67</f>
        <v>0</v>
      </c>
      <c r="H67" s="183">
        <v>0</v>
      </c>
      <c r="I67" s="299">
        <f>IF('AW Schulen'!$G151=0,"x",(IF('AW Schulen'!$G169=0,"-",D67/'AW Schulen'!$G169)))</f>
        <v>4.7619047619047616E-2</v>
      </c>
      <c r="J67" s="299">
        <f>IF('AW Schulen'!$J151=0,"x",(IF('AW Schulen'!$J169=0,"-",E67/'AW Schulen'!$J169)))</f>
        <v>0</v>
      </c>
      <c r="K67" s="299" t="e">
        <f>IF('AW Schulen'!$M151=0,"x",(IF('AW Schulen'!$M169=0,"-",F67/'AW Schulen'!$M169)))</f>
        <v>#VALUE!</v>
      </c>
      <c r="L67" s="300">
        <f>IF('AW Schulen'!$P151=0,"x",(IF('AW Schulen'!$P169=0,"-",G67/'AW Schulen'!$P169)))</f>
        <v>0</v>
      </c>
    </row>
    <row r="68" spans="1:12" ht="10.15" customHeight="1">
      <c r="A68" s="21" t="s">
        <v>82</v>
      </c>
      <c r="B68" s="120"/>
      <c r="C68" s="182">
        <v>0</v>
      </c>
      <c r="D68" s="23">
        <f>'2.3.8.1'!D68</f>
        <v>10</v>
      </c>
      <c r="E68" s="23">
        <f>'2.3.8.1'!E68</f>
        <v>9</v>
      </c>
      <c r="F68" s="23">
        <f>'2.3.8.1'!F68</f>
        <v>10</v>
      </c>
      <c r="G68" s="34">
        <f>'2.3.8.1'!G68</f>
        <v>10</v>
      </c>
      <c r="H68" s="183">
        <v>0</v>
      </c>
      <c r="I68" s="299">
        <f>IF('AW Schulen'!$G152=0,"x",(IF('AW Schulen'!$G170=0,"-",D68/'AW Schulen'!$G170)))</f>
        <v>1</v>
      </c>
      <c r="J68" s="299">
        <f>IF('AW Schulen'!$J152=0,"x",(IF('AW Schulen'!$J170=0,"-",E68/'AW Schulen'!$J170)))</f>
        <v>0.9</v>
      </c>
      <c r="K68" s="299">
        <f>IF('AW Schulen'!$M152=0,"x",(IF('AW Schulen'!$M170=0,"-",F68/'AW Schulen'!$M170)))</f>
        <v>1</v>
      </c>
      <c r="L68" s="300">
        <f>IF('AW Schulen'!$P152=0,"x",(IF('AW Schulen'!$P170=0,"-",G68/'AW Schulen'!$P170)))</f>
        <v>1</v>
      </c>
    </row>
    <row r="69" spans="1:12" ht="9" customHeight="1">
      <c r="A69" s="21" t="s">
        <v>83</v>
      </c>
      <c r="B69" s="120"/>
      <c r="C69" s="182">
        <v>0</v>
      </c>
      <c r="D69" s="23">
        <f>'2.3.8.1'!D69</f>
        <v>4</v>
      </c>
      <c r="E69" s="23">
        <f>'2.3.8.1'!E69</f>
        <v>4</v>
      </c>
      <c r="F69" s="23">
        <f>'2.3.8.1'!F69</f>
        <v>4</v>
      </c>
      <c r="G69" s="34">
        <f>'2.3.8.1'!G69</f>
        <v>4</v>
      </c>
      <c r="H69" s="183">
        <v>0</v>
      </c>
      <c r="I69" s="299">
        <f>IF('AW Schulen'!$G153=0,"x",(IF('AW Schulen'!$G171=0,"-",D69/'AW Schulen'!$G171)))</f>
        <v>0.8</v>
      </c>
      <c r="J69" s="299">
        <f>IF('AW Schulen'!$J153=0,"x",(IF('AW Schulen'!$J171=0,"-",E69/'AW Schulen'!$J171)))</f>
        <v>0.8</v>
      </c>
      <c r="K69" s="299">
        <f>IF('AW Schulen'!$M153=0,"x",(IF('AW Schulen'!$M171=0,"-",F69/'AW Schulen'!$M171)))</f>
        <v>0.8</v>
      </c>
      <c r="L69" s="300">
        <f>IF('AW Schulen'!$P153=0,"x",(IF('AW Schulen'!$P171=0,"-",G69/'AW Schulen'!$P171)))</f>
        <v>0.8</v>
      </c>
    </row>
    <row r="70" spans="1:12" ht="9" customHeight="1">
      <c r="A70" s="21" t="s">
        <v>84</v>
      </c>
      <c r="B70" s="120"/>
      <c r="C70" s="182">
        <v>0</v>
      </c>
      <c r="D70" s="23">
        <f>'2.3.8.1'!D70</f>
        <v>0</v>
      </c>
      <c r="E70" s="23">
        <f>'2.3.8.1'!E70</f>
        <v>0</v>
      </c>
      <c r="F70" s="23">
        <f>'2.3.8.1'!F70</f>
        <v>0</v>
      </c>
      <c r="G70" s="34">
        <f>'2.3.8.1'!G70</f>
        <v>0</v>
      </c>
      <c r="H70" s="183">
        <v>0</v>
      </c>
      <c r="I70" s="299">
        <f>IF('AW Schulen'!$G154=0,"x",(IF('AW Schulen'!$G172=0,"-",D70/'AW Schulen'!$G172)))</f>
        <v>0</v>
      </c>
      <c r="J70" s="299">
        <f>IF('AW Schulen'!$J154=0,"x",(IF('AW Schulen'!$J172=0,"-",E70/'AW Schulen'!$J172)))</f>
        <v>0</v>
      </c>
      <c r="K70" s="299">
        <f>IF('AW Schulen'!$M154=0,"x",(IF('AW Schulen'!$M172=0,"-",F70/'AW Schulen'!$M172)))</f>
        <v>0</v>
      </c>
      <c r="L70" s="300">
        <f>IF('AW Schulen'!$P154=0,"x",(IF('AW Schulen'!$P172=0,"-",G70/'AW Schulen'!$P172)))</f>
        <v>0</v>
      </c>
    </row>
    <row r="71" spans="1:12" ht="9" customHeight="1">
      <c r="A71" s="21" t="s">
        <v>85</v>
      </c>
      <c r="B71" s="120"/>
      <c r="C71" s="182">
        <v>0</v>
      </c>
      <c r="D71" s="36">
        <f>'2.3.8.1'!D71</f>
        <v>0</v>
      </c>
      <c r="E71" s="36">
        <f>'2.3.8.1'!E71</f>
        <v>0</v>
      </c>
      <c r="F71" s="36">
        <f>'2.3.8.1'!F71</f>
        <v>0</v>
      </c>
      <c r="G71" s="37">
        <f>'2.3.8.1'!G71</f>
        <v>0</v>
      </c>
      <c r="H71" s="183">
        <v>0</v>
      </c>
      <c r="I71" s="299">
        <f>IF('AW Schulen'!$G155=0,"x",(IF('AW Schulen'!$G173=0,"-",D71/'AW Schulen'!$G173)))</f>
        <v>0</v>
      </c>
      <c r="J71" s="299" t="str">
        <f>IF('AW Schulen'!$J155=0,"x",(IF('AW Schulen'!$J173=0,"-",E71/'AW Schulen'!$J173)))</f>
        <v>-</v>
      </c>
      <c r="K71" s="299">
        <f>IF('AW Schulen'!$M155=0,"x",(IF('AW Schulen'!$M173=0,"-",F71/'AW Schulen'!$M173)))</f>
        <v>0</v>
      </c>
      <c r="L71" s="300">
        <f>IF('AW Schulen'!$P155=0,"x",(IF('AW Schulen'!$P173=0,"-",G71/'AW Schulen'!$P173)))</f>
        <v>0</v>
      </c>
    </row>
    <row r="72" spans="1:12" ht="9" customHeight="1">
      <c r="A72" s="21" t="s">
        <v>86</v>
      </c>
      <c r="B72" s="120"/>
      <c r="C72" s="182">
        <v>0</v>
      </c>
      <c r="D72" s="36">
        <f>'2.3.8.1'!D72</f>
        <v>0</v>
      </c>
      <c r="E72" s="36">
        <f>'2.3.8.1'!E72</f>
        <v>0</v>
      </c>
      <c r="F72" s="36">
        <f>'2.3.8.1'!F72</f>
        <v>0</v>
      </c>
      <c r="G72" s="37">
        <f>'2.3.8.1'!G72</f>
        <v>0</v>
      </c>
      <c r="H72" s="183">
        <v>0</v>
      </c>
      <c r="I72" s="183">
        <v>0</v>
      </c>
      <c r="J72" s="183">
        <v>0</v>
      </c>
      <c r="K72" s="183">
        <v>0</v>
      </c>
      <c r="L72" s="197">
        <v>0</v>
      </c>
    </row>
    <row r="73" spans="1:12" ht="9" customHeight="1">
      <c r="A73" s="21" t="s">
        <v>87</v>
      </c>
      <c r="B73" s="120"/>
      <c r="C73" s="182">
        <v>0</v>
      </c>
      <c r="D73" s="151" t="str">
        <f>'2.3.8.1'!D73</f>
        <v>x</v>
      </c>
      <c r="E73" s="151" t="str">
        <f>'2.3.8.1'!E73</f>
        <v>x</v>
      </c>
      <c r="F73" s="151" t="str">
        <f>'2.3.8.1'!F73</f>
        <v>x</v>
      </c>
      <c r="G73" s="152" t="str">
        <f>'2.3.8.1'!G73</f>
        <v>x</v>
      </c>
      <c r="H73" s="183">
        <v>0</v>
      </c>
      <c r="I73" s="299" t="s">
        <v>261</v>
      </c>
      <c r="J73" s="299" t="s">
        <v>261</v>
      </c>
      <c r="K73" s="299" t="s">
        <v>261</v>
      </c>
      <c r="L73" s="300" t="s">
        <v>261</v>
      </c>
    </row>
    <row r="74" spans="1:12" ht="9" customHeight="1">
      <c r="A74" s="21" t="s">
        <v>88</v>
      </c>
      <c r="B74" s="120"/>
      <c r="C74" s="182">
        <v>0</v>
      </c>
      <c r="D74" s="36">
        <f>'2.3.8.1'!D74</f>
        <v>0</v>
      </c>
      <c r="E74" s="36">
        <f>'2.3.8.1'!E74</f>
        <v>0</v>
      </c>
      <c r="F74" s="36">
        <f>'2.3.8.1'!F74</f>
        <v>0</v>
      </c>
      <c r="G74" s="37">
        <f>'2.3.8.1'!G74</f>
        <v>0</v>
      </c>
      <c r="H74" s="183">
        <v>0</v>
      </c>
      <c r="I74" s="183">
        <v>0</v>
      </c>
      <c r="J74" s="183">
        <f>IF('AW Schulen'!$J158=0,"x",(IF('AW Schulen'!$J176=0,"-",E74/'AW Schulen'!$J176)))</f>
        <v>0</v>
      </c>
      <c r="K74" s="183">
        <f>IF('AW Schulen'!$M158=0,"x",(IF('AW Schulen'!$M176=0,"-",F74/'AW Schulen'!$M176)))</f>
        <v>0</v>
      </c>
      <c r="L74" s="197">
        <f>IF('AW Schulen'!$P158=0,"x",(IF('AW Schulen'!$P176=0,"-",G74/'AW Schulen'!$P176)))</f>
        <v>0</v>
      </c>
    </row>
    <row r="75" spans="1:12" ht="9" customHeight="1">
      <c r="A75" s="21" t="s">
        <v>89</v>
      </c>
      <c r="B75" s="120"/>
      <c r="C75" s="182">
        <v>0</v>
      </c>
      <c r="D75" s="23">
        <f>'2.3.8.1'!D75</f>
        <v>35</v>
      </c>
      <c r="E75" s="23">
        <f>'2.3.8.1'!E75</f>
        <v>28</v>
      </c>
      <c r="F75" s="23">
        <f>'2.3.8.1'!F75</f>
        <v>34</v>
      </c>
      <c r="G75" s="34">
        <f>'2.3.8.1'!G75</f>
        <v>35</v>
      </c>
      <c r="H75" s="183">
        <v>0</v>
      </c>
      <c r="I75" s="299">
        <f>IF('AW Schulen'!$G159=0,"x",(IF('AW Schulen'!$G177=0,"-",D75/'AW Schulen'!$G177)))</f>
        <v>0.875</v>
      </c>
      <c r="J75" s="299">
        <f>IF('AW Schulen'!$J159=0,"x",(IF('AW Schulen'!$J177=0,"-",E75/'AW Schulen'!$J177)))</f>
        <v>0.7</v>
      </c>
      <c r="K75" s="299">
        <f>IF('AW Schulen'!$M159=0,"x",(IF('AW Schulen'!$M177=0,"-",F75/'AW Schulen'!$M177)))</f>
        <v>0.80952380952380953</v>
      </c>
      <c r="L75" s="300">
        <f>IF('AW Schulen'!$P159=0,"x",(IF('AW Schulen'!$P177=0,"-",G75/'AW Schulen'!$P177)))</f>
        <v>0.81395348837209303</v>
      </c>
    </row>
    <row r="76" spans="1:12" ht="9" customHeight="1">
      <c r="A76" s="21" t="s">
        <v>90</v>
      </c>
      <c r="B76" s="120"/>
      <c r="C76" s="182">
        <v>0</v>
      </c>
      <c r="D76" s="23">
        <f>'2.3.8.1'!D76</f>
        <v>0</v>
      </c>
      <c r="E76" s="23">
        <f>'2.3.8.1'!E76</f>
        <v>0</v>
      </c>
      <c r="F76" s="23">
        <f>'2.3.8.1'!F76</f>
        <v>0</v>
      </c>
      <c r="G76" s="34">
        <f>'2.3.8.1'!G76</f>
        <v>0</v>
      </c>
      <c r="H76" s="183">
        <v>0</v>
      </c>
      <c r="I76" s="299" t="str">
        <f>IF('AW Schulen'!$G160=0,"x",(IF('AW Schulen'!$G178=0,"-",D76/'AW Schulen'!$G178)))</f>
        <v>-</v>
      </c>
      <c r="J76" s="299" t="str">
        <f>IF('AW Schulen'!$J160=0,"x",(IF('AW Schulen'!$J178=0,"-",E76/'AW Schulen'!$J178)))</f>
        <v>-</v>
      </c>
      <c r="K76" s="299">
        <f>IF('AW Schulen'!$M160=0,"x",(IF('AW Schulen'!$M178=0,"-",F76/'AW Schulen'!$M178)))</f>
        <v>0</v>
      </c>
      <c r="L76" s="300">
        <f>IF('AW Schulen'!$P160=0,"x",(IF('AW Schulen'!$P178=0,"-",G76/'AW Schulen'!$P178)))</f>
        <v>0</v>
      </c>
    </row>
    <row r="77" spans="1:12" ht="9" customHeight="1">
      <c r="A77" s="21" t="s">
        <v>91</v>
      </c>
      <c r="B77" s="120"/>
      <c r="C77" s="182">
        <v>0</v>
      </c>
      <c r="D77" s="23">
        <f>'2.3.8.1'!D77</f>
        <v>2</v>
      </c>
      <c r="E77" s="23">
        <f>'2.3.8.1'!E77</f>
        <v>3</v>
      </c>
      <c r="F77" s="23">
        <f>'2.3.8.1'!F77</f>
        <v>3</v>
      </c>
      <c r="G77" s="34">
        <f>'2.3.8.1'!G77</f>
        <v>3</v>
      </c>
      <c r="H77" s="183">
        <v>0</v>
      </c>
      <c r="I77" s="299">
        <f>IF('AW Schulen'!$G161=0,"x",(IF('AW Schulen'!$G179=0,"-",D77/'AW Schulen'!$G179)))</f>
        <v>0.5</v>
      </c>
      <c r="J77" s="299">
        <f>IF('AW Schulen'!$J161=0,"x",(IF('AW Schulen'!$J179=0,"-",E77/'AW Schulen'!$J179)))</f>
        <v>0.75</v>
      </c>
      <c r="K77" s="299">
        <f>IF('AW Schulen'!$M161=0,"x",(IF('AW Schulen'!$M179=0,"-",F77/'AW Schulen'!$M179)))</f>
        <v>0.75</v>
      </c>
      <c r="L77" s="300">
        <f>IF('AW Schulen'!$P161=0,"x",(IF('AW Schulen'!$P179=0,"-",G77/'AW Schulen'!$P179)))</f>
        <v>0.75</v>
      </c>
    </row>
    <row r="78" spans="1:12" ht="9" customHeight="1">
      <c r="A78" s="21" t="s">
        <v>260</v>
      </c>
      <c r="B78" s="120"/>
      <c r="C78" s="182">
        <v>0</v>
      </c>
      <c r="D78" s="23">
        <f>'2.3.8.1'!D78</f>
        <v>0</v>
      </c>
      <c r="E78" s="23">
        <f>'2.3.8.1'!E78</f>
        <v>0</v>
      </c>
      <c r="F78" s="23">
        <f>'2.3.8.1'!F78</f>
        <v>0</v>
      </c>
      <c r="G78" s="34">
        <f>'2.3.8.1'!G78</f>
        <v>0</v>
      </c>
      <c r="H78" s="183">
        <v>0</v>
      </c>
      <c r="I78" s="299" t="str">
        <f>IF('AW Schulen'!$G162=0,"x",(IF('AW Schulen'!$G180=0,"-",D78/'AW Schulen'!$G180)))</f>
        <v>-</v>
      </c>
      <c r="J78" s="299">
        <f>IF('AW Schulen'!$J162=0,"x",(IF('AW Schulen'!$J180=0,"-",E78/'AW Schulen'!$J180)))</f>
        <v>0</v>
      </c>
      <c r="K78" s="299">
        <f>IF('AW Schulen'!$M162=0,"x",(IF('AW Schulen'!$M180=0,"-",F78/'AW Schulen'!$M180)))</f>
        <v>0</v>
      </c>
      <c r="L78" s="300">
        <f>IF('AW Schulen'!$P162=0,"x",(IF('AW Schulen'!$P180=0,"-",G78/'AW Schulen'!$P180)))</f>
        <v>0</v>
      </c>
    </row>
    <row r="79" spans="1:12" ht="9" customHeight="1">
      <c r="A79" s="21" t="s">
        <v>93</v>
      </c>
      <c r="B79" s="120"/>
      <c r="C79" s="182">
        <v>0</v>
      </c>
      <c r="D79" s="36">
        <f>'2.3.8.1'!D79</f>
        <v>0</v>
      </c>
      <c r="E79" s="36">
        <f>'2.3.8.1'!E79</f>
        <v>0</v>
      </c>
      <c r="F79" s="36">
        <f>'2.3.8.1'!F79</f>
        <v>0</v>
      </c>
      <c r="G79" s="37">
        <f>'2.3.8.1'!G79</f>
        <v>0</v>
      </c>
      <c r="H79" s="183">
        <v>0</v>
      </c>
      <c r="I79" s="183">
        <v>0</v>
      </c>
      <c r="J79" s="183">
        <v>0</v>
      </c>
      <c r="K79" s="183">
        <v>0</v>
      </c>
      <c r="L79" s="197">
        <v>0</v>
      </c>
    </row>
    <row r="80" spans="1:12" ht="9" customHeight="1">
      <c r="A80" s="21" t="s">
        <v>94</v>
      </c>
      <c r="B80" s="120"/>
      <c r="C80" s="182">
        <v>0</v>
      </c>
      <c r="D80" s="23">
        <f>'2.3.8.1'!D80</f>
        <v>10</v>
      </c>
      <c r="E80" s="23">
        <f>'2.3.8.1'!E80</f>
        <v>10</v>
      </c>
      <c r="F80" s="23">
        <f>'2.3.8.1'!F80</f>
        <v>10</v>
      </c>
      <c r="G80" s="34">
        <f>'2.3.8.1'!G80</f>
        <v>10</v>
      </c>
      <c r="H80" s="183">
        <v>0</v>
      </c>
      <c r="I80" s="299">
        <f>IF('AW Schulen'!$G164=0,"x",(IF('AW Schulen'!$G182=0,"-",D80/'AW Schulen'!$G182)))</f>
        <v>0.83333333333333337</v>
      </c>
      <c r="J80" s="299">
        <f>IF('AW Schulen'!$J164=0,"x",(IF('AW Schulen'!$J182=0,"-",E80/'AW Schulen'!$J182)))</f>
        <v>0.83333333333333337</v>
      </c>
      <c r="K80" s="299">
        <f>IF('AW Schulen'!$M164=0,"x",(IF('AW Schulen'!$M182=0,"-",F80/'AW Schulen'!$M182)))</f>
        <v>0.83333333333333337</v>
      </c>
      <c r="L80" s="300">
        <f>IF('AW Schulen'!$P164=0,"x",(IF('AW Schulen'!$P182=0,"-",G80/'AW Schulen'!$P182)))</f>
        <v>0.83333333333333337</v>
      </c>
    </row>
    <row r="81" spans="1:12" ht="9" customHeight="1">
      <c r="A81" s="21" t="s">
        <v>95</v>
      </c>
      <c r="B81" s="120"/>
      <c r="C81" s="182">
        <v>0</v>
      </c>
      <c r="D81" s="23">
        <f>'2.3.8.1'!D81</f>
        <v>2</v>
      </c>
      <c r="E81" s="23">
        <f>'2.3.8.1'!E81</f>
        <v>2</v>
      </c>
      <c r="F81" s="23">
        <f>'2.3.8.1'!F81</f>
        <v>2</v>
      </c>
      <c r="G81" s="34">
        <f>'2.3.8.1'!G81</f>
        <v>2</v>
      </c>
      <c r="H81" s="183">
        <v>0</v>
      </c>
      <c r="I81" s="299">
        <f>IF('AW Schulen'!$G165=0,"x",(IF('AW Schulen'!$G183=0,"-",D81/'AW Schulen'!$G183)))</f>
        <v>0.4</v>
      </c>
      <c r="J81" s="299">
        <f>IF('AW Schulen'!$J165=0,"x",(IF('AW Schulen'!$J183=0,"-",E81/'AW Schulen'!$J183)))</f>
        <v>0.4</v>
      </c>
      <c r="K81" s="299">
        <f>IF('AW Schulen'!$M165=0,"x",(IF('AW Schulen'!$M183=0,"-",F81/'AW Schulen'!$M183)))</f>
        <v>0.4</v>
      </c>
      <c r="L81" s="300">
        <f>IF('AW Schulen'!$P165=0,"x",(IF('AW Schulen'!$P183=0,"-",G81/'AW Schulen'!$P183)))</f>
        <v>0.4</v>
      </c>
    </row>
    <row r="82" spans="1:12" ht="9" customHeight="1">
      <c r="A82" s="24" t="s">
        <v>96</v>
      </c>
      <c r="B82" s="121"/>
      <c r="C82" s="327">
        <v>0</v>
      </c>
      <c r="D82" s="26">
        <f>'2.3.8.1'!D82</f>
        <v>71</v>
      </c>
      <c r="E82" s="26">
        <f>'2.3.8.1'!E82</f>
        <v>63</v>
      </c>
      <c r="F82" s="26">
        <f>'2.3.8.1'!F82</f>
        <v>72</v>
      </c>
      <c r="G82" s="47">
        <f>'2.3.8.1'!G82</f>
        <v>74</v>
      </c>
      <c r="H82" s="290">
        <v>0</v>
      </c>
      <c r="I82" s="301">
        <f>IF('AW Schulen'!$G166=0,"x",(IF('AW Schulen'!$G184=0,"-",D82/'AW Schulen'!$G184)))</f>
        <v>0.43292682926829268</v>
      </c>
      <c r="J82" s="301">
        <f>IF('AW Schulen'!$J166=0,"x",(IF('AW Schulen'!$J184=0,"-",E82/'AW Schulen'!$J184)))</f>
        <v>0.38181818181818183</v>
      </c>
      <c r="K82" s="301">
        <f>IF('AW Schulen'!$M166=0,"x",(IF('AW Schulen'!$M184=0,"-",F82/'AW Schulen'!$M184)))</f>
        <v>0.38709677419354838</v>
      </c>
      <c r="L82" s="302">
        <f>IF('AW Schulen'!$P166=0,"x",(IF('AW Schulen'!$P184=0,"-",G82/'AW Schulen'!$P184)))</f>
        <v>0.39361702127659576</v>
      </c>
    </row>
    <row r="83" spans="1:12" ht="18.75" customHeight="1">
      <c r="A83" s="396" t="s">
        <v>312</v>
      </c>
      <c r="B83" s="396"/>
      <c r="C83" s="396"/>
      <c r="D83" s="396"/>
      <c r="E83" s="396"/>
      <c r="F83" s="396"/>
      <c r="G83" s="396"/>
      <c r="H83" s="396"/>
      <c r="I83" s="396"/>
      <c r="J83" s="396"/>
      <c r="K83" s="396"/>
      <c r="L83" s="396"/>
    </row>
    <row r="84" spans="1:12" ht="10.15" customHeight="1">
      <c r="A84" s="400" t="s">
        <v>282</v>
      </c>
      <c r="B84" s="400"/>
      <c r="C84" s="400"/>
      <c r="D84" s="400"/>
      <c r="E84" s="400"/>
      <c r="F84" s="400"/>
      <c r="G84" s="400"/>
      <c r="H84" s="400"/>
      <c r="I84" s="287"/>
      <c r="J84" s="287"/>
      <c r="K84" s="317"/>
      <c r="L84" s="344"/>
    </row>
    <row r="85" spans="1:12" ht="18.399999999999999" customHeight="1">
      <c r="A85" s="381" t="s">
        <v>201</v>
      </c>
      <c r="B85" s="381"/>
      <c r="C85" s="381"/>
      <c r="D85" s="381"/>
      <c r="E85" s="381"/>
      <c r="F85" s="381"/>
      <c r="G85" s="381"/>
      <c r="H85" s="381"/>
      <c r="I85" s="381"/>
      <c r="J85" s="381"/>
      <c r="K85" s="394"/>
      <c r="L85" s="394"/>
    </row>
    <row r="86" spans="1:12" ht="9.4" customHeight="1">
      <c r="A86" s="306" t="s">
        <v>310</v>
      </c>
    </row>
    <row r="87" spans="1:12" ht="9.4" customHeight="1"/>
  </sheetData>
  <mergeCells count="10">
    <mergeCell ref="A1:L1"/>
    <mergeCell ref="A85:L85"/>
    <mergeCell ref="A84:H84"/>
    <mergeCell ref="C9:G9"/>
    <mergeCell ref="H9:L9"/>
    <mergeCell ref="A11:L11"/>
    <mergeCell ref="A29:L29"/>
    <mergeCell ref="A47:L47"/>
    <mergeCell ref="A65:L65"/>
    <mergeCell ref="A83:L83"/>
  </mergeCells>
  <conditionalFormatting sqref="N25">
    <cfRule type="cellIs" dxfId="57"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M86"/>
  <sheetViews>
    <sheetView view="pageBreakPreview" topLeftCell="A61" zoomScale="175" zoomScaleNormal="115" zoomScaleSheetLayoutView="175" workbookViewId="0">
      <selection activeCell="N23" sqref="N23:N24"/>
    </sheetView>
  </sheetViews>
  <sheetFormatPr baseColWidth="10" defaultColWidth="11.42578125" defaultRowHeight="9"/>
  <cols>
    <col min="1" max="1" width="8.7109375" style="2" customWidth="1"/>
    <col min="2" max="2" width="0.42578125" style="2" customWidth="1"/>
    <col min="3" max="12" width="6.7109375" style="2" customWidth="1"/>
    <col min="13" max="16384" width="11.42578125" style="2"/>
  </cols>
  <sheetData>
    <row r="1" spans="1:13" ht="13.5">
      <c r="A1" s="383">
        <f>'2.1.8.1'!A1:J1+1</f>
        <v>14</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2.6" customHeight="1">
      <c r="A5" s="13" t="s">
        <v>19</v>
      </c>
      <c r="B5" s="39" t="s">
        <v>106</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142</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262</v>
      </c>
      <c r="D12" s="42">
        <f t="shared" ref="D12:E12" si="1">SUM(D30,D48,D66)</f>
        <v>263</v>
      </c>
      <c r="E12" s="42">
        <f t="shared" si="1"/>
        <v>279</v>
      </c>
      <c r="F12" s="42">
        <f t="shared" ref="F12:G12" si="2">SUM(F30,F48,F66)</f>
        <v>285</v>
      </c>
      <c r="G12" s="44">
        <f t="shared" si="2"/>
        <v>304</v>
      </c>
      <c r="H12" s="153">
        <f>IF('AW Schulen'!$D186=0,"x",C12/'AW Schulen'!$D186)</f>
        <v>0.45017182130584193</v>
      </c>
      <c r="I12" s="153">
        <f>IF('AW Schulen'!$G186=0,"x",D12/'AW Schulen'!$G186)</f>
        <v>0.45501730103806226</v>
      </c>
      <c r="J12" s="153">
        <f>IF('AW Schulen'!$J186=0,"x",E12/'AW Schulen'!$J186)</f>
        <v>0.48353552859618715</v>
      </c>
      <c r="K12" s="153">
        <f>IF('AW Schulen'!$M186=0,"x",F12/'AW Schulen'!$M186)</f>
        <v>0.50264550264550267</v>
      </c>
      <c r="L12" s="154">
        <f>IF('AW Schulen'!$P186=0,"x",G12/'AW Schulen'!$P186)</f>
        <v>0.54092526690391463</v>
      </c>
    </row>
    <row r="13" spans="1:13" ht="9" customHeight="1">
      <c r="A13" s="21" t="s">
        <v>81</v>
      </c>
      <c r="B13" s="120"/>
      <c r="C13" s="42">
        <f t="shared" ref="C13:C28" si="3">SUM(C31,C49,C67)</f>
        <v>260</v>
      </c>
      <c r="D13" s="42">
        <f t="shared" ref="D13:E13" si="4">SUM(D31,D49,D67)</f>
        <v>273</v>
      </c>
      <c r="E13" s="42">
        <f t="shared" si="4"/>
        <v>295</v>
      </c>
      <c r="F13" s="42" t="e">
        <f t="shared" ref="F13:G13" si="5">SUM(F31,F49,F67)</f>
        <v>#VALUE!</v>
      </c>
      <c r="G13" s="44">
        <f t="shared" si="5"/>
        <v>303</v>
      </c>
      <c r="H13" s="153">
        <f>IF('AW Schulen'!$D187=0,"x",C13/'AW Schulen'!$D187)</f>
        <v>0.73239436619718312</v>
      </c>
      <c r="I13" s="153">
        <f>IF('AW Schulen'!$G187=0,"x",D13/'AW Schulen'!$G187)</f>
        <v>0.76901408450704223</v>
      </c>
      <c r="J13" s="153">
        <f>IF('AW Schulen'!$J187=0,"x",E13/'AW Schulen'!$J187)</f>
        <v>0.83098591549295775</v>
      </c>
      <c r="K13" s="153" t="e">
        <f>IF('AW Schulen'!$M187=0,"x",F13/'AW Schulen'!$M187)</f>
        <v>#VALUE!</v>
      </c>
      <c r="L13" s="154">
        <f>IF('AW Schulen'!$P187=0,"x",G13/'AW Schulen'!$P187)</f>
        <v>0.85352112676056335</v>
      </c>
    </row>
    <row r="14" spans="1:13" ht="9" customHeight="1">
      <c r="A14" s="21" t="s">
        <v>82</v>
      </c>
      <c r="B14" s="120"/>
      <c r="C14" s="198">
        <f t="shared" si="3"/>
        <v>64</v>
      </c>
      <c r="D14" s="198">
        <f t="shared" ref="D14:E14" si="6">SUM(D32,D50,D68)</f>
        <v>60</v>
      </c>
      <c r="E14" s="198">
        <f t="shared" si="6"/>
        <v>59</v>
      </c>
      <c r="F14" s="198">
        <f t="shared" ref="F14:G14" si="7">SUM(F32,F50,F68)</f>
        <v>62</v>
      </c>
      <c r="G14" s="199">
        <f t="shared" si="7"/>
        <v>53</v>
      </c>
      <c r="H14" s="153">
        <f>IF('AW Schulen'!$D188=0,"x",C14/'AW Schulen'!$D188)</f>
        <v>0.7441860465116279</v>
      </c>
      <c r="I14" s="153">
        <f>IF('AW Schulen'!$G188=0,"x",D14/'AW Schulen'!$G188)</f>
        <v>0.77922077922077926</v>
      </c>
      <c r="J14" s="153">
        <f>IF('AW Schulen'!$J188=0,"x",E14/'AW Schulen'!$J188)</f>
        <v>0.76623376623376627</v>
      </c>
      <c r="K14" s="153">
        <f>IF('AW Schulen'!$M188=0,"x",F14/'AW Schulen'!$M188)</f>
        <v>0.80519480519480524</v>
      </c>
      <c r="L14" s="154">
        <f>IF('AW Schulen'!$P188=0,"x",G14/'AW Schulen'!$P188)</f>
        <v>0.69736842105263153</v>
      </c>
    </row>
    <row r="15" spans="1:13" ht="9" customHeight="1">
      <c r="A15" s="21" t="s">
        <v>83</v>
      </c>
      <c r="B15" s="120"/>
      <c r="C15" s="149">
        <f t="shared" si="3"/>
        <v>71</v>
      </c>
      <c r="D15" s="149">
        <f t="shared" ref="D15:E15" si="8">SUM(D33,D51,D69)</f>
        <v>75</v>
      </c>
      <c r="E15" s="149">
        <f t="shared" si="8"/>
        <v>73</v>
      </c>
      <c r="F15" s="149">
        <f t="shared" ref="F15:G15" si="9">SUM(F33,F51,F69)</f>
        <v>72</v>
      </c>
      <c r="G15" s="150">
        <f t="shared" si="9"/>
        <v>70</v>
      </c>
      <c r="H15" s="153">
        <f>IF('AW Schulen'!$D189=0,"x",C15/'AW Schulen'!$D189)</f>
        <v>0.60683760683760679</v>
      </c>
      <c r="I15" s="153">
        <f>IF('AW Schulen'!$G189=0,"x",D15/'AW Schulen'!$G189)</f>
        <v>0.63025210084033612</v>
      </c>
      <c r="J15" s="153">
        <f>IF('AW Schulen'!$J189=0,"x",E15/'AW Schulen'!$J189)</f>
        <v>0.64601769911504425</v>
      </c>
      <c r="K15" s="153">
        <f>IF('AW Schulen'!$M189=0,"x",F15/'AW Schulen'!$M189)</f>
        <v>0.66055045871559637</v>
      </c>
      <c r="L15" s="154">
        <f>IF('AW Schulen'!$P189=0,"x",G15/'AW Schulen'!$P189)</f>
        <v>0.660377358490566</v>
      </c>
    </row>
    <row r="16" spans="1:13" ht="9" customHeight="1">
      <c r="A16" s="21" t="s">
        <v>84</v>
      </c>
      <c r="B16" s="120"/>
      <c r="C16" s="149">
        <f t="shared" si="3"/>
        <v>1</v>
      </c>
      <c r="D16" s="149">
        <f t="shared" ref="D16:E16" si="10">SUM(D34,D52,D70)</f>
        <v>0</v>
      </c>
      <c r="E16" s="149">
        <f t="shared" si="10"/>
        <v>0</v>
      </c>
      <c r="F16" s="149">
        <f t="shared" ref="F16:G16" si="11">SUM(F34,F52,F70)</f>
        <v>0</v>
      </c>
      <c r="G16" s="150">
        <f t="shared" si="11"/>
        <v>0</v>
      </c>
      <c r="H16" s="153">
        <f>IF('AW Schulen'!$D190=0,"x",C16/'AW Schulen'!$D190)</f>
        <v>5.5555555555555552E-2</v>
      </c>
      <c r="I16" s="153">
        <f>IF('AW Schulen'!$G190=0,"x",D16/'AW Schulen'!$G190)</f>
        <v>0</v>
      </c>
      <c r="J16" s="153">
        <f>IF('AW Schulen'!$J190=0,"x",E16/'AW Schulen'!$J190)</f>
        <v>0</v>
      </c>
      <c r="K16" s="153">
        <f>IF('AW Schulen'!$M190=0,"x",F16/'AW Schulen'!$M190)</f>
        <v>0</v>
      </c>
      <c r="L16" s="154">
        <f>IF('AW Schulen'!$P190=0,"x",G16/'AW Schulen'!$P190)</f>
        <v>0</v>
      </c>
    </row>
    <row r="17" spans="1:12" ht="9" customHeight="1">
      <c r="A17" s="21" t="s">
        <v>85</v>
      </c>
      <c r="B17" s="120"/>
      <c r="C17" s="149">
        <f t="shared" si="3"/>
        <v>33</v>
      </c>
      <c r="D17" s="149">
        <f t="shared" ref="D17:E17" si="12">SUM(D35,D53,D71)</f>
        <v>30</v>
      </c>
      <c r="E17" s="149">
        <f t="shared" si="12"/>
        <v>30</v>
      </c>
      <c r="F17" s="149">
        <f t="shared" ref="F17:G17" si="13">SUM(F35,F53,F71)</f>
        <v>31</v>
      </c>
      <c r="G17" s="150">
        <f t="shared" si="13"/>
        <v>31</v>
      </c>
      <c r="H17" s="153">
        <f>IF('AW Schulen'!$D191=0,"x",C17/'AW Schulen'!$D191)</f>
        <v>0.7857142857142857</v>
      </c>
      <c r="I17" s="153">
        <f>IF('AW Schulen'!$G191=0,"x",D17/'AW Schulen'!$G191)</f>
        <v>0.967741935483871</v>
      </c>
      <c r="J17" s="153">
        <f>IF('AW Schulen'!$J191=0,"x",E17/'AW Schulen'!$J191)</f>
        <v>0.967741935483871</v>
      </c>
      <c r="K17" s="153">
        <f>IF('AW Schulen'!$M191=0,"x",F17/'AW Schulen'!$M191)</f>
        <v>1</v>
      </c>
      <c r="L17" s="154">
        <f>IF('AW Schulen'!$P191=0,"x",G17/'AW Schulen'!$P191)</f>
        <v>1</v>
      </c>
    </row>
    <row r="18" spans="1:12" ht="9" customHeight="1">
      <c r="A18" s="21" t="s">
        <v>86</v>
      </c>
      <c r="B18" s="120"/>
      <c r="C18" s="42">
        <f t="shared" si="3"/>
        <v>136</v>
      </c>
      <c r="D18" s="42">
        <f t="shared" ref="D18:E18" si="14">SUM(D36,D54,D72)</f>
        <v>143</v>
      </c>
      <c r="E18" s="42">
        <f t="shared" si="14"/>
        <v>151</v>
      </c>
      <c r="F18" s="42">
        <f t="shared" ref="F18:G18" si="15">SUM(F36,F54,F72)</f>
        <v>156</v>
      </c>
      <c r="G18" s="44">
        <f t="shared" si="15"/>
        <v>157</v>
      </c>
      <c r="H18" s="182">
        <v>0</v>
      </c>
      <c r="I18" s="182">
        <v>0</v>
      </c>
      <c r="J18" s="182">
        <v>0</v>
      </c>
      <c r="K18" s="182">
        <v>0</v>
      </c>
      <c r="L18" s="196">
        <v>0</v>
      </c>
    </row>
    <row r="19" spans="1:12" ht="9" customHeight="1">
      <c r="A19" s="21" t="s">
        <v>87</v>
      </c>
      <c r="B19" s="120"/>
      <c r="C19" s="149">
        <f t="shared" si="3"/>
        <v>27</v>
      </c>
      <c r="D19" s="149">
        <f t="shared" ref="D19:E19" si="16">SUM(D37,D55,D73)</f>
        <v>33</v>
      </c>
      <c r="E19" s="149">
        <f t="shared" si="16"/>
        <v>26</v>
      </c>
      <c r="F19" s="149">
        <f t="shared" ref="F19:G19" si="17">SUM(F37,F55,F73)</f>
        <v>29</v>
      </c>
      <c r="G19" s="150">
        <f t="shared" si="17"/>
        <v>26</v>
      </c>
      <c r="H19" s="153">
        <f>IF('AW Schulen'!$D193=0,"x",C19/'AW Schulen'!$D193)</f>
        <v>0.28125</v>
      </c>
      <c r="I19" s="153">
        <f>IF('AW Schulen'!$G193=0,"x",D19/'AW Schulen'!$G193)</f>
        <v>0.3473684210526316</v>
      </c>
      <c r="J19" s="153">
        <f>IF('AW Schulen'!$J193=0,"x",E19/'AW Schulen'!$J193)</f>
        <v>0.27659574468085107</v>
      </c>
      <c r="K19" s="153">
        <f>IF('AW Schulen'!$M193=0,"x",F19/'AW Schulen'!$M193)</f>
        <v>0.31182795698924731</v>
      </c>
      <c r="L19" s="154">
        <f>IF('AW Schulen'!$P193=0,"x",G19/'AW Schulen'!$P193)</f>
        <v>0.28888888888888886</v>
      </c>
    </row>
    <row r="20" spans="1:12" ht="9" customHeight="1">
      <c r="A20" s="21" t="s">
        <v>88</v>
      </c>
      <c r="B20" s="120"/>
      <c r="C20" s="42">
        <f t="shared" si="3"/>
        <v>149</v>
      </c>
      <c r="D20" s="42">
        <f t="shared" ref="D20:E20" si="18">SUM(D38,D56,D74)</f>
        <v>147</v>
      </c>
      <c r="E20" s="42">
        <f t="shared" si="18"/>
        <v>138</v>
      </c>
      <c r="F20" s="42">
        <f t="shared" ref="F20:G20" si="19">SUM(F38,F56,F74)</f>
        <v>133</v>
      </c>
      <c r="G20" s="44">
        <f t="shared" si="19"/>
        <v>135</v>
      </c>
      <c r="H20" s="182">
        <v>0</v>
      </c>
      <c r="I20" s="182">
        <v>0</v>
      </c>
      <c r="J20" s="182">
        <v>0</v>
      </c>
      <c r="K20" s="182">
        <v>0</v>
      </c>
      <c r="L20" s="196">
        <v>0</v>
      </c>
    </row>
    <row r="21" spans="1:12" ht="9" customHeight="1">
      <c r="A21" s="21" t="s">
        <v>89</v>
      </c>
      <c r="B21" s="120"/>
      <c r="C21" s="42">
        <f t="shared" si="3"/>
        <v>504</v>
      </c>
      <c r="D21" s="42">
        <f t="shared" ref="D21:E21" si="20">SUM(D39,D57,D75)</f>
        <v>486</v>
      </c>
      <c r="E21" s="42">
        <f t="shared" si="20"/>
        <v>472</v>
      </c>
      <c r="F21" s="42">
        <f t="shared" ref="F21:G21" si="21">SUM(F39,F57,F75)</f>
        <v>437</v>
      </c>
      <c r="G21" s="44">
        <f t="shared" si="21"/>
        <v>425</v>
      </c>
      <c r="H21" s="153">
        <f>IF('AW Schulen'!$D195=0,"x",C21/'AW Schulen'!$D195)</f>
        <v>0.7039106145251397</v>
      </c>
      <c r="I21" s="153">
        <f>IF('AW Schulen'!$G195=0,"x",D21/'AW Schulen'!$G195)</f>
        <v>0.71156661786237185</v>
      </c>
      <c r="J21" s="153">
        <f>IF('AW Schulen'!$J195=0,"x",E21/'AW Schulen'!$J195)</f>
        <v>0.73750000000000004</v>
      </c>
      <c r="K21" s="153">
        <f>IF('AW Schulen'!$M195=0,"x",F21/'AW Schulen'!$M195)</f>
        <v>0.75344827586206897</v>
      </c>
      <c r="L21" s="154">
        <f>IF('AW Schulen'!$P195=0,"x",G21/'AW Schulen'!$P195)</f>
        <v>0.79887218045112784</v>
      </c>
    </row>
    <row r="22" spans="1:12" ht="9" customHeight="1">
      <c r="A22" s="21" t="s">
        <v>90</v>
      </c>
      <c r="B22" s="120"/>
      <c r="C22" s="42">
        <f t="shared" si="3"/>
        <v>126</v>
      </c>
      <c r="D22" s="42">
        <f t="shared" ref="D22:E22" si="22">SUM(D40,D58,D76)</f>
        <v>127</v>
      </c>
      <c r="E22" s="42">
        <f t="shared" si="22"/>
        <v>126</v>
      </c>
      <c r="F22" s="42">
        <f t="shared" ref="F22:G22" si="23">SUM(F40,F58,F76)</f>
        <v>125</v>
      </c>
      <c r="G22" s="44">
        <f t="shared" si="23"/>
        <v>126</v>
      </c>
      <c r="H22" s="153">
        <f>IF('AW Schulen'!$D196=0,"x",C22/'AW Schulen'!$D196)</f>
        <v>0.91304347826086951</v>
      </c>
      <c r="I22" s="153">
        <f>IF('AW Schulen'!$G196=0,"x",D22/'AW Schulen'!$G196)</f>
        <v>0.92028985507246375</v>
      </c>
      <c r="J22" s="153">
        <f>IF('AW Schulen'!$J196=0,"x",E22/'AW Schulen'!$J196)</f>
        <v>0.93333333333333335</v>
      </c>
      <c r="K22" s="153">
        <f>IF('AW Schulen'!$M196=0,"x",F22/'AW Schulen'!$M196)</f>
        <v>0.94696969696969702</v>
      </c>
      <c r="L22" s="154">
        <f>IF('AW Schulen'!$P196=0,"x",G22/'AW Schulen'!$P196)</f>
        <v>0.96183206106870234</v>
      </c>
    </row>
    <row r="23" spans="1:12" ht="9" customHeight="1">
      <c r="A23" s="21" t="s">
        <v>91</v>
      </c>
      <c r="B23" s="120"/>
      <c r="C23" s="42">
        <f t="shared" si="3"/>
        <v>28</v>
      </c>
      <c r="D23" s="42">
        <f t="shared" ref="D23:E23" si="24">SUM(D41,D59,D77)</f>
        <v>28</v>
      </c>
      <c r="E23" s="42">
        <f t="shared" si="24"/>
        <v>29</v>
      </c>
      <c r="F23" s="42">
        <f t="shared" ref="F23:G23" si="25">SUM(F41,F59,F77)</f>
        <v>30</v>
      </c>
      <c r="G23" s="44">
        <f t="shared" si="25"/>
        <v>29</v>
      </c>
      <c r="H23" s="153">
        <f>IF('AW Schulen'!$D197=0,"x",C23/'AW Schulen'!$D197)</f>
        <v>0.7567567567567568</v>
      </c>
      <c r="I23" s="153">
        <f>IF('AW Schulen'!$G197=0,"x",D23/'AW Schulen'!$G197)</f>
        <v>0.7567567567567568</v>
      </c>
      <c r="J23" s="153">
        <f>IF('AW Schulen'!$J197=0,"x",E23/'AW Schulen'!$J197)</f>
        <v>0.78378378378378377</v>
      </c>
      <c r="K23" s="153">
        <f>IF('AW Schulen'!$M197=0,"x",F23/'AW Schulen'!$M197)</f>
        <v>0.83333333333333337</v>
      </c>
      <c r="L23" s="154">
        <f>IF('AW Schulen'!$P197=0,"x",G23/'AW Schulen'!$P197)</f>
        <v>0.80555555555555558</v>
      </c>
    </row>
    <row r="24" spans="1:12" ht="9" customHeight="1">
      <c r="A24" s="21" t="s">
        <v>92</v>
      </c>
      <c r="B24" s="120"/>
      <c r="C24" s="198">
        <f t="shared" si="3"/>
        <v>144</v>
      </c>
      <c r="D24" s="198">
        <f t="shared" ref="D24:E24" si="26">SUM(D42,D60,D78)</f>
        <v>142</v>
      </c>
      <c r="E24" s="198">
        <f t="shared" si="26"/>
        <v>140</v>
      </c>
      <c r="F24" s="198">
        <f t="shared" ref="F24:G24" si="27">SUM(F42,F60,F78)</f>
        <v>140</v>
      </c>
      <c r="G24" s="199">
        <f t="shared" si="27"/>
        <v>140</v>
      </c>
      <c r="H24" s="153">
        <f>IF('AW Schulen'!$D198=0,"x",C24/'AW Schulen'!$D198)</f>
        <v>0.91139240506329111</v>
      </c>
      <c r="I24" s="153">
        <f>IF('AW Schulen'!$G198=0,"x",D24/'AW Schulen'!$G198)</f>
        <v>0.91025641025641024</v>
      </c>
      <c r="J24" s="153">
        <f>IF('AW Schulen'!$J198=0,"x",E24/'AW Schulen'!$J198)</f>
        <v>0.90322580645161288</v>
      </c>
      <c r="K24" s="153">
        <f>IF('AW Schulen'!$M198=0,"x",F24/'AW Schulen'!$M198)</f>
        <v>0.89743589743589747</v>
      </c>
      <c r="L24" s="154">
        <f>IF('AW Schulen'!$P198=0,"x",G24/'AW Schulen'!$P198)</f>
        <v>0.90322580645161288</v>
      </c>
    </row>
    <row r="25" spans="1:12" ht="9" customHeight="1">
      <c r="A25" s="21" t="s">
        <v>93</v>
      </c>
      <c r="B25" s="120"/>
      <c r="C25" s="198">
        <f t="shared" si="3"/>
        <v>111</v>
      </c>
      <c r="D25" s="198">
        <f t="shared" ref="D25:E25" si="28">SUM(D43,D61,D79)</f>
        <v>110</v>
      </c>
      <c r="E25" s="198">
        <f t="shared" si="28"/>
        <v>98</v>
      </c>
      <c r="F25" s="198">
        <f t="shared" ref="F25:G25" si="29">SUM(F43,F61,F79)</f>
        <v>96</v>
      </c>
      <c r="G25" s="199">
        <f t="shared" si="29"/>
        <v>94</v>
      </c>
      <c r="H25" s="182">
        <v>0</v>
      </c>
      <c r="I25" s="182">
        <v>0</v>
      </c>
      <c r="J25" s="182">
        <v>0</v>
      </c>
      <c r="K25" s="182">
        <v>0</v>
      </c>
      <c r="L25" s="196">
        <v>0</v>
      </c>
    </row>
    <row r="26" spans="1:12" ht="9" customHeight="1">
      <c r="A26" s="21" t="s">
        <v>94</v>
      </c>
      <c r="B26" s="120"/>
      <c r="C26" s="42">
        <f t="shared" si="3"/>
        <v>81</v>
      </c>
      <c r="D26" s="42">
        <f t="shared" ref="D26:E26" si="30">SUM(D44,D62,D80)</f>
        <v>78</v>
      </c>
      <c r="E26" s="42">
        <f t="shared" si="30"/>
        <v>75</v>
      </c>
      <c r="F26" s="42">
        <f t="shared" ref="F26:G26" si="31">SUM(F44,F62,F80)</f>
        <v>72</v>
      </c>
      <c r="G26" s="44">
        <f t="shared" si="31"/>
        <v>67</v>
      </c>
      <c r="H26" s="153">
        <f>IF('AW Schulen'!$D200=0,"x",C26/'AW Schulen'!$D200)</f>
        <v>0.6</v>
      </c>
      <c r="I26" s="153">
        <f>IF('AW Schulen'!$G200=0,"x",D26/'AW Schulen'!$G200)</f>
        <v>0.609375</v>
      </c>
      <c r="J26" s="153">
        <f>IF('AW Schulen'!$J200=0,"x",E26/'AW Schulen'!$J200)</f>
        <v>0.58139534883720934</v>
      </c>
      <c r="K26" s="153">
        <f>IF('AW Schulen'!$M200=0,"x",F26/'AW Schulen'!$M200)</f>
        <v>0.54545454545454541</v>
      </c>
      <c r="L26" s="154">
        <f>IF('AW Schulen'!$P200=0,"x",G26/'AW Schulen'!$P200)</f>
        <v>0.58771929824561409</v>
      </c>
    </row>
    <row r="27" spans="1:12" ht="9" customHeight="1">
      <c r="A27" s="21" t="s">
        <v>95</v>
      </c>
      <c r="B27" s="120"/>
      <c r="C27" s="198">
        <f t="shared" si="3"/>
        <v>81</v>
      </c>
      <c r="D27" s="198">
        <f t="shared" ref="D27:E27" si="32">SUM(D45,D63,D81)</f>
        <v>81</v>
      </c>
      <c r="E27" s="198">
        <f t="shared" si="32"/>
        <v>81</v>
      </c>
      <c r="F27" s="198">
        <f t="shared" ref="F27:G27" si="33">SUM(F45,F63,F81)</f>
        <v>81</v>
      </c>
      <c r="G27" s="199">
        <f t="shared" si="33"/>
        <v>80</v>
      </c>
      <c r="H27" s="153">
        <f>IF('AW Schulen'!$D201=0,"x",C27/'AW Schulen'!$D201)</f>
        <v>1</v>
      </c>
      <c r="I27" s="153">
        <f>IF('AW Schulen'!$G201=0,"x",D27/'AW Schulen'!$G201)</f>
        <v>1</v>
      </c>
      <c r="J27" s="153">
        <f>IF('AW Schulen'!$J201=0,"x",E27/'AW Schulen'!$J201)</f>
        <v>1</v>
      </c>
      <c r="K27" s="153">
        <f>IF('AW Schulen'!$M201=0,"x",F27/'AW Schulen'!$M201)</f>
        <v>1</v>
      </c>
      <c r="L27" s="154">
        <f>IF('AW Schulen'!$P201=0,"x",G27/'AW Schulen'!$P201)</f>
        <v>1</v>
      </c>
    </row>
    <row r="28" spans="1:12" ht="9" customHeight="1">
      <c r="A28" s="21" t="s">
        <v>96</v>
      </c>
      <c r="B28" s="120"/>
      <c r="C28" s="42">
        <f t="shared" si="3"/>
        <v>2078</v>
      </c>
      <c r="D28" s="42">
        <f t="shared" ref="D28:E28" si="34">SUM(D46,D64,D82)</f>
        <v>2076</v>
      </c>
      <c r="E28" s="42">
        <f t="shared" si="34"/>
        <v>2072</v>
      </c>
      <c r="F28" s="42">
        <f t="shared" ref="F28:G28" si="35">SUM(F46,F64,F82)</f>
        <v>2047</v>
      </c>
      <c r="G28" s="44">
        <f t="shared" si="35"/>
        <v>2040</v>
      </c>
      <c r="H28" s="153">
        <f>IF('AW Schulen'!$D202=0,"x",C28/'AW Schulen'!$D202)</f>
        <v>0.65738690287883583</v>
      </c>
      <c r="I28" s="153">
        <f>IF('AW Schulen'!$G202=0,"x",D28/'AW Schulen'!$G202)</f>
        <v>0.6731517509727627</v>
      </c>
      <c r="J28" s="153">
        <f>IF('AW Schulen'!$J202=0,"x",E28/'AW Schulen'!$J202)</f>
        <v>0.68974700399467381</v>
      </c>
      <c r="K28" s="153">
        <f>IF('AW Schulen'!$M202=0,"x",F28/'AW Schulen'!$M202)</f>
        <v>0.70343642611683854</v>
      </c>
      <c r="L28" s="154">
        <f>IF('AW Schulen'!$P202=0,"x",G28/'AW Schulen'!$P202)</f>
        <v>0.72597864768683273</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'2.2.8'!C30+'2.3.9'!C30</f>
        <v>230</v>
      </c>
      <c r="D30" s="23">
        <f>'2.2.8'!D30+'2.3.9'!D30</f>
        <v>229</v>
      </c>
      <c r="E30" s="23">
        <f>'2.2.8'!E30+'2.3.9'!E30</f>
        <v>236</v>
      </c>
      <c r="F30" s="23">
        <f>'2.2.8'!F30+'2.3.9'!F30</f>
        <v>239</v>
      </c>
      <c r="G30" s="34">
        <f>'2.2.8'!G30+'2.3.9'!G30</f>
        <v>248</v>
      </c>
      <c r="H30" s="155">
        <f>IF('AW Schulen'!$D186=0,"x",C30/'AW Schulen'!$D186)</f>
        <v>0.3951890034364261</v>
      </c>
      <c r="I30" s="155">
        <f>IF('AW Schulen'!$G186=0,"x",D30/'AW Schulen'!$G186)</f>
        <v>0.3961937716262976</v>
      </c>
      <c r="J30" s="155">
        <f>IF('AW Schulen'!$J186=0,"x",E30/'AW Schulen'!$J186)</f>
        <v>0.40901213171577122</v>
      </c>
      <c r="K30" s="155">
        <f>IF('AW Schulen'!$M186=0,"x",F30/'AW Schulen'!$M186)</f>
        <v>0.42151675485008816</v>
      </c>
      <c r="L30" s="156">
        <f>IF('AW Schulen'!$P186=0,"x",G30/'AW Schulen'!$P186)</f>
        <v>0.44128113879003561</v>
      </c>
    </row>
    <row r="31" spans="1:12" ht="9" customHeight="1">
      <c r="A31" s="21" t="s">
        <v>81</v>
      </c>
      <c r="B31" s="120"/>
      <c r="C31" s="23">
        <f>'2.2.8'!C31+'2.3.9'!C31</f>
        <v>0</v>
      </c>
      <c r="D31" s="23">
        <f>'2.2.8'!D31+'2.3.9'!D31</f>
        <v>0</v>
      </c>
      <c r="E31" s="23">
        <f>'2.2.8'!E31+'2.3.9'!E31</f>
        <v>1</v>
      </c>
      <c r="F31" s="23" t="e">
        <f>'2.2.8'!F31+'2.3.9'!F31</f>
        <v>#VALUE!</v>
      </c>
      <c r="G31" s="34">
        <f>'2.2.8'!G31+'2.3.9'!G31</f>
        <v>0</v>
      </c>
      <c r="H31" s="155">
        <f>IF('AW Schulen'!$D187=0,"x",C31/'AW Schulen'!$D187)</f>
        <v>0</v>
      </c>
      <c r="I31" s="155">
        <f>IF('AW Schulen'!$G187=0,"x",D31/'AW Schulen'!$G187)</f>
        <v>0</v>
      </c>
      <c r="J31" s="155">
        <f>IF('AW Schulen'!$J187=0,"x",E31/'AW Schulen'!$J187)</f>
        <v>2.8169014084507044E-3</v>
      </c>
      <c r="K31" s="155" t="e">
        <f>IF('AW Schulen'!$M187=0,"x",F31/'AW Schulen'!$M187)</f>
        <v>#VALUE!</v>
      </c>
      <c r="L31" s="156">
        <f>IF('AW Schulen'!$P187=0,"x",G31/'AW Schulen'!$P187)</f>
        <v>0</v>
      </c>
    </row>
    <row r="32" spans="1:12" ht="9" customHeight="1">
      <c r="A32" s="21" t="s">
        <v>82</v>
      </c>
      <c r="B32" s="120"/>
      <c r="C32" s="23">
        <f>'2.2.8'!C32+'2.3.9'!C32</f>
        <v>28</v>
      </c>
      <c r="D32" s="23">
        <f>'2.2.8'!D32+'2.3.9'!D32</f>
        <v>28</v>
      </c>
      <c r="E32" s="23">
        <f>'2.2.8'!E32+'2.3.9'!E32</f>
        <v>28</v>
      </c>
      <c r="F32" s="23">
        <f>'2.2.8'!F32+'2.3.9'!F32</f>
        <v>33</v>
      </c>
      <c r="G32" s="34">
        <f>'2.2.8'!G32+'2.3.9'!G32</f>
        <v>28</v>
      </c>
      <c r="H32" s="155">
        <f>IF('AW Schulen'!$D188=0,"x",C32/'AW Schulen'!$D188)</f>
        <v>0.32558139534883723</v>
      </c>
      <c r="I32" s="155">
        <f>IF('AW Schulen'!$G188=0,"x",D32/'AW Schulen'!$G188)</f>
        <v>0.36363636363636365</v>
      </c>
      <c r="J32" s="155">
        <f>IF('AW Schulen'!$J188=0,"x",E32/'AW Schulen'!$J188)</f>
        <v>0.36363636363636365</v>
      </c>
      <c r="K32" s="155">
        <f>IF('AW Schulen'!$M188=0,"x",F32/'AW Schulen'!$M188)</f>
        <v>0.42857142857142855</v>
      </c>
      <c r="L32" s="156">
        <f>IF('AW Schulen'!$P188=0,"x",G32/'AW Schulen'!$P188)</f>
        <v>0.36842105263157893</v>
      </c>
    </row>
    <row r="33" spans="1:12" ht="9" customHeight="1">
      <c r="A33" s="21" t="s">
        <v>83</v>
      </c>
      <c r="B33" s="120"/>
      <c r="C33" s="23">
        <f>'2.2.8'!C33+'2.3.9'!C33</f>
        <v>59</v>
      </c>
      <c r="D33" s="23">
        <f>'2.2.8'!D33+'2.3.9'!D33</f>
        <v>61</v>
      </c>
      <c r="E33" s="23">
        <f>'2.2.8'!E33+'2.3.9'!E33</f>
        <v>59</v>
      </c>
      <c r="F33" s="23">
        <f>'2.2.8'!F33+'2.3.9'!F33</f>
        <v>58</v>
      </c>
      <c r="G33" s="34">
        <f>'2.2.8'!G33+'2.3.9'!G33</f>
        <v>58</v>
      </c>
      <c r="H33" s="155">
        <f>IF('AW Schulen'!$D189=0,"x",C33/'AW Schulen'!$D189)</f>
        <v>0.50427350427350426</v>
      </c>
      <c r="I33" s="155">
        <f>IF('AW Schulen'!$G189=0,"x",D33/'AW Schulen'!$G189)</f>
        <v>0.51260504201680668</v>
      </c>
      <c r="J33" s="155">
        <f>IF('AW Schulen'!$J189=0,"x",E33/'AW Schulen'!$J189)</f>
        <v>0.52212389380530977</v>
      </c>
      <c r="K33" s="155">
        <f>IF('AW Schulen'!$M189=0,"x",F33/'AW Schulen'!$M189)</f>
        <v>0.5321100917431193</v>
      </c>
      <c r="L33" s="156">
        <f>IF('AW Schulen'!$P189=0,"x",G33/'AW Schulen'!$P189)</f>
        <v>0.54716981132075471</v>
      </c>
    </row>
    <row r="34" spans="1:12" ht="9" customHeight="1">
      <c r="A34" s="21" t="s">
        <v>84</v>
      </c>
      <c r="B34" s="120"/>
      <c r="C34" s="23">
        <f>'2.2.8'!C34+'2.3.9'!C34</f>
        <v>0</v>
      </c>
      <c r="D34" s="23">
        <f>'2.2.8'!D34+'2.3.9'!D34</f>
        <v>0</v>
      </c>
      <c r="E34" s="23">
        <f>'2.2.8'!E34+'2.3.9'!E34</f>
        <v>0</v>
      </c>
      <c r="F34" s="23">
        <f>'2.2.8'!F34+'2.3.9'!F34</f>
        <v>0</v>
      </c>
      <c r="G34" s="34">
        <f>'2.2.8'!G34+'2.3.9'!G34</f>
        <v>0</v>
      </c>
      <c r="H34" s="155">
        <f>IF('AW Schulen'!$D190=0,"x",C34/'AW Schulen'!$D190)</f>
        <v>0</v>
      </c>
      <c r="I34" s="155">
        <f>IF('AW Schulen'!$G190=0,"x",D34/'AW Schulen'!$G190)</f>
        <v>0</v>
      </c>
      <c r="J34" s="155">
        <f>IF('AW Schulen'!$J190=0,"x",E34/'AW Schulen'!$J190)</f>
        <v>0</v>
      </c>
      <c r="K34" s="155">
        <f>IF('AW Schulen'!$M190=0,"x",F34/'AW Schulen'!$M190)</f>
        <v>0</v>
      </c>
      <c r="L34" s="156">
        <f>IF('AW Schulen'!$P190=0,"x",G34/'AW Schulen'!$P190)</f>
        <v>0</v>
      </c>
    </row>
    <row r="35" spans="1:12" ht="9" customHeight="1">
      <c r="A35" s="21" t="s">
        <v>85</v>
      </c>
      <c r="B35" s="120"/>
      <c r="C35" s="23">
        <f>'2.2.8'!C35+'2.3.9'!C35</f>
        <v>28</v>
      </c>
      <c r="D35" s="23">
        <f>'2.2.8'!D35+'2.3.9'!D35</f>
        <v>23</v>
      </c>
      <c r="E35" s="23">
        <f>'2.2.8'!E35+'2.3.9'!E35</f>
        <v>23</v>
      </c>
      <c r="F35" s="23">
        <f>'2.2.8'!F35+'2.3.9'!F35</f>
        <v>23</v>
      </c>
      <c r="G35" s="34">
        <f>'2.2.8'!G35+'2.3.9'!G35</f>
        <v>25</v>
      </c>
      <c r="H35" s="155">
        <f>IF('AW Schulen'!$D191=0,"x",C35/'AW Schulen'!$D191)</f>
        <v>0.66666666666666663</v>
      </c>
      <c r="I35" s="155">
        <f>IF('AW Schulen'!$G191=0,"x",D35/'AW Schulen'!$G191)</f>
        <v>0.74193548387096775</v>
      </c>
      <c r="J35" s="155">
        <f>IF('AW Schulen'!$J191=0,"x",E35/'AW Schulen'!$J191)</f>
        <v>0.74193548387096775</v>
      </c>
      <c r="K35" s="155">
        <f>IF('AW Schulen'!$M191=0,"x",F35/'AW Schulen'!$M191)</f>
        <v>0.74193548387096775</v>
      </c>
      <c r="L35" s="156">
        <f>IF('AW Schulen'!$P191=0,"x",G35/'AW Schulen'!$P191)</f>
        <v>0.80645161290322576</v>
      </c>
    </row>
    <row r="36" spans="1:12" ht="9" customHeight="1">
      <c r="A36" s="21" t="s">
        <v>86</v>
      </c>
      <c r="B36" s="120"/>
      <c r="C36" s="23">
        <f>'2.2.8'!C36+'2.3.9'!C36</f>
        <v>60</v>
      </c>
      <c r="D36" s="23">
        <f>'2.2.8'!D36+'2.3.9'!D36</f>
        <v>62</v>
      </c>
      <c r="E36" s="23">
        <f>'2.2.8'!E36+'2.3.9'!E36</f>
        <v>62</v>
      </c>
      <c r="F36" s="23">
        <f>'2.2.8'!F36+'2.3.9'!F36</f>
        <v>62</v>
      </c>
      <c r="G36" s="34">
        <f>'2.2.8'!G36+'2.3.9'!G36</f>
        <v>65</v>
      </c>
      <c r="H36" s="183">
        <v>0</v>
      </c>
      <c r="I36" s="183">
        <v>0</v>
      </c>
      <c r="J36" s="183">
        <v>0</v>
      </c>
      <c r="K36" s="183">
        <v>0</v>
      </c>
      <c r="L36" s="197">
        <v>0</v>
      </c>
    </row>
    <row r="37" spans="1:12" ht="9" customHeight="1">
      <c r="A37" s="21" t="s">
        <v>176</v>
      </c>
      <c r="B37" s="120"/>
      <c r="C37" s="23">
        <f>'2.2.8'!C37+'2.3.9'!C37</f>
        <v>16</v>
      </c>
      <c r="D37" s="23">
        <f>'2.2.8'!D37+'2.3.9'!D37</f>
        <v>20</v>
      </c>
      <c r="E37" s="23">
        <f>'2.2.8'!E37+'2.3.9'!E37</f>
        <v>17</v>
      </c>
      <c r="F37" s="23">
        <f>'2.2.8'!F37+'2.3.9'!F37</f>
        <v>19</v>
      </c>
      <c r="G37" s="34">
        <f>'2.2.8'!G37+'2.3.9'!G37</f>
        <v>18</v>
      </c>
      <c r="H37" s="155">
        <f>IF('AW Schulen'!$D193=0,"x",C37/'AW Schulen'!$D193)</f>
        <v>0.16666666666666666</v>
      </c>
      <c r="I37" s="155">
        <f>IF('AW Schulen'!$G193=0,"x",D37/'AW Schulen'!$G193)</f>
        <v>0.21052631578947367</v>
      </c>
      <c r="J37" s="155">
        <f>IF('AW Schulen'!$J193=0,"x",E37/'AW Schulen'!$J193)</f>
        <v>0.18085106382978725</v>
      </c>
      <c r="K37" s="155">
        <f>IF('AW Schulen'!$M193=0,"x",F37/'AW Schulen'!$M193)</f>
        <v>0.20430107526881722</v>
      </c>
      <c r="L37" s="156">
        <f>IF('AW Schulen'!$P193=0,"x",G37/'AW Schulen'!$P193)</f>
        <v>0.2</v>
      </c>
    </row>
    <row r="38" spans="1:12" ht="9" customHeight="1">
      <c r="A38" s="21" t="s">
        <v>88</v>
      </c>
      <c r="B38" s="120"/>
      <c r="C38" s="23">
        <f>'2.2.8'!C38+'2.3.9'!C38</f>
        <v>49</v>
      </c>
      <c r="D38" s="23">
        <f>'2.2.8'!D38+'2.3.9'!D38</f>
        <v>49</v>
      </c>
      <c r="E38" s="23">
        <f>'2.2.8'!E38+'2.3.9'!E38</f>
        <v>49</v>
      </c>
      <c r="F38" s="23">
        <f>'2.2.8'!F38+'2.3.9'!F38</f>
        <v>50</v>
      </c>
      <c r="G38" s="34">
        <f>'2.2.8'!G38+'2.3.9'!G38</f>
        <v>52</v>
      </c>
      <c r="H38" s="183">
        <v>0</v>
      </c>
      <c r="I38" s="183">
        <v>0</v>
      </c>
      <c r="J38" s="183">
        <v>0</v>
      </c>
      <c r="K38" s="183">
        <v>0</v>
      </c>
      <c r="L38" s="197">
        <v>0</v>
      </c>
    </row>
    <row r="39" spans="1:12" ht="9" customHeight="1">
      <c r="A39" s="21" t="s">
        <v>89</v>
      </c>
      <c r="B39" s="120"/>
      <c r="C39" s="23">
        <f>'2.2.8'!C39+'2.3.9'!C39</f>
        <v>242</v>
      </c>
      <c r="D39" s="23">
        <f>'2.2.8'!D39+'2.3.9'!D39</f>
        <v>234</v>
      </c>
      <c r="E39" s="23">
        <f>'2.2.8'!E39+'2.3.9'!E39</f>
        <v>242</v>
      </c>
      <c r="F39" s="23">
        <f>'2.2.8'!F39+'2.3.9'!F39</f>
        <v>245</v>
      </c>
      <c r="G39" s="34">
        <f>'2.2.8'!G39+'2.3.9'!G39</f>
        <v>253</v>
      </c>
      <c r="H39" s="155">
        <f>IF('AW Schulen'!$D195=0,"x",C39/'AW Schulen'!$D195)</f>
        <v>0.33798882681564246</v>
      </c>
      <c r="I39" s="155">
        <f>IF('AW Schulen'!$G195=0,"x",D39/'AW Schulen'!$G195)</f>
        <v>0.34260614934114203</v>
      </c>
      <c r="J39" s="155">
        <f>IF('AW Schulen'!$J195=0,"x",E39/'AW Schulen'!$J195)</f>
        <v>0.37812499999999999</v>
      </c>
      <c r="K39" s="155">
        <f>IF('AW Schulen'!$M195=0,"x",F39/'AW Schulen'!$M195)</f>
        <v>0.42241379310344829</v>
      </c>
      <c r="L39" s="156">
        <f>IF('AW Schulen'!$P195=0,"x",G39/'AW Schulen'!$P195)</f>
        <v>0.47556390977443608</v>
      </c>
    </row>
    <row r="40" spans="1:12" ht="9" customHeight="1">
      <c r="A40" s="21" t="s">
        <v>90</v>
      </c>
      <c r="B40" s="120"/>
      <c r="C40" s="23">
        <f>'2.2.8'!C40+'2.3.9'!C40</f>
        <v>64</v>
      </c>
      <c r="D40" s="23">
        <f>'2.2.8'!D40+'2.3.9'!D40</f>
        <v>64</v>
      </c>
      <c r="E40" s="23">
        <f>'2.2.8'!E40+'2.3.9'!E40</f>
        <v>64</v>
      </c>
      <c r="F40" s="23">
        <f>'2.2.8'!F40+'2.3.9'!F40</f>
        <v>64</v>
      </c>
      <c r="G40" s="34">
        <f>'2.2.8'!G40+'2.3.9'!G40</f>
        <v>65</v>
      </c>
      <c r="H40" s="155">
        <f>IF('AW Schulen'!$D196=0,"x",C40/'AW Schulen'!$D196)</f>
        <v>0.46376811594202899</v>
      </c>
      <c r="I40" s="155">
        <f>IF('AW Schulen'!$G196=0,"x",D40/'AW Schulen'!$G196)</f>
        <v>0.46376811594202899</v>
      </c>
      <c r="J40" s="155">
        <f>IF('AW Schulen'!$J196=0,"x",E40/'AW Schulen'!$J196)</f>
        <v>0.47407407407407409</v>
      </c>
      <c r="K40" s="155">
        <f>IF('AW Schulen'!$M196=0,"x",F40/'AW Schulen'!$M196)</f>
        <v>0.48484848484848486</v>
      </c>
      <c r="L40" s="156">
        <f>IF('AW Schulen'!$P196=0,"x",G40/'AW Schulen'!$P196)</f>
        <v>0.49618320610687022</v>
      </c>
    </row>
    <row r="41" spans="1:12" ht="9" customHeight="1">
      <c r="A41" s="21" t="s">
        <v>91</v>
      </c>
      <c r="B41" s="120"/>
      <c r="C41" s="23">
        <f>'2.2.8'!C41+'2.3.9'!C41</f>
        <v>15</v>
      </c>
      <c r="D41" s="23">
        <f>'2.2.8'!D41+'2.3.9'!D41</f>
        <v>15</v>
      </c>
      <c r="E41" s="23">
        <f>'2.2.8'!E41+'2.3.9'!E41</f>
        <v>15</v>
      </c>
      <c r="F41" s="23">
        <f>'2.2.8'!F41+'2.3.9'!F41</f>
        <v>15</v>
      </c>
      <c r="G41" s="34">
        <f>'2.2.8'!G41+'2.3.9'!G41</f>
        <v>15</v>
      </c>
      <c r="H41" s="155">
        <f>IF('AW Schulen'!$D197=0,"x",C41/'AW Schulen'!$D197)</f>
        <v>0.40540540540540543</v>
      </c>
      <c r="I41" s="155">
        <f>IF('AW Schulen'!$G197=0,"x",D41/'AW Schulen'!$G197)</f>
        <v>0.40540540540540543</v>
      </c>
      <c r="J41" s="155">
        <f>IF('AW Schulen'!$J197=0,"x",E41/'AW Schulen'!$J197)</f>
        <v>0.40540540540540543</v>
      </c>
      <c r="K41" s="155">
        <f>IF('AW Schulen'!$M197=0,"x",F41/'AW Schulen'!$M197)</f>
        <v>0.41666666666666669</v>
      </c>
      <c r="L41" s="156">
        <f>IF('AW Schulen'!$P197=0,"x",G41/'AW Schulen'!$P197)</f>
        <v>0.41666666666666669</v>
      </c>
    </row>
    <row r="42" spans="1:12" ht="9" customHeight="1">
      <c r="A42" s="21" t="s">
        <v>92</v>
      </c>
      <c r="B42" s="120"/>
      <c r="C42" s="23">
        <f>'2.2.8'!C42+'2.3.9'!C42</f>
        <v>24</v>
      </c>
      <c r="D42" s="23">
        <f>'2.2.8'!D42+'2.3.9'!D42</f>
        <v>23</v>
      </c>
      <c r="E42" s="23">
        <f>'2.2.8'!E42+'2.3.9'!E42</f>
        <v>20</v>
      </c>
      <c r="F42" s="23">
        <f>'2.2.8'!F42+'2.3.9'!F42</f>
        <v>22</v>
      </c>
      <c r="G42" s="34">
        <f>'2.2.8'!G42+'2.3.9'!G42</f>
        <v>22</v>
      </c>
      <c r="H42" s="155">
        <f>IF('AW Schulen'!$D198=0,"x",C42/'AW Schulen'!$D198)</f>
        <v>0.15189873417721519</v>
      </c>
      <c r="I42" s="155">
        <f>IF('AW Schulen'!$G198=0,"x",D42/'AW Schulen'!$G198)</f>
        <v>0.14743589743589744</v>
      </c>
      <c r="J42" s="155">
        <f>IF('AW Schulen'!$J198=0,"x",E42/'AW Schulen'!$J198)</f>
        <v>0.12903225806451613</v>
      </c>
      <c r="K42" s="155">
        <f>IF('AW Schulen'!$M198=0,"x",F42/'AW Schulen'!$M198)</f>
        <v>0.14102564102564102</v>
      </c>
      <c r="L42" s="156">
        <f>IF('AW Schulen'!$P198=0,"x",G42/'AW Schulen'!$P198)</f>
        <v>0.14193548387096774</v>
      </c>
    </row>
    <row r="43" spans="1:12" ht="9" customHeight="1">
      <c r="A43" s="21" t="s">
        <v>93</v>
      </c>
      <c r="B43" s="120"/>
      <c r="C43" s="36">
        <f>'2.2.8'!C43+'2.3.9'!C43</f>
        <v>0</v>
      </c>
      <c r="D43" s="36">
        <f>'2.2.8'!D43+'2.3.9'!D43</f>
        <v>0</v>
      </c>
      <c r="E43" s="36">
        <f>'2.2.8'!E43+'2.3.9'!E43</f>
        <v>0</v>
      </c>
      <c r="F43" s="36">
        <f>'2.2.8'!F43+'2.3.9'!F43</f>
        <v>0</v>
      </c>
      <c r="G43" s="37">
        <f>'2.2.8'!G43+'2.3.9'!G43</f>
        <v>0</v>
      </c>
      <c r="H43" s="183">
        <v>0</v>
      </c>
      <c r="I43" s="183">
        <v>0</v>
      </c>
      <c r="J43" s="183">
        <v>0</v>
      </c>
      <c r="K43" s="183">
        <v>0</v>
      </c>
      <c r="L43" s="197">
        <v>0</v>
      </c>
    </row>
    <row r="44" spans="1:12" ht="9" customHeight="1">
      <c r="A44" s="21" t="s">
        <v>94</v>
      </c>
      <c r="B44" s="120"/>
      <c r="C44" s="23">
        <f>'2.2.8'!C44+'2.3.9'!C44</f>
        <v>0</v>
      </c>
      <c r="D44" s="23">
        <f>'2.2.8'!D44+'2.3.9'!D44</f>
        <v>0</v>
      </c>
      <c r="E44" s="23">
        <f>'2.2.8'!E44+'2.3.9'!E44</f>
        <v>0</v>
      </c>
      <c r="F44" s="23">
        <f>'2.2.8'!F44+'2.3.9'!F44</f>
        <v>0</v>
      </c>
      <c r="G44" s="34">
        <f>'2.2.8'!G44+'2.3.9'!G44</f>
        <v>0</v>
      </c>
      <c r="H44" s="155">
        <f>IF('AW Schulen'!$D200=0,"x",C44/'AW Schulen'!$D200)</f>
        <v>0</v>
      </c>
      <c r="I44" s="155">
        <f>IF('AW Schulen'!$G200=0,"x",D44/'AW Schulen'!$G200)</f>
        <v>0</v>
      </c>
      <c r="J44" s="155">
        <f>IF('AW Schulen'!$J200=0,"x",E44/'AW Schulen'!$J200)</f>
        <v>0</v>
      </c>
      <c r="K44" s="155">
        <f>IF('AW Schulen'!$M200=0,"x",F44/'AW Schulen'!$M200)</f>
        <v>0</v>
      </c>
      <c r="L44" s="156">
        <f>IF('AW Schulen'!$P200=0,"x",G44/'AW Schulen'!$P200)</f>
        <v>0</v>
      </c>
    </row>
    <row r="45" spans="1:12" ht="9" customHeight="1">
      <c r="A45" s="21" t="s">
        <v>95</v>
      </c>
      <c r="B45" s="120"/>
      <c r="C45" s="23">
        <f>'2.2.8'!C45+'2.3.9'!C45</f>
        <v>81</v>
      </c>
      <c r="D45" s="23">
        <f>'2.2.8'!D45+'2.3.9'!D45</f>
        <v>81</v>
      </c>
      <c r="E45" s="23">
        <f>'2.2.8'!E45+'2.3.9'!E45</f>
        <v>81</v>
      </c>
      <c r="F45" s="23">
        <f>'2.2.8'!F45+'2.3.9'!F45</f>
        <v>81</v>
      </c>
      <c r="G45" s="34">
        <f>'2.2.8'!G45+'2.3.9'!G45</f>
        <v>80</v>
      </c>
      <c r="H45" s="155">
        <f>IF('AW Schulen'!$D201=0,"x",C45/'AW Schulen'!$D201)</f>
        <v>1</v>
      </c>
      <c r="I45" s="155">
        <f>IF('AW Schulen'!$G201=0,"x",D45/'AW Schulen'!$G201)</f>
        <v>1</v>
      </c>
      <c r="J45" s="155">
        <f>IF('AW Schulen'!$J201=0,"x",E45/'AW Schulen'!$J201)</f>
        <v>1</v>
      </c>
      <c r="K45" s="155">
        <f>IF('AW Schulen'!$M201=0,"x",F45/'AW Schulen'!$M201)</f>
        <v>1</v>
      </c>
      <c r="L45" s="156">
        <f>IF('AW Schulen'!$P201=0,"x",G45/'AW Schulen'!$P201)</f>
        <v>1</v>
      </c>
    </row>
    <row r="46" spans="1:12" ht="9" customHeight="1">
      <c r="A46" s="21" t="s">
        <v>96</v>
      </c>
      <c r="B46" s="120"/>
      <c r="C46" s="23">
        <f>'2.2.8'!C46+'2.3.9'!C46</f>
        <v>896</v>
      </c>
      <c r="D46" s="23">
        <f>'2.2.8'!D46+'2.3.9'!D46</f>
        <v>889</v>
      </c>
      <c r="E46" s="23">
        <f>'2.2.8'!E46+'2.3.9'!E46</f>
        <v>897</v>
      </c>
      <c r="F46" s="23">
        <f>'2.2.8'!F46+'2.3.9'!F46</f>
        <v>911</v>
      </c>
      <c r="G46" s="34">
        <f>'2.2.8'!G46+'2.3.9'!G46</f>
        <v>929</v>
      </c>
      <c r="H46" s="155">
        <f>IF('AW Schulen'!$D202=0,"x",C46/'AW Schulen'!$D202)</f>
        <v>0.28345460297374248</v>
      </c>
      <c r="I46" s="155">
        <f>IF('AW Schulen'!$G202=0,"x",D46/'AW Schulen'!$G202)</f>
        <v>0.28826199740596625</v>
      </c>
      <c r="J46" s="155">
        <f>IF('AW Schulen'!$J202=0,"x",E46/'AW Schulen'!$J202)</f>
        <v>0.29860186418109186</v>
      </c>
      <c r="K46" s="155">
        <f>IF('AW Schulen'!$M202=0,"x",F46/'AW Schulen'!$M202)</f>
        <v>0.31305841924398625</v>
      </c>
      <c r="L46" s="156">
        <f>IF('AW Schulen'!$P202=0,"x",G46/'AW Schulen'!$P202)</f>
        <v>0.33060498220640572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'2.2.8'!C48+'2.3.9'!C48</f>
        <v>18</v>
      </c>
      <c r="D48" s="23">
        <f>'2.2.8'!D48+'2.3.9'!D48</f>
        <v>18</v>
      </c>
      <c r="E48" s="23">
        <f>'2.2.8'!E48+'2.3.9'!E48</f>
        <v>20</v>
      </c>
      <c r="F48" s="23">
        <f>'2.2.8'!F48+'2.3.9'!F48</f>
        <v>19</v>
      </c>
      <c r="G48" s="34">
        <f>'2.2.8'!G48+'2.3.9'!G48</f>
        <v>22</v>
      </c>
      <c r="H48" s="155">
        <f>IF('AW Schulen'!$D186=0,"x",C48/'AW Schulen'!$D186)</f>
        <v>3.0927835051546393E-2</v>
      </c>
      <c r="I48" s="155">
        <f>IF('AW Schulen'!$G186=0,"x",D48/'AW Schulen'!$G186)</f>
        <v>3.1141868512110725E-2</v>
      </c>
      <c r="J48" s="155">
        <f>IF('AW Schulen'!$J186=0,"x",E48/'AW Schulen'!$J186)</f>
        <v>3.4662045060658578E-2</v>
      </c>
      <c r="K48" s="155">
        <f>IF('AW Schulen'!$M186=0,"x",F48/'AW Schulen'!$M186)</f>
        <v>3.3509700176366841E-2</v>
      </c>
      <c r="L48" s="156">
        <f>IF('AW Schulen'!$P186=0,"x",G48/'AW Schulen'!$P186)</f>
        <v>3.9145907473309607E-2</v>
      </c>
    </row>
    <row r="49" spans="1:12" ht="9" customHeight="1">
      <c r="A49" s="21" t="s">
        <v>81</v>
      </c>
      <c r="B49" s="120"/>
      <c r="C49" s="23">
        <f>'2.2.8'!C49+'2.3.9'!C49</f>
        <v>88</v>
      </c>
      <c r="D49" s="23">
        <f>'2.2.8'!D49+'2.3.9'!D49</f>
        <v>98</v>
      </c>
      <c r="E49" s="23">
        <f>'2.2.8'!E49+'2.3.9'!E49</f>
        <v>103</v>
      </c>
      <c r="F49" s="23">
        <f>'2.2.8'!F49+'2.3.9'!F49</f>
        <v>103</v>
      </c>
      <c r="G49" s="34">
        <f>'2.2.8'!G49+'2.3.9'!G49</f>
        <v>107</v>
      </c>
      <c r="H49" s="155">
        <f>IF('AW Schulen'!$D187=0,"x",C49/'AW Schulen'!$D187)</f>
        <v>0.24788732394366197</v>
      </c>
      <c r="I49" s="155">
        <f>IF('AW Schulen'!$G187=0,"x",D49/'AW Schulen'!$G187)</f>
        <v>0.27605633802816903</v>
      </c>
      <c r="J49" s="155">
        <f>IF('AW Schulen'!$J187=0,"x",E49/'AW Schulen'!$J187)</f>
        <v>0.29014084507042254</v>
      </c>
      <c r="K49" s="155">
        <f>IF('AW Schulen'!$M187=0,"x",F49/'AW Schulen'!$M187)</f>
        <v>0.29014084507042254</v>
      </c>
      <c r="L49" s="156">
        <f>IF('AW Schulen'!$P187=0,"x",G49/'AW Schulen'!$P187)</f>
        <v>0.30140845070422534</v>
      </c>
    </row>
    <row r="50" spans="1:12" ht="9" customHeight="1">
      <c r="A50" s="21" t="s">
        <v>82</v>
      </c>
      <c r="B50" s="120"/>
      <c r="C50" s="23">
        <f>'2.2.8'!C50+'2.3.9'!C50</f>
        <v>0</v>
      </c>
      <c r="D50" s="23">
        <f>'2.2.8'!D50+'2.3.9'!D50</f>
        <v>8</v>
      </c>
      <c r="E50" s="23">
        <f>'2.2.8'!E50+'2.3.9'!E50</f>
        <v>8</v>
      </c>
      <c r="F50" s="23">
        <f>'2.2.8'!F50+'2.3.9'!F50</f>
        <v>0</v>
      </c>
      <c r="G50" s="34">
        <f>'2.2.8'!G50+'2.3.9'!G50</f>
        <v>8</v>
      </c>
      <c r="H50" s="155">
        <f>IF('AW Schulen'!$D188=0,"x",C50/'AW Schulen'!$D188)</f>
        <v>0</v>
      </c>
      <c r="I50" s="155">
        <f>IF('AW Schulen'!$G188=0,"x",D50/'AW Schulen'!$G188)</f>
        <v>0.1038961038961039</v>
      </c>
      <c r="J50" s="155">
        <f>IF('AW Schulen'!$J188=0,"x",E50/'AW Schulen'!$J188)</f>
        <v>0.1038961038961039</v>
      </c>
      <c r="K50" s="155">
        <f>IF('AW Schulen'!$M188=0,"x",F50/'AW Schulen'!$M188)</f>
        <v>0</v>
      </c>
      <c r="L50" s="156">
        <f>IF('AW Schulen'!$P188=0,"x",G50/'AW Schulen'!$P188)</f>
        <v>0.10526315789473684</v>
      </c>
    </row>
    <row r="51" spans="1:12" ht="9" customHeight="1">
      <c r="A51" s="21" t="s">
        <v>83</v>
      </c>
      <c r="B51" s="120"/>
      <c r="C51" s="23">
        <f>'2.2.8'!C51+'2.3.9'!C51</f>
        <v>6</v>
      </c>
      <c r="D51" s="23">
        <f>'2.2.8'!D51+'2.3.9'!D51</f>
        <v>6</v>
      </c>
      <c r="E51" s="23">
        <f>'2.2.8'!E51+'2.3.9'!E51</f>
        <v>6</v>
      </c>
      <c r="F51" s="23">
        <f>'2.2.8'!F51+'2.3.9'!F51</f>
        <v>6</v>
      </c>
      <c r="G51" s="34">
        <f>'2.2.8'!G51+'2.3.9'!G51</f>
        <v>8</v>
      </c>
      <c r="H51" s="155">
        <f>IF('AW Schulen'!$D189=0,"x",C51/'AW Schulen'!$D189)</f>
        <v>5.128205128205128E-2</v>
      </c>
      <c r="I51" s="155">
        <f>IF('AW Schulen'!$G189=0,"x",D51/'AW Schulen'!$G189)</f>
        <v>5.0420168067226892E-2</v>
      </c>
      <c r="J51" s="155">
        <f>IF('AW Schulen'!$J189=0,"x",E51/'AW Schulen'!$J189)</f>
        <v>5.3097345132743362E-2</v>
      </c>
      <c r="K51" s="155">
        <f>IF('AW Schulen'!$M189=0,"x",F51/'AW Schulen'!$M189)</f>
        <v>5.5045871559633031E-2</v>
      </c>
      <c r="L51" s="156">
        <f>IF('AW Schulen'!$P189=0,"x",G51/'AW Schulen'!$P189)</f>
        <v>7.5471698113207544E-2</v>
      </c>
    </row>
    <row r="52" spans="1:12" ht="9" customHeight="1">
      <c r="A52" s="21" t="s">
        <v>84</v>
      </c>
      <c r="B52" s="120"/>
      <c r="C52" s="23">
        <f>'2.2.8'!C52+'2.3.9'!C52</f>
        <v>0</v>
      </c>
      <c r="D52" s="23">
        <f>'2.2.8'!D52+'2.3.9'!D52</f>
        <v>0</v>
      </c>
      <c r="E52" s="23">
        <f>'2.2.8'!E52+'2.3.9'!E52</f>
        <v>0</v>
      </c>
      <c r="F52" s="23">
        <f>'2.2.8'!F52+'2.3.9'!F52</f>
        <v>0</v>
      </c>
      <c r="G52" s="34">
        <f>'2.2.8'!G52+'2.3.9'!G52</f>
        <v>0</v>
      </c>
      <c r="H52" s="155">
        <f>IF('AW Schulen'!$D190=0,"x",C52/'AW Schulen'!$D190)</f>
        <v>0</v>
      </c>
      <c r="I52" s="155">
        <f>IF('AW Schulen'!$G190=0,"x",D52/'AW Schulen'!$G190)</f>
        <v>0</v>
      </c>
      <c r="J52" s="155">
        <f>IF('AW Schulen'!$J190=0,"x",E52/'AW Schulen'!$J190)</f>
        <v>0</v>
      </c>
      <c r="K52" s="155">
        <f>IF('AW Schulen'!$M190=0,"x",F52/'AW Schulen'!$M190)</f>
        <v>0</v>
      </c>
      <c r="L52" s="156">
        <f>IF('AW Schulen'!$P190=0,"x",G52/'AW Schulen'!$P190)</f>
        <v>0</v>
      </c>
    </row>
    <row r="53" spans="1:12" ht="9" customHeight="1">
      <c r="A53" s="21" t="s">
        <v>85</v>
      </c>
      <c r="B53" s="120"/>
      <c r="C53" s="23">
        <f>'2.2.8'!C53+'2.3.9'!C53</f>
        <v>0</v>
      </c>
      <c r="D53" s="23">
        <f>'2.2.8'!D53+'2.3.9'!D53</f>
        <v>2</v>
      </c>
      <c r="E53" s="23">
        <f>'2.2.8'!E53+'2.3.9'!E53</f>
        <v>2</v>
      </c>
      <c r="F53" s="23">
        <f>'2.2.8'!F53+'2.3.9'!F53</f>
        <v>2</v>
      </c>
      <c r="G53" s="34">
        <f>'2.2.8'!G53+'2.3.9'!G53</f>
        <v>2</v>
      </c>
      <c r="H53" s="155">
        <f>IF('AW Schulen'!$D191=0,"x",C53/'AW Schulen'!$D191)</f>
        <v>0</v>
      </c>
      <c r="I53" s="155">
        <f>IF('AW Schulen'!$G191=0,"x",D53/'AW Schulen'!$G191)</f>
        <v>6.4516129032258063E-2</v>
      </c>
      <c r="J53" s="155">
        <f>IF('AW Schulen'!$J191=0,"x",E53/'AW Schulen'!$J191)</f>
        <v>6.4516129032258063E-2</v>
      </c>
      <c r="K53" s="155">
        <f>IF('AW Schulen'!$M191=0,"x",F53/'AW Schulen'!$M191)</f>
        <v>6.4516129032258063E-2</v>
      </c>
      <c r="L53" s="156">
        <f>IF('AW Schulen'!$P191=0,"x",G53/'AW Schulen'!$P191)</f>
        <v>6.4516129032258063E-2</v>
      </c>
    </row>
    <row r="54" spans="1:12" ht="9" customHeight="1">
      <c r="A54" s="21" t="s">
        <v>86</v>
      </c>
      <c r="B54" s="120"/>
      <c r="C54" s="36">
        <f>'2.2.8'!C54+'2.3.9'!C54</f>
        <v>0</v>
      </c>
      <c r="D54" s="36">
        <f>'2.2.8'!D54+'2.3.9'!D54</f>
        <v>0</v>
      </c>
      <c r="E54" s="36">
        <f>'2.2.8'!E54+'2.3.9'!E54</f>
        <v>0</v>
      </c>
      <c r="F54" s="36">
        <f>'2.2.8'!F54+'2.3.9'!F54</f>
        <v>0</v>
      </c>
      <c r="G54" s="37">
        <f>'2.2.8'!G54+'2.3.9'!G54</f>
        <v>0</v>
      </c>
      <c r="H54" s="183">
        <f>IF('AW Schulen'!$D192=0,"x",C54/'AW Schulen'!$D192)</f>
        <v>0</v>
      </c>
      <c r="I54" s="183">
        <f>IF('AW Schulen'!$G192=0,"x",D54/'AW Schulen'!$G192)</f>
        <v>0</v>
      </c>
      <c r="J54" s="183">
        <f>IF('AW Schulen'!$G192=0,"x",E54/'AW Schulen'!$G192)</f>
        <v>0</v>
      </c>
      <c r="K54" s="183">
        <f>IF('AW Schulen'!$G192=0,"x",F54/'AW Schulen'!$G192)</f>
        <v>0</v>
      </c>
      <c r="L54" s="197">
        <f>IF('AW Schulen'!$G192=0,"x",G54/'AW Schulen'!$G192)</f>
        <v>0</v>
      </c>
    </row>
    <row r="55" spans="1:12" ht="9" customHeight="1">
      <c r="A55" s="21" t="s">
        <v>176</v>
      </c>
      <c r="B55" s="120"/>
      <c r="C55" s="23">
        <f>'2.2.8'!C55+'2.3.9'!C55</f>
        <v>5</v>
      </c>
      <c r="D55" s="23">
        <f>'2.2.8'!D55+'2.3.9'!D55</f>
        <v>4</v>
      </c>
      <c r="E55" s="23">
        <f>'2.2.8'!E55+'2.3.9'!E55</f>
        <v>3</v>
      </c>
      <c r="F55" s="23">
        <f>'2.2.8'!F55+'2.3.9'!F55</f>
        <v>3</v>
      </c>
      <c r="G55" s="34">
        <f>'2.2.8'!G55+'2.3.9'!G55</f>
        <v>4</v>
      </c>
      <c r="H55" s="155">
        <f>IF('AW Schulen'!$D193=0,"x",C55/'AW Schulen'!$D193)</f>
        <v>5.2083333333333336E-2</v>
      </c>
      <c r="I55" s="155">
        <f>IF('AW Schulen'!$G193=0,"x",D55/'AW Schulen'!$G193)</f>
        <v>4.2105263157894736E-2</v>
      </c>
      <c r="J55" s="155">
        <f>IF('AW Schulen'!$J193=0,"x",E55/'AW Schulen'!$J193)</f>
        <v>3.1914893617021274E-2</v>
      </c>
      <c r="K55" s="155">
        <f>IF('AW Schulen'!$M193=0,"x",F55/'AW Schulen'!$M193)</f>
        <v>3.2258064516129031E-2</v>
      </c>
      <c r="L55" s="156">
        <f>IF('AW Schulen'!$P193=0,"x",G55/'AW Schulen'!$P193)</f>
        <v>4.4444444444444446E-2</v>
      </c>
    </row>
    <row r="56" spans="1:12" ht="9" customHeight="1">
      <c r="A56" s="21" t="s">
        <v>88</v>
      </c>
      <c r="B56" s="120"/>
      <c r="C56" s="23">
        <f>'2.2.8'!C56+'2.3.9'!C56</f>
        <v>7</v>
      </c>
      <c r="D56" s="23">
        <f>'2.2.8'!D56+'2.3.9'!D56</f>
        <v>8</v>
      </c>
      <c r="E56" s="23">
        <f>'2.2.8'!E56+'2.3.9'!E56</f>
        <v>9</v>
      </c>
      <c r="F56" s="23">
        <f>'2.2.8'!F56+'2.3.9'!F56</f>
        <v>13</v>
      </c>
      <c r="G56" s="34">
        <f>'2.2.8'!G56+'2.3.9'!G56</f>
        <v>13</v>
      </c>
      <c r="H56" s="183">
        <v>0</v>
      </c>
      <c r="I56" s="183">
        <v>0</v>
      </c>
      <c r="J56" s="183">
        <v>0</v>
      </c>
      <c r="K56" s="183">
        <v>0</v>
      </c>
      <c r="L56" s="197">
        <v>0</v>
      </c>
    </row>
    <row r="57" spans="1:12" ht="9" customHeight="1">
      <c r="A57" s="21" t="s">
        <v>89</v>
      </c>
      <c r="B57" s="120"/>
      <c r="C57" s="23">
        <f>'2.2.8'!C57+'2.3.9'!C57</f>
        <v>0</v>
      </c>
      <c r="D57" s="23">
        <f>'2.2.8'!D57+'2.3.9'!D57</f>
        <v>0</v>
      </c>
      <c r="E57" s="23">
        <f>'2.2.8'!E57+'2.3.9'!E57</f>
        <v>0</v>
      </c>
      <c r="F57" s="23">
        <f>'2.2.8'!F57+'2.3.9'!F57</f>
        <v>0</v>
      </c>
      <c r="G57" s="34">
        <f>'2.2.8'!G57+'2.3.9'!G57</f>
        <v>0</v>
      </c>
      <c r="H57" s="155">
        <f>IF('AW Schulen'!$D195=0,"x",C57/'AW Schulen'!$D195)</f>
        <v>0</v>
      </c>
      <c r="I57" s="155">
        <f>IF('AW Schulen'!$G195=0,"x",D57/'AW Schulen'!$G195)</f>
        <v>0</v>
      </c>
      <c r="J57" s="155">
        <f>IF('AW Schulen'!$J195=0,"x",E57/'AW Schulen'!$J195)</f>
        <v>0</v>
      </c>
      <c r="K57" s="155">
        <f>IF('AW Schulen'!$M195=0,"x",F57/'AW Schulen'!$M195)</f>
        <v>0</v>
      </c>
      <c r="L57" s="156">
        <f>IF('AW Schulen'!$P195=0,"x",G57/'AW Schulen'!$P195)</f>
        <v>0</v>
      </c>
    </row>
    <row r="58" spans="1:12" ht="9" customHeight="1">
      <c r="A58" s="21" t="s">
        <v>90</v>
      </c>
      <c r="B58" s="120"/>
      <c r="C58" s="23">
        <f>'2.2.8'!C58+'2.3.9'!C58</f>
        <v>62</v>
      </c>
      <c r="D58" s="23">
        <f>'2.2.8'!D58+'2.3.9'!D58</f>
        <v>63</v>
      </c>
      <c r="E58" s="23">
        <f>'2.2.8'!E58+'2.3.9'!E58</f>
        <v>62</v>
      </c>
      <c r="F58" s="23">
        <f>'2.2.8'!F58+'2.3.9'!F58</f>
        <v>61</v>
      </c>
      <c r="G58" s="34">
        <f>'2.2.8'!G58+'2.3.9'!G58</f>
        <v>61</v>
      </c>
      <c r="H58" s="155">
        <f>IF('AW Schulen'!$D196=0,"x",C58/'AW Schulen'!$D196)</f>
        <v>0.44927536231884058</v>
      </c>
      <c r="I58" s="155">
        <f>IF('AW Schulen'!$G196=0,"x",D58/'AW Schulen'!$G196)</f>
        <v>0.45652173913043476</v>
      </c>
      <c r="J58" s="155">
        <f>IF('AW Schulen'!$J196=0,"x",E58/'AW Schulen'!$J196)</f>
        <v>0.45925925925925926</v>
      </c>
      <c r="K58" s="155">
        <f>IF('AW Schulen'!$M196=0,"x",F58/'AW Schulen'!$M196)</f>
        <v>0.4621212121212121</v>
      </c>
      <c r="L58" s="156">
        <f>IF('AW Schulen'!$P196=0,"x",G58/'AW Schulen'!$P196)</f>
        <v>0.46564885496183206</v>
      </c>
    </row>
    <row r="59" spans="1:12" ht="9" customHeight="1">
      <c r="A59" s="21" t="s">
        <v>91</v>
      </c>
      <c r="B59" s="120"/>
      <c r="C59" s="23">
        <f>'2.2.8'!C59+'2.3.9'!C59</f>
        <v>0</v>
      </c>
      <c r="D59" s="23">
        <f>'2.2.8'!D59+'2.3.9'!D59</f>
        <v>0</v>
      </c>
      <c r="E59" s="23">
        <f>'2.2.8'!E59+'2.3.9'!E59</f>
        <v>0</v>
      </c>
      <c r="F59" s="23">
        <f>'2.2.8'!F59+'2.3.9'!F59</f>
        <v>0</v>
      </c>
      <c r="G59" s="34">
        <f>'2.2.8'!G59+'2.3.9'!G59</f>
        <v>0</v>
      </c>
      <c r="H59" s="155">
        <f>IF('AW Schulen'!$D197=0,"x",C59/'AW Schulen'!$D197)</f>
        <v>0</v>
      </c>
      <c r="I59" s="155">
        <f>IF('AW Schulen'!$G197=0,"x",D59/'AW Schulen'!$G197)</f>
        <v>0</v>
      </c>
      <c r="J59" s="155">
        <f>IF('AW Schulen'!$J197=0,"x",E59/'AW Schulen'!$J197)</f>
        <v>0</v>
      </c>
      <c r="K59" s="155">
        <f>IF('AW Schulen'!$M197=0,"x",F59/'AW Schulen'!$M197)</f>
        <v>0</v>
      </c>
      <c r="L59" s="156">
        <f>IF('AW Schulen'!$P197=0,"x",G59/'AW Schulen'!$P197)</f>
        <v>0</v>
      </c>
    </row>
    <row r="60" spans="1:12" ht="9" customHeight="1">
      <c r="A60" s="21" t="s">
        <v>92</v>
      </c>
      <c r="B60" s="120"/>
      <c r="C60" s="23">
        <f>'2.2.8'!C60+'2.3.9'!C60</f>
        <v>35</v>
      </c>
      <c r="D60" s="23">
        <f>'2.2.8'!D60+'2.3.9'!D60</f>
        <v>30</v>
      </c>
      <c r="E60" s="23">
        <f>'2.2.8'!E60+'2.3.9'!E60</f>
        <v>39</v>
      </c>
      <c r="F60" s="23">
        <f>'2.2.8'!F60+'2.3.9'!F60</f>
        <v>39</v>
      </c>
      <c r="G60" s="34">
        <f>'2.2.8'!G60+'2.3.9'!G60</f>
        <v>42</v>
      </c>
      <c r="H60" s="155">
        <f>IF('AW Schulen'!$D198=0,"x",C60/'AW Schulen'!$D198)</f>
        <v>0.22151898734177214</v>
      </c>
      <c r="I60" s="155">
        <f>IF('AW Schulen'!$G198=0,"x",D60/'AW Schulen'!$G198)</f>
        <v>0.19230769230769232</v>
      </c>
      <c r="J60" s="155">
        <f>IF('AW Schulen'!$J198=0,"x",E60/'AW Schulen'!$J198)</f>
        <v>0.25161290322580643</v>
      </c>
      <c r="K60" s="155">
        <f>IF('AW Schulen'!$M198=0,"x",F60/'AW Schulen'!$M198)</f>
        <v>0.25</v>
      </c>
      <c r="L60" s="156">
        <f>IF('AW Schulen'!$P198=0,"x",G60/'AW Schulen'!$P198)</f>
        <v>0.2709677419354839</v>
      </c>
    </row>
    <row r="61" spans="1:12" ht="9" customHeight="1">
      <c r="A61" s="21" t="s">
        <v>93</v>
      </c>
      <c r="B61" s="120"/>
      <c r="C61" s="23">
        <f>'2.2.8'!C61+'2.3.9'!C61</f>
        <v>0</v>
      </c>
      <c r="D61" s="23">
        <f>'2.2.8'!D61+'2.3.9'!D61</f>
        <v>0</v>
      </c>
      <c r="E61" s="23">
        <f>'2.2.8'!E61+'2.3.9'!E61</f>
        <v>0</v>
      </c>
      <c r="F61" s="23">
        <f>'2.2.8'!F61+'2.3.9'!F61</f>
        <v>0</v>
      </c>
      <c r="G61" s="34">
        <f>'2.2.8'!G61+'2.3.9'!G61</f>
        <v>0</v>
      </c>
      <c r="H61" s="183">
        <f>IF('AW Schulen'!$D199=0,"x",C61/'AW Schulen'!$D199)</f>
        <v>0</v>
      </c>
      <c r="I61" s="183">
        <f>IF('AW Schulen'!$G199=0,"x",D61/'AW Schulen'!$G199)</f>
        <v>0</v>
      </c>
      <c r="J61" s="183">
        <f>IF('AW Schulen'!$J199=0,"x",E61/'AW Schulen'!$J199)</f>
        <v>0</v>
      </c>
      <c r="K61" s="183">
        <f>IF('AW Schulen'!$M199=0,"x",F61/'AW Schulen'!$M199)</f>
        <v>0</v>
      </c>
      <c r="L61" s="197">
        <f>IF('AW Schulen'!$P199=0,"x",G61/'AW Schulen'!$P199)</f>
        <v>0</v>
      </c>
    </row>
    <row r="62" spans="1:12" ht="9" customHeight="1">
      <c r="A62" s="21" t="s">
        <v>94</v>
      </c>
      <c r="B62" s="120"/>
      <c r="C62" s="23">
        <f>'2.2.8'!C62+'2.3.9'!C62</f>
        <v>0</v>
      </c>
      <c r="D62" s="23">
        <f>'2.2.8'!D62+'2.3.9'!D62</f>
        <v>0</v>
      </c>
      <c r="E62" s="23">
        <f>'2.2.8'!E62+'2.3.9'!E62</f>
        <v>0</v>
      </c>
      <c r="F62" s="23">
        <f>'2.2.8'!F62+'2.3.9'!F62</f>
        <v>0</v>
      </c>
      <c r="G62" s="34">
        <f>'2.2.8'!G62+'2.3.9'!G62</f>
        <v>0</v>
      </c>
      <c r="H62" s="155">
        <f>IF('AW Schulen'!$D200=0,"x",C62/'AW Schulen'!$D200)</f>
        <v>0</v>
      </c>
      <c r="I62" s="155">
        <f>IF('AW Schulen'!$G200=0,"x",D62/'AW Schulen'!$G200)</f>
        <v>0</v>
      </c>
      <c r="J62" s="155">
        <f>IF('AW Schulen'!$J200=0,"x",E62/'AW Schulen'!$J200)</f>
        <v>0</v>
      </c>
      <c r="K62" s="155">
        <f>IF('AW Schulen'!$M200=0,"x",F62/'AW Schulen'!$M200)</f>
        <v>0</v>
      </c>
      <c r="L62" s="156">
        <f>IF('AW Schulen'!$P200=0,"x",G62/'AW Schulen'!$P200)</f>
        <v>0</v>
      </c>
    </row>
    <row r="63" spans="1:12" ht="9" customHeight="1">
      <c r="A63" s="21" t="s">
        <v>95</v>
      </c>
      <c r="B63" s="120"/>
      <c r="C63" s="23">
        <f>'2.2.8'!C63+'2.3.9'!C63</f>
        <v>0</v>
      </c>
      <c r="D63" s="23">
        <f>'2.2.8'!D63+'2.3.9'!D63</f>
        <v>0</v>
      </c>
      <c r="E63" s="23">
        <f>'2.2.8'!E63+'2.3.9'!E63</f>
        <v>0</v>
      </c>
      <c r="F63" s="23">
        <f>'2.2.8'!F63+'2.3.9'!F63</f>
        <v>0</v>
      </c>
      <c r="G63" s="34">
        <f>'2.2.8'!G63+'2.3.9'!G63</f>
        <v>0</v>
      </c>
      <c r="H63" s="155">
        <f>IF('AW Schulen'!$D201=0,"x",C63/'AW Schulen'!$D201)</f>
        <v>0</v>
      </c>
      <c r="I63" s="155">
        <f>IF('AW Schulen'!$G201=0,"x",D63/'AW Schulen'!$G201)</f>
        <v>0</v>
      </c>
      <c r="J63" s="155">
        <f>IF('AW Schulen'!$J201=0,"x",E63/'AW Schulen'!$J201)</f>
        <v>0</v>
      </c>
      <c r="K63" s="155">
        <f>IF('AW Schulen'!$M201=0,"x",F63/'AW Schulen'!$M201)</f>
        <v>0</v>
      </c>
      <c r="L63" s="156">
        <f>IF('AW Schulen'!$P201=0,"x",G63/'AW Schulen'!$P201)</f>
        <v>0</v>
      </c>
    </row>
    <row r="64" spans="1:12" ht="8.65" customHeight="1">
      <c r="A64" s="21" t="s">
        <v>96</v>
      </c>
      <c r="B64" s="120"/>
      <c r="C64" s="23">
        <f>'2.2.8'!C64+'2.3.9'!C64</f>
        <v>221</v>
      </c>
      <c r="D64" s="23">
        <f>'2.2.8'!D64+'2.3.9'!D64</f>
        <v>237</v>
      </c>
      <c r="E64" s="23">
        <f>'2.2.8'!E64+'2.3.9'!E64</f>
        <v>252</v>
      </c>
      <c r="F64" s="23">
        <f>'2.2.8'!F64+'2.3.9'!F64</f>
        <v>246</v>
      </c>
      <c r="G64" s="34">
        <f>'2.2.8'!G64+'2.3.9'!G64</f>
        <v>267</v>
      </c>
      <c r="H64" s="155">
        <f>IF('AW Schulen'!$D202=0,"x",C64/'AW Schulen'!$D202)</f>
        <v>6.9914583992407464E-2</v>
      </c>
      <c r="I64" s="155">
        <f>IF('AW Schulen'!$G202=0,"x",D64/'AW Schulen'!$G202)</f>
        <v>7.6848249027237359E-2</v>
      </c>
      <c r="J64" s="155">
        <f>IF('AW Schulen'!$J202=0,"x",E64/'AW Schulen'!$J202)</f>
        <v>8.3888149134487347E-2</v>
      </c>
      <c r="K64" s="155">
        <f>IF('AW Schulen'!$M202=0,"x",F64/'AW Schulen'!$M202)</f>
        <v>8.4536082474226809E-2</v>
      </c>
      <c r="L64" s="156">
        <f>IF('AW Schulen'!$P202=0,"x",G64/'AW Schulen'!$P202)</f>
        <v>9.5017793594306052E-2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'2.2.8'!C66+'2.3.9'!C66</f>
        <v>14</v>
      </c>
      <c r="D66" s="23">
        <f>'2.2.8'!D66+'2.3.9'!D66</f>
        <v>16</v>
      </c>
      <c r="E66" s="23">
        <f>'2.2.8'!E66+'2.3.9'!E66</f>
        <v>23</v>
      </c>
      <c r="F66" s="23">
        <f>'2.2.8'!F66+'2.3.9'!F66</f>
        <v>27</v>
      </c>
      <c r="G66" s="34">
        <f>'2.2.8'!G66+'2.3.9'!G66</f>
        <v>34</v>
      </c>
      <c r="H66" s="155">
        <f>IF('AW Schulen'!$D186=0,"x",C66/'AW Schulen'!$D186)</f>
        <v>2.4054982817869417E-2</v>
      </c>
      <c r="I66" s="155">
        <f>IF('AW Schulen'!$G186=0,"x",D66/'AW Schulen'!$G186)</f>
        <v>2.768166089965398E-2</v>
      </c>
      <c r="J66" s="155">
        <f>IF('AW Schulen'!$J186=0,"x",E66/'AW Schulen'!$J186)</f>
        <v>3.9861351819757362E-2</v>
      </c>
      <c r="K66" s="155">
        <f>IF('AW Schulen'!$M186=0,"x",F66/'AW Schulen'!$M186)</f>
        <v>4.7619047619047616E-2</v>
      </c>
      <c r="L66" s="156">
        <f>IF('AW Schulen'!$P186=0,"x",G66/'AW Schulen'!$P186)</f>
        <v>6.0498220640569395E-2</v>
      </c>
    </row>
    <row r="67" spans="1:12" ht="10.15" customHeight="1">
      <c r="A67" s="224" t="s">
        <v>81</v>
      </c>
      <c r="B67" s="120"/>
      <c r="C67" s="23">
        <f>'2.2.8'!C67+'2.3.9'!C67</f>
        <v>172</v>
      </c>
      <c r="D67" s="23">
        <f>'2.2.8'!D67+'2.3.9'!D67</f>
        <v>175</v>
      </c>
      <c r="E67" s="23">
        <f>'2.2.8'!E67+'2.3.9'!E67</f>
        <v>191</v>
      </c>
      <c r="F67" s="23">
        <f>'2.2.8'!F67+'2.3.9'!F67</f>
        <v>195</v>
      </c>
      <c r="G67" s="34">
        <f>'2.2.8'!G67+'2.3.9'!G67</f>
        <v>196</v>
      </c>
      <c r="H67" s="155">
        <f>IF('AW Schulen'!$D187=0,"x",C67/'AW Schulen'!$D187)</f>
        <v>0.48450704225352115</v>
      </c>
      <c r="I67" s="155">
        <f>IF('AW Schulen'!$G187=0,"x",D67/'AW Schulen'!$G187)</f>
        <v>0.49295774647887325</v>
      </c>
      <c r="J67" s="155">
        <f>IF('AW Schulen'!$J187=0,"x",E67/'AW Schulen'!$J187)</f>
        <v>0.53802816901408446</v>
      </c>
      <c r="K67" s="155">
        <f>IF('AW Schulen'!$M187=0,"x",F67/'AW Schulen'!$M187)</f>
        <v>0.54929577464788737</v>
      </c>
      <c r="L67" s="156">
        <f>IF('AW Schulen'!$P187=0,"x",G67/'AW Schulen'!$P187)</f>
        <v>0.55211267605633807</v>
      </c>
    </row>
    <row r="68" spans="1:12" ht="10.15" customHeight="1">
      <c r="A68" s="224" t="s">
        <v>82</v>
      </c>
      <c r="B68" s="120"/>
      <c r="C68" s="23">
        <f>'2.2.8'!C68+'2.3.9'!C68</f>
        <v>36</v>
      </c>
      <c r="D68" s="23">
        <f>'2.2.8'!D68+'2.3.9'!D68</f>
        <v>24</v>
      </c>
      <c r="E68" s="23">
        <f>'2.2.8'!E68+'2.3.9'!E68</f>
        <v>23</v>
      </c>
      <c r="F68" s="23">
        <f>'2.2.8'!F68+'2.3.9'!F68</f>
        <v>29</v>
      </c>
      <c r="G68" s="34">
        <f>'2.2.8'!G68+'2.3.9'!G68</f>
        <v>17</v>
      </c>
      <c r="H68" s="155">
        <f>IF('AW Schulen'!$D188=0,"x",C68/'AW Schulen'!$D188)</f>
        <v>0.41860465116279072</v>
      </c>
      <c r="I68" s="155">
        <f>IF('AW Schulen'!$G188=0,"x",D68/'AW Schulen'!$G188)</f>
        <v>0.31168831168831168</v>
      </c>
      <c r="J68" s="155">
        <f>IF('AW Schulen'!$J188=0,"x",E68/'AW Schulen'!$J188)</f>
        <v>0.29870129870129869</v>
      </c>
      <c r="K68" s="155">
        <f>IF('AW Schulen'!$M188=0,"x",F68/'AW Schulen'!$M188)</f>
        <v>0.37662337662337664</v>
      </c>
      <c r="L68" s="156">
        <f>IF('AW Schulen'!$P188=0,"x",G68/'AW Schulen'!$P188)</f>
        <v>0.22368421052631579</v>
      </c>
    </row>
    <row r="69" spans="1:12" ht="9" customHeight="1">
      <c r="A69" s="21" t="s">
        <v>83</v>
      </c>
      <c r="B69" s="120"/>
      <c r="C69" s="23">
        <f>'2.2.8'!C69+'2.3.9'!C69</f>
        <v>6</v>
      </c>
      <c r="D69" s="23">
        <f>'2.2.8'!D69+'2.3.9'!D69</f>
        <v>8</v>
      </c>
      <c r="E69" s="23">
        <f>'2.2.8'!E69+'2.3.9'!E69</f>
        <v>8</v>
      </c>
      <c r="F69" s="23">
        <f>'2.2.8'!F69+'2.3.9'!F69</f>
        <v>8</v>
      </c>
      <c r="G69" s="34">
        <f>'2.2.8'!G69+'2.3.9'!G69</f>
        <v>4</v>
      </c>
      <c r="H69" s="155">
        <f>IF('AW Schulen'!$D189=0,"x",C69/'AW Schulen'!$D189)</f>
        <v>5.128205128205128E-2</v>
      </c>
      <c r="I69" s="155">
        <f>IF('AW Schulen'!$G189=0,"x",D69/'AW Schulen'!$G189)</f>
        <v>6.7226890756302518E-2</v>
      </c>
      <c r="J69" s="155">
        <f>IF('AW Schulen'!$J189=0,"x",E69/'AW Schulen'!$J189)</f>
        <v>7.0796460176991149E-2</v>
      </c>
      <c r="K69" s="155">
        <f>IF('AW Schulen'!$M189=0,"x",F69/'AW Schulen'!$M189)</f>
        <v>7.3394495412844041E-2</v>
      </c>
      <c r="L69" s="156">
        <f>IF('AW Schulen'!$P189=0,"x",G69/'AW Schulen'!$P189)</f>
        <v>3.7735849056603772E-2</v>
      </c>
    </row>
    <row r="70" spans="1:12" ht="9" customHeight="1">
      <c r="A70" s="21" t="s">
        <v>84</v>
      </c>
      <c r="B70" s="120"/>
      <c r="C70" s="23">
        <f>'2.2.8'!C70+'2.3.9'!C70</f>
        <v>1</v>
      </c>
      <c r="D70" s="23">
        <f>'2.2.8'!D70+'2.3.9'!D70</f>
        <v>0</v>
      </c>
      <c r="E70" s="23">
        <f>'2.2.8'!E70+'2.3.9'!E70</f>
        <v>0</v>
      </c>
      <c r="F70" s="23">
        <f>'2.2.8'!F70+'2.3.9'!F70</f>
        <v>0</v>
      </c>
      <c r="G70" s="34">
        <f>'2.2.8'!G70+'2.3.9'!G70</f>
        <v>0</v>
      </c>
      <c r="H70" s="155">
        <f>IF('AW Schulen'!$D190=0,"x",C70/'AW Schulen'!$D190)</f>
        <v>5.5555555555555552E-2</v>
      </c>
      <c r="I70" s="155">
        <f>IF('AW Schulen'!$G190=0,"x",D70/'AW Schulen'!$G190)</f>
        <v>0</v>
      </c>
      <c r="J70" s="155">
        <f>IF('AW Schulen'!$J190=0,"x",E70/'AW Schulen'!$J190)</f>
        <v>0</v>
      </c>
      <c r="K70" s="155">
        <f>IF('AW Schulen'!$M190=0,"x",F70/'AW Schulen'!$M190)</f>
        <v>0</v>
      </c>
      <c r="L70" s="156">
        <f>IF('AW Schulen'!$P190=0,"x",G70/'AW Schulen'!$P190)</f>
        <v>0</v>
      </c>
    </row>
    <row r="71" spans="1:12" ht="9" customHeight="1">
      <c r="A71" s="21" t="s">
        <v>85</v>
      </c>
      <c r="B71" s="120"/>
      <c r="C71" s="23">
        <f>'2.2.8'!C71+'2.3.9'!C71</f>
        <v>5</v>
      </c>
      <c r="D71" s="23">
        <f>'2.2.8'!D71+'2.3.9'!D71</f>
        <v>5</v>
      </c>
      <c r="E71" s="23">
        <f>'2.2.8'!E71+'2.3.9'!E71</f>
        <v>5</v>
      </c>
      <c r="F71" s="23">
        <f>'2.2.8'!F71+'2.3.9'!F71</f>
        <v>6</v>
      </c>
      <c r="G71" s="34">
        <f>'2.2.8'!G71+'2.3.9'!G71</f>
        <v>4</v>
      </c>
      <c r="H71" s="155">
        <f>IF('AW Schulen'!$D191=0,"x",C71/'AW Schulen'!$D191)</f>
        <v>0.11904761904761904</v>
      </c>
      <c r="I71" s="155">
        <f>IF('AW Schulen'!$G191=0,"x",D71/'AW Schulen'!$G191)</f>
        <v>0.16129032258064516</v>
      </c>
      <c r="J71" s="155">
        <f>IF('AW Schulen'!$J191=0,"x",E71/'AW Schulen'!$J191)</f>
        <v>0.16129032258064516</v>
      </c>
      <c r="K71" s="155">
        <f>IF('AW Schulen'!$M191=0,"x",F71/'AW Schulen'!$M191)</f>
        <v>0.19354838709677419</v>
      </c>
      <c r="L71" s="156">
        <f>IF('AW Schulen'!$P191=0,"x",G71/'AW Schulen'!$P191)</f>
        <v>0.12903225806451613</v>
      </c>
    </row>
    <row r="72" spans="1:12" ht="9" customHeight="1">
      <c r="A72" s="21" t="s">
        <v>86</v>
      </c>
      <c r="B72" s="120"/>
      <c r="C72" s="23">
        <f>'2.2.8'!C72+'2.3.9'!C72</f>
        <v>76</v>
      </c>
      <c r="D72" s="23">
        <f>'2.2.8'!D72+'2.3.9'!D72</f>
        <v>81</v>
      </c>
      <c r="E72" s="23">
        <f>'2.2.8'!E72+'2.3.9'!E72</f>
        <v>89</v>
      </c>
      <c r="F72" s="23">
        <f>'2.2.8'!F72+'2.3.9'!F72</f>
        <v>94</v>
      </c>
      <c r="G72" s="34">
        <f>'2.2.8'!G72+'2.3.9'!G72</f>
        <v>92</v>
      </c>
      <c r="H72" s="183">
        <v>0</v>
      </c>
      <c r="I72" s="183">
        <v>0</v>
      </c>
      <c r="J72" s="183">
        <v>0</v>
      </c>
      <c r="K72" s="183">
        <v>0</v>
      </c>
      <c r="L72" s="197">
        <v>0</v>
      </c>
    </row>
    <row r="73" spans="1:12" ht="9" customHeight="1">
      <c r="A73" s="21" t="s">
        <v>176</v>
      </c>
      <c r="B73" s="120"/>
      <c r="C73" s="23">
        <f>'2.2.8'!C73+'2.3.9'!C73</f>
        <v>6</v>
      </c>
      <c r="D73" s="23">
        <f>'2.2.8'!D73+'2.3.9'!D73</f>
        <v>9</v>
      </c>
      <c r="E73" s="23">
        <f>'2.2.8'!E73+'2.3.9'!E73</f>
        <v>6</v>
      </c>
      <c r="F73" s="23">
        <f>'2.2.8'!F73+'2.3.9'!F73</f>
        <v>7</v>
      </c>
      <c r="G73" s="34">
        <f>'2.2.8'!G73+'2.3.9'!G73</f>
        <v>4</v>
      </c>
      <c r="H73" s="155">
        <f>IF('AW Schulen'!$D193=0,"x",C73/'AW Schulen'!$D193)</f>
        <v>6.25E-2</v>
      </c>
      <c r="I73" s="155">
        <f>IF('AW Schulen'!$G193=0,"x",D73/'AW Schulen'!$G193)</f>
        <v>9.4736842105263161E-2</v>
      </c>
      <c r="J73" s="155">
        <f>IF('AW Schulen'!$J193=0,"x",E73/'AW Schulen'!$J193)</f>
        <v>6.3829787234042548E-2</v>
      </c>
      <c r="K73" s="155">
        <f>IF('AW Schulen'!$M193=0,"x",F73/'AW Schulen'!$M193)</f>
        <v>7.5268817204301078E-2</v>
      </c>
      <c r="L73" s="156">
        <f>IF('AW Schulen'!$P193=0,"x",G73/'AW Schulen'!$P193)</f>
        <v>4.4444444444444446E-2</v>
      </c>
    </row>
    <row r="74" spans="1:12" ht="9" customHeight="1">
      <c r="A74" s="21" t="s">
        <v>88</v>
      </c>
      <c r="B74" s="120"/>
      <c r="C74" s="23">
        <f>'2.2.8'!C74+'2.3.9'!C74</f>
        <v>93</v>
      </c>
      <c r="D74" s="23">
        <f>'2.2.8'!D74+'2.3.9'!D74</f>
        <v>90</v>
      </c>
      <c r="E74" s="23">
        <f>'2.2.8'!E74+'2.3.9'!E74</f>
        <v>80</v>
      </c>
      <c r="F74" s="23">
        <f>'2.2.8'!F74+'2.3.9'!F74</f>
        <v>70</v>
      </c>
      <c r="G74" s="34">
        <f>'2.2.8'!G74+'2.3.9'!G74</f>
        <v>70</v>
      </c>
      <c r="H74" s="183">
        <v>0</v>
      </c>
      <c r="I74" s="183">
        <v>0</v>
      </c>
      <c r="J74" s="183">
        <v>0</v>
      </c>
      <c r="K74" s="183">
        <v>0</v>
      </c>
      <c r="L74" s="197">
        <v>0</v>
      </c>
    </row>
    <row r="75" spans="1:12" ht="9" customHeight="1">
      <c r="A75" s="21" t="s">
        <v>89</v>
      </c>
      <c r="B75" s="120"/>
      <c r="C75" s="23">
        <f>'2.2.8'!C75+'2.3.9'!C75</f>
        <v>262</v>
      </c>
      <c r="D75" s="23">
        <f>'2.2.8'!D75+'2.3.9'!D75</f>
        <v>252</v>
      </c>
      <c r="E75" s="23">
        <f>'2.2.8'!E75+'2.3.9'!E75</f>
        <v>230</v>
      </c>
      <c r="F75" s="23">
        <f>'2.2.8'!F75+'2.3.9'!F75</f>
        <v>192</v>
      </c>
      <c r="G75" s="34">
        <f>'2.2.8'!G75+'2.3.9'!G75</f>
        <v>172</v>
      </c>
      <c r="H75" s="155">
        <f>IF('AW Schulen'!$D195=0,"x",C75/'AW Schulen'!$D195)</f>
        <v>0.36592178770949718</v>
      </c>
      <c r="I75" s="155">
        <f>IF('AW Schulen'!$G195=0,"x",D75/'AW Schulen'!$G195)</f>
        <v>0.36896046852122988</v>
      </c>
      <c r="J75" s="155">
        <f>IF('AW Schulen'!$J195=0,"x",E75/'AW Schulen'!$J195)</f>
        <v>0.359375</v>
      </c>
      <c r="K75" s="155">
        <f>IF('AW Schulen'!$M195=0,"x",F75/'AW Schulen'!$M195)</f>
        <v>0.33103448275862069</v>
      </c>
      <c r="L75" s="156">
        <f>IF('AW Schulen'!$P195=0,"x",G75/'AW Schulen'!$P195)</f>
        <v>0.32330827067669171</v>
      </c>
    </row>
    <row r="76" spans="1:12" ht="9" customHeight="1">
      <c r="A76" s="21" t="s">
        <v>90</v>
      </c>
      <c r="B76" s="120"/>
      <c r="C76" s="23">
        <f>'2.2.8'!C76+'2.3.9'!C76</f>
        <v>0</v>
      </c>
      <c r="D76" s="23">
        <f>'2.2.8'!D76+'2.3.9'!D76</f>
        <v>0</v>
      </c>
      <c r="E76" s="23">
        <f>'2.2.8'!E76+'2.3.9'!E76</f>
        <v>0</v>
      </c>
      <c r="F76" s="23">
        <f>'2.2.8'!F76+'2.3.9'!F76</f>
        <v>0</v>
      </c>
      <c r="G76" s="34">
        <f>'2.2.8'!G76+'2.3.9'!G76</f>
        <v>0</v>
      </c>
      <c r="H76" s="155">
        <f>IF('AW Schulen'!$D196=0,"x",C76/'AW Schulen'!$D196)</f>
        <v>0</v>
      </c>
      <c r="I76" s="155">
        <f>IF('AW Schulen'!$G196=0,"x",D76/'AW Schulen'!$G196)</f>
        <v>0</v>
      </c>
      <c r="J76" s="155">
        <f>IF('AW Schulen'!$J196=0,"x",E76/'AW Schulen'!$J196)</f>
        <v>0</v>
      </c>
      <c r="K76" s="155">
        <f>IF('AW Schulen'!$M196=0,"x",F76/'AW Schulen'!$M196)</f>
        <v>0</v>
      </c>
      <c r="L76" s="156">
        <f>IF('AW Schulen'!$P196=0,"x",G76/'AW Schulen'!$P196)</f>
        <v>0</v>
      </c>
    </row>
    <row r="77" spans="1:12" ht="9" customHeight="1">
      <c r="A77" s="21" t="s">
        <v>91</v>
      </c>
      <c r="B77" s="120"/>
      <c r="C77" s="23">
        <f>'2.2.8'!C77+'2.3.9'!C77</f>
        <v>13</v>
      </c>
      <c r="D77" s="23">
        <f>'2.2.8'!D77+'2.3.9'!D77</f>
        <v>13</v>
      </c>
      <c r="E77" s="23">
        <f>'2.2.8'!E77+'2.3.9'!E77</f>
        <v>14</v>
      </c>
      <c r="F77" s="23">
        <f>'2.2.8'!F77+'2.3.9'!F77</f>
        <v>15</v>
      </c>
      <c r="G77" s="34">
        <f>'2.2.8'!G77+'2.3.9'!G77</f>
        <v>14</v>
      </c>
      <c r="H77" s="155">
        <f>IF('AW Schulen'!$D197=0,"x",C77/'AW Schulen'!$D197)</f>
        <v>0.35135135135135137</v>
      </c>
      <c r="I77" s="155">
        <f>IF('AW Schulen'!$G197=0,"x",D77/'AW Schulen'!$G197)</f>
        <v>0.35135135135135137</v>
      </c>
      <c r="J77" s="155">
        <f>IF('AW Schulen'!$J197=0,"x",E77/'AW Schulen'!$J197)</f>
        <v>0.3783783783783784</v>
      </c>
      <c r="K77" s="155">
        <f>IF('AW Schulen'!$M197=0,"x",F77/'AW Schulen'!$M197)</f>
        <v>0.41666666666666669</v>
      </c>
      <c r="L77" s="156">
        <f>IF('AW Schulen'!$P197=0,"x",G77/'AW Schulen'!$P197)</f>
        <v>0.3888888888888889</v>
      </c>
    </row>
    <row r="78" spans="1:12" ht="9" customHeight="1">
      <c r="A78" s="21" t="s">
        <v>92</v>
      </c>
      <c r="B78" s="120"/>
      <c r="C78" s="23">
        <f>'2.2.8'!C78+'2.3.9'!C78</f>
        <v>85</v>
      </c>
      <c r="D78" s="23">
        <f>'2.2.8'!D78+'2.3.9'!D78</f>
        <v>89</v>
      </c>
      <c r="E78" s="23">
        <f>'2.2.8'!E78+'2.3.9'!E78</f>
        <v>81</v>
      </c>
      <c r="F78" s="23">
        <f>'2.2.8'!F78+'2.3.9'!F78</f>
        <v>79</v>
      </c>
      <c r="G78" s="34">
        <f>'2.2.8'!G78+'2.3.9'!G78</f>
        <v>76</v>
      </c>
      <c r="H78" s="155">
        <f>IF('AW Schulen'!$D198=0,"x",C78/'AW Schulen'!$D198)</f>
        <v>0.53797468354430378</v>
      </c>
      <c r="I78" s="155">
        <f>IF('AW Schulen'!$G198=0,"x",D78/'AW Schulen'!$G198)</f>
        <v>0.57051282051282048</v>
      </c>
      <c r="J78" s="155">
        <f>IF('AW Schulen'!$J198=0,"x",E78/'AW Schulen'!$J198)</f>
        <v>0.52258064516129032</v>
      </c>
      <c r="K78" s="155">
        <f>IF('AW Schulen'!$M198=0,"x",F78/'AW Schulen'!$M198)</f>
        <v>0.50641025641025639</v>
      </c>
      <c r="L78" s="156">
        <f>IF('AW Schulen'!$P198=0,"x",G78/'AW Schulen'!$P198)</f>
        <v>0.49032258064516127</v>
      </c>
    </row>
    <row r="79" spans="1:12" ht="9" customHeight="1">
      <c r="A79" s="21" t="s">
        <v>93</v>
      </c>
      <c r="B79" s="120"/>
      <c r="C79" s="23">
        <f>'2.2.8'!C79+'2.3.9'!C79</f>
        <v>111</v>
      </c>
      <c r="D79" s="23">
        <f>'2.2.8'!D79+'2.3.9'!D79</f>
        <v>110</v>
      </c>
      <c r="E79" s="23">
        <f>'2.2.8'!E79+'2.3.9'!E79</f>
        <v>98</v>
      </c>
      <c r="F79" s="23">
        <f>'2.2.8'!F79+'2.3.9'!F79</f>
        <v>96</v>
      </c>
      <c r="G79" s="34">
        <f>'2.2.8'!G79+'2.3.9'!G79</f>
        <v>94</v>
      </c>
      <c r="H79" s="183">
        <v>0</v>
      </c>
      <c r="I79" s="183">
        <v>0</v>
      </c>
      <c r="J79" s="183">
        <v>0</v>
      </c>
      <c r="K79" s="183">
        <v>0</v>
      </c>
      <c r="L79" s="197">
        <v>0</v>
      </c>
    </row>
    <row r="80" spans="1:12" ht="9" customHeight="1">
      <c r="A80" s="21" t="s">
        <v>94</v>
      </c>
      <c r="B80" s="120"/>
      <c r="C80" s="23">
        <f>'2.2.8'!C80+'2.3.9'!C80</f>
        <v>81</v>
      </c>
      <c r="D80" s="23">
        <f>'2.2.8'!D80+'2.3.9'!D80</f>
        <v>78</v>
      </c>
      <c r="E80" s="23">
        <f>'2.2.8'!E80+'2.3.9'!E80</f>
        <v>75</v>
      </c>
      <c r="F80" s="23">
        <f>'2.2.8'!F80+'2.3.9'!F80</f>
        <v>72</v>
      </c>
      <c r="G80" s="34">
        <f>'2.2.8'!G80+'2.3.9'!G80</f>
        <v>67</v>
      </c>
      <c r="H80" s="155">
        <f>IF('AW Schulen'!$D200=0,"x",C80/'AW Schulen'!$D200)</f>
        <v>0.6</v>
      </c>
      <c r="I80" s="155">
        <f>IF('AW Schulen'!$G200=0,"x",D80/'AW Schulen'!$G200)</f>
        <v>0.609375</v>
      </c>
      <c r="J80" s="155">
        <f>IF('AW Schulen'!$J200=0,"x",E80/'AW Schulen'!$J200)</f>
        <v>0.58139534883720934</v>
      </c>
      <c r="K80" s="155">
        <f>IF('AW Schulen'!$M200=0,"x",F80/'AW Schulen'!$M200)</f>
        <v>0.54545454545454541</v>
      </c>
      <c r="L80" s="156">
        <f>IF('AW Schulen'!$P200=0,"x",G80/'AW Schulen'!$P200)</f>
        <v>0.58771929824561409</v>
      </c>
    </row>
    <row r="81" spans="1:12" ht="9" customHeight="1">
      <c r="A81" s="21" t="s">
        <v>95</v>
      </c>
      <c r="B81" s="120"/>
      <c r="C81" s="23">
        <f>'2.2.8'!C81+'2.3.9'!C81</f>
        <v>0</v>
      </c>
      <c r="D81" s="23">
        <f>'2.2.8'!D81+'2.3.9'!D81</f>
        <v>0</v>
      </c>
      <c r="E81" s="23">
        <f>'2.2.8'!E81+'2.3.9'!E81</f>
        <v>0</v>
      </c>
      <c r="F81" s="23">
        <f>'2.2.8'!F81+'2.3.9'!F81</f>
        <v>0</v>
      </c>
      <c r="G81" s="34">
        <f>'2.2.8'!G81+'2.3.9'!G81</f>
        <v>0</v>
      </c>
      <c r="H81" s="155">
        <f>IF('AW Schulen'!$D201=0,"x",C81/'AW Schulen'!$D201)</f>
        <v>0</v>
      </c>
      <c r="I81" s="155">
        <f>IF('AW Schulen'!$G201=0,"x",D81/'AW Schulen'!$G201)</f>
        <v>0</v>
      </c>
      <c r="J81" s="155">
        <f>IF('AW Schulen'!$J201=0,"x",E81/'AW Schulen'!$J201)</f>
        <v>0</v>
      </c>
      <c r="K81" s="155">
        <f>IF('AW Schulen'!$M201=0,"x",F81/'AW Schulen'!$M201)</f>
        <v>0</v>
      </c>
      <c r="L81" s="156">
        <f>IF('AW Schulen'!$P201=0,"x",G81/'AW Schulen'!$P201)</f>
        <v>0</v>
      </c>
    </row>
    <row r="82" spans="1:12" ht="9" customHeight="1">
      <c r="A82" s="24" t="s">
        <v>96</v>
      </c>
      <c r="B82" s="121"/>
      <c r="C82" s="26">
        <f>'2.2.8'!C82+'2.3.9'!C82</f>
        <v>961</v>
      </c>
      <c r="D82" s="26">
        <f>'2.2.8'!D82+'2.3.9'!D82</f>
        <v>950</v>
      </c>
      <c r="E82" s="26">
        <f>'2.2.8'!E82+'2.3.9'!E82</f>
        <v>923</v>
      </c>
      <c r="F82" s="26">
        <f>'2.2.8'!F82+'2.3.9'!F82</f>
        <v>890</v>
      </c>
      <c r="G82" s="47">
        <f>'2.2.8'!G82+'2.3.9'!G82</f>
        <v>844</v>
      </c>
      <c r="H82" s="157">
        <f>IF('AW Schulen'!$D202=0,"x",C82/'AW Schulen'!$D202)</f>
        <v>0.30401771591268584</v>
      </c>
      <c r="I82" s="157">
        <f>IF('AW Schulen'!$G202=0,"x",D82/'AW Schulen'!$G202)</f>
        <v>0.30804150453955903</v>
      </c>
      <c r="J82" s="157">
        <f>IF('AW Schulen'!$J202=0,"x",E82/'AW Schulen'!$J202)</f>
        <v>0.30725699067909457</v>
      </c>
      <c r="K82" s="157">
        <f>IF('AW Schulen'!$M202=0,"x",F82/'AW Schulen'!$M202)</f>
        <v>0.30584192439862545</v>
      </c>
      <c r="L82" s="158">
        <f>IF('AW Schulen'!$P202=0,"x",G82/'AW Schulen'!$P202)</f>
        <v>0.30035587188612101</v>
      </c>
    </row>
    <row r="83" spans="1:12" ht="18.75" customHeight="1">
      <c r="A83" s="396" t="s">
        <v>312</v>
      </c>
      <c r="B83" s="396"/>
      <c r="C83" s="396"/>
      <c r="D83" s="396"/>
      <c r="E83" s="396"/>
      <c r="F83" s="396"/>
      <c r="G83" s="396"/>
      <c r="H83" s="396"/>
      <c r="I83" s="396"/>
      <c r="J83" s="396"/>
      <c r="K83" s="396"/>
      <c r="L83" s="396"/>
    </row>
    <row r="84" spans="1:12" ht="10.15" customHeight="1">
      <c r="A84" s="381" t="s">
        <v>202</v>
      </c>
      <c r="B84" s="381"/>
      <c r="C84" s="381"/>
      <c r="D84" s="381"/>
      <c r="E84" s="381"/>
      <c r="F84" s="381"/>
      <c r="G84" s="381"/>
      <c r="H84" s="381"/>
      <c r="I84" s="381"/>
      <c r="J84" s="381"/>
      <c r="K84" s="394"/>
      <c r="L84" s="394"/>
    </row>
    <row r="85" spans="1:12" ht="10.15" customHeight="1">
      <c r="A85" s="381"/>
      <c r="B85" s="381"/>
      <c r="C85" s="381"/>
      <c r="D85" s="381"/>
      <c r="E85" s="381"/>
      <c r="F85" s="381"/>
      <c r="G85" s="381"/>
      <c r="H85" s="381"/>
      <c r="I85" s="381"/>
      <c r="J85" s="381"/>
      <c r="K85" s="394"/>
      <c r="L85" s="394"/>
    </row>
    <row r="86" spans="1:12" ht="10.5" customHeight="1">
      <c r="A86" s="306" t="s">
        <v>221</v>
      </c>
    </row>
  </sheetData>
  <mergeCells count="9">
    <mergeCell ref="A1:L1"/>
    <mergeCell ref="A84:L85"/>
    <mergeCell ref="C9:G9"/>
    <mergeCell ref="H9:L9"/>
    <mergeCell ref="A11:L11"/>
    <mergeCell ref="A29:L29"/>
    <mergeCell ref="A47:L47"/>
    <mergeCell ref="A65:L65"/>
    <mergeCell ref="A83:L83"/>
  </mergeCells>
  <phoneticPr fontId="18" type="noConversion"/>
  <conditionalFormatting sqref="N25">
    <cfRule type="cellIs" dxfId="56"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M85"/>
  <sheetViews>
    <sheetView view="pageBreakPreview" topLeftCell="A49" zoomScale="170" zoomScaleNormal="140" zoomScaleSheetLayoutView="17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'2.1.9'!A1:G1+1</f>
        <v>15</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2.6" customHeight="1">
      <c r="A5" s="13" t="s">
        <v>21</v>
      </c>
      <c r="B5" s="39" t="s">
        <v>7</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E12" si="0">SUM(C30+C48+C66)</f>
        <v>356</v>
      </c>
      <c r="D12" s="42">
        <f t="shared" si="0"/>
        <v>358</v>
      </c>
      <c r="E12" s="42">
        <f t="shared" si="0"/>
        <v>414</v>
      </c>
      <c r="F12" s="42">
        <f t="shared" ref="F12:G12" si="1">SUM(F30+F48+F66)</f>
        <v>474</v>
      </c>
      <c r="G12" s="44">
        <f t="shared" si="1"/>
        <v>548</v>
      </c>
      <c r="H12" s="153">
        <f>IF('AW Schulen'!$B6=0,"x",C12/'AW Schulen'!$B6)</f>
        <v>0.14901632482210131</v>
      </c>
      <c r="I12" s="153">
        <f>IF('AW Schulen'!$E6=0,"x",D12/'AW Schulen'!$E6)</f>
        <v>0.1551798872995232</v>
      </c>
      <c r="J12" s="153">
        <f>IF('AW Schulen'!$H6=0,"x",E12/'AW Schulen'!$H6)</f>
        <v>0.18581687612208259</v>
      </c>
      <c r="K12" s="153">
        <f>IF('AW Schulen'!$K6=0,"x",F12/'AW Schulen'!$K6)</f>
        <v>0.21823204419889503</v>
      </c>
      <c r="L12" s="154">
        <f>IF('AW Schulen'!$N6=0,"x",G12/'AW Schulen'!$N6)</f>
        <v>0.2560747663551402</v>
      </c>
    </row>
    <row r="13" spans="1:13" ht="9" customHeight="1">
      <c r="A13" s="21" t="s">
        <v>81</v>
      </c>
      <c r="B13" s="120"/>
      <c r="C13" s="42">
        <f t="shared" ref="C13:D28" si="2">SUM(C31+C49+C67)</f>
        <v>555</v>
      </c>
      <c r="D13" s="42">
        <f t="shared" si="2"/>
        <v>506</v>
      </c>
      <c r="E13" s="42">
        <f t="shared" ref="E13:F13" si="3">SUM(E31+E49+E67)</f>
        <v>502</v>
      </c>
      <c r="F13" s="42">
        <f t="shared" si="3"/>
        <v>556</v>
      </c>
      <c r="G13" s="44">
        <f t="shared" ref="G13" si="4">SUM(G31+G49+G67)</f>
        <v>1506</v>
      </c>
      <c r="H13" s="153">
        <f>IF('AW Schulen'!$B7=0,"x",C13/'AW Schulen'!$B7)</f>
        <v>0.24492497793468668</v>
      </c>
      <c r="I13" s="153">
        <f>IF('AW Schulen'!$E7=0,"x",D13/'AW Schulen'!$E7)</f>
        <v>0.22389380530973452</v>
      </c>
      <c r="J13" s="153">
        <f>IF('AW Schulen'!$H7=0,"x",E13/'AW Schulen'!$H7)</f>
        <v>0.22232063773250665</v>
      </c>
      <c r="K13" s="153">
        <f>IF('AW Schulen'!$K7=0,"x",F13/'AW Schulen'!$K7)</f>
        <v>0.2462356067316209</v>
      </c>
      <c r="L13" s="154">
        <f>IF('AW Schulen'!$N7=0,"x",G13/'AW Schulen'!$N7)</f>
        <v>0.66696191319751996</v>
      </c>
    </row>
    <row r="14" spans="1:13" ht="9" customHeight="1">
      <c r="A14" s="21" t="s">
        <v>82</v>
      </c>
      <c r="B14" s="120"/>
      <c r="C14" s="42">
        <f t="shared" si="2"/>
        <v>362</v>
      </c>
      <c r="D14" s="42">
        <f t="shared" si="2"/>
        <v>362</v>
      </c>
      <c r="E14" s="42">
        <f t="shared" ref="E14:F14" si="5">SUM(E32+E50+E68)</f>
        <v>371</v>
      </c>
      <c r="F14" s="42">
        <f t="shared" si="5"/>
        <v>367</v>
      </c>
      <c r="G14" s="44">
        <f t="shared" ref="G14" si="6">SUM(G32+G50+G68)</f>
        <v>366</v>
      </c>
      <c r="H14" s="153">
        <f>IF('AW Schulen'!$B8=0,"x",C14/'AW Schulen'!$B8)</f>
        <v>1</v>
      </c>
      <c r="I14" s="153">
        <f>IF('AW Schulen'!$E8=0,"x",D14/'AW Schulen'!$E8)</f>
        <v>1</v>
      </c>
      <c r="J14" s="153">
        <f>IF('AW Schulen'!$H8=0,"x",E14/'AW Schulen'!$H8)</f>
        <v>1</v>
      </c>
      <c r="K14" s="153">
        <f>IF('AW Schulen'!$K8=0,"x",F14/'AW Schulen'!$K8)</f>
        <v>1</v>
      </c>
      <c r="L14" s="154">
        <f>IF('AW Schulen'!$N8=0,"x",G14/'AW Schulen'!$N8)</f>
        <v>0.99456521739130432</v>
      </c>
    </row>
    <row r="15" spans="1:13" ht="9" customHeight="1">
      <c r="A15" s="21" t="s">
        <v>83</v>
      </c>
      <c r="B15" s="120"/>
      <c r="C15" s="42">
        <f t="shared" si="2"/>
        <v>195</v>
      </c>
      <c r="D15" s="42">
        <f t="shared" si="2"/>
        <v>196</v>
      </c>
      <c r="E15" s="42">
        <f t="shared" ref="E15:F15" si="7">SUM(E33+E51+E69)</f>
        <v>197</v>
      </c>
      <c r="F15" s="42">
        <f t="shared" si="7"/>
        <v>195</v>
      </c>
      <c r="G15" s="44">
        <f t="shared" ref="G15" si="8">SUM(G33+G51+G69)</f>
        <v>198</v>
      </c>
      <c r="H15" s="153">
        <f>IF('AW Schulen'!$B9=0,"x",C15/'AW Schulen'!$B9)</f>
        <v>0.44018058690744921</v>
      </c>
      <c r="I15" s="153">
        <f>IF('AW Schulen'!$E9=0,"x",D15/'AW Schulen'!$E9)</f>
        <v>0.44444444444444442</v>
      </c>
      <c r="J15" s="153">
        <f>IF('AW Schulen'!$H9=0,"x",E15/'AW Schulen'!$H9)</f>
        <v>0.4497716894977169</v>
      </c>
      <c r="K15" s="153">
        <f>IF('AW Schulen'!$K9=0,"x",F15/'AW Schulen'!$K9)</f>
        <v>0.44622425629290619</v>
      </c>
      <c r="L15" s="154">
        <f>IF('AW Schulen'!$N9=0,"x",G15/'AW Schulen'!$N9)</f>
        <v>0.45102505694760819</v>
      </c>
    </row>
    <row r="16" spans="1:13" ht="9" customHeight="1">
      <c r="A16" s="21" t="s">
        <v>84</v>
      </c>
      <c r="B16" s="120"/>
      <c r="C16" s="42">
        <f t="shared" si="2"/>
        <v>38</v>
      </c>
      <c r="D16" s="42">
        <f t="shared" si="2"/>
        <v>38</v>
      </c>
      <c r="E16" s="42">
        <f t="shared" ref="E16:F16" si="9">SUM(E34+E52+E70)</f>
        <v>39</v>
      </c>
      <c r="F16" s="42">
        <f t="shared" si="9"/>
        <v>44</v>
      </c>
      <c r="G16" s="44">
        <f t="shared" ref="G16" si="10">SUM(G34+G52+G70)</f>
        <v>46</v>
      </c>
      <c r="H16" s="153">
        <f>IF('AW Schulen'!$B10=0,"x",C16/'AW Schulen'!$B10)</f>
        <v>0.4175824175824176</v>
      </c>
      <c r="I16" s="153">
        <f>IF('AW Schulen'!$E10=0,"x",D16/'AW Schulen'!$E10)</f>
        <v>0.42222222222222222</v>
      </c>
      <c r="J16" s="153">
        <f>IF('AW Schulen'!$H10=0,"x",E16/'AW Schulen'!$H10)</f>
        <v>0.43333333333333335</v>
      </c>
      <c r="K16" s="153">
        <f>IF('AW Schulen'!$K10=0,"x",F16/'AW Schulen'!$K10)</f>
        <v>0.48888888888888887</v>
      </c>
      <c r="L16" s="154">
        <f>IF('AW Schulen'!$N10=0,"x",G16/'AW Schulen'!$N10)</f>
        <v>0.50549450549450547</v>
      </c>
    </row>
    <row r="17" spans="1:12" ht="9" customHeight="1">
      <c r="A17" s="21" t="s">
        <v>85</v>
      </c>
      <c r="B17" s="120"/>
      <c r="C17" s="42">
        <f t="shared" si="2"/>
        <v>124</v>
      </c>
      <c r="D17" s="42">
        <f t="shared" si="2"/>
        <v>188</v>
      </c>
      <c r="E17" s="42">
        <f t="shared" ref="E17:F17" si="11">SUM(E35+E53+E71)</f>
        <v>189</v>
      </c>
      <c r="F17" s="42">
        <f t="shared" si="11"/>
        <v>190</v>
      </c>
      <c r="G17" s="44">
        <f t="shared" ref="G17" si="12">SUM(G35+G53+G71)</f>
        <v>190</v>
      </c>
      <c r="H17" s="153">
        <f>IF('AW Schulen'!$B11=0,"x",C17/'AW Schulen'!$B11)</f>
        <v>0.64583333333333337</v>
      </c>
      <c r="I17" s="153">
        <f>IF('AW Schulen'!$E11=0,"x",D17/'AW Schulen'!$E11)</f>
        <v>0.98947368421052628</v>
      </c>
      <c r="J17" s="153">
        <f>IF('AW Schulen'!$H11=0,"x",E17/'AW Schulen'!$H11)</f>
        <v>0.99473684210526314</v>
      </c>
      <c r="K17" s="153">
        <f>IF('AW Schulen'!$K11=0,"x",F17/'AW Schulen'!$K11)</f>
        <v>1</v>
      </c>
      <c r="L17" s="154">
        <f>IF('AW Schulen'!$N11=0,"x",G17/'AW Schulen'!$N11)</f>
        <v>0.99476439790575921</v>
      </c>
    </row>
    <row r="18" spans="1:12" ht="9" customHeight="1">
      <c r="A18" s="21" t="s">
        <v>86</v>
      </c>
      <c r="B18" s="120"/>
      <c r="C18" s="42">
        <f t="shared" si="2"/>
        <v>364</v>
      </c>
      <c r="D18" s="42">
        <f t="shared" si="2"/>
        <v>425</v>
      </c>
      <c r="E18" s="42">
        <f t="shared" ref="E18:F18" si="13">SUM(E36+E54+E72)</f>
        <v>458</v>
      </c>
      <c r="F18" s="42">
        <f t="shared" si="13"/>
        <v>509</v>
      </c>
      <c r="G18" s="44">
        <f t="shared" ref="G18" si="14">SUM(G36+G54+G72)</f>
        <v>564</v>
      </c>
      <c r="H18" s="153">
        <f>IF('AW Schulen'!$B12=0,"x",C18/'AW Schulen'!$B12)</f>
        <v>0.32298136645962733</v>
      </c>
      <c r="I18" s="153">
        <f>IF('AW Schulen'!$E12=0,"x",D18/'AW Schulen'!$E12)</f>
        <v>0.3811659192825112</v>
      </c>
      <c r="J18" s="153">
        <f>IF('AW Schulen'!$H12=0,"x",E18/'AW Schulen'!$H12)</f>
        <v>0.41076233183856503</v>
      </c>
      <c r="K18" s="153">
        <f>IF('AW Schulen'!$K12=0,"x",F18/'AW Schulen'!$K12)</f>
        <v>0.46105072463768115</v>
      </c>
      <c r="L18" s="154">
        <f>IF('AW Schulen'!$N12=0,"x",G18/'AW Schulen'!$N12)</f>
        <v>0.5122615803814714</v>
      </c>
    </row>
    <row r="19" spans="1:12" ht="9" customHeight="1">
      <c r="A19" s="21" t="s">
        <v>87</v>
      </c>
      <c r="B19" s="120"/>
      <c r="C19" s="42">
        <f t="shared" si="2"/>
        <v>1</v>
      </c>
      <c r="D19" s="42">
        <f t="shared" si="2"/>
        <v>2</v>
      </c>
      <c r="E19" s="42">
        <f t="shared" ref="E19:F19" si="15">SUM(E37+E55+E73)</f>
        <v>0</v>
      </c>
      <c r="F19" s="42">
        <f t="shared" si="15"/>
        <v>0</v>
      </c>
      <c r="G19" s="44">
        <f t="shared" ref="G19" si="16">SUM(G37+G55+G73)</f>
        <v>0</v>
      </c>
      <c r="H19" s="153">
        <f>IF('AW Schulen'!$B13=0,"x",C19/'AW Schulen'!$B13)</f>
        <v>3.6764705882352941E-3</v>
      </c>
      <c r="I19" s="153">
        <f>IF('AW Schulen'!$E13=0,"x",D19/'AW Schulen'!$E13)</f>
        <v>7.3800738007380072E-3</v>
      </c>
      <c r="J19" s="153">
        <f>IF('AW Schulen'!$H13=0,"x",E19/'AW Schulen'!$H13)</f>
        <v>0</v>
      </c>
      <c r="K19" s="153">
        <f>IF('AW Schulen'!$K13=0,"x",F19/'AW Schulen'!$K13)</f>
        <v>0</v>
      </c>
      <c r="L19" s="154">
        <f>IF('AW Schulen'!$N13=0,"x",G19/'AW Schulen'!$N13)</f>
        <v>0</v>
      </c>
    </row>
    <row r="20" spans="1:12" ht="9" customHeight="1">
      <c r="A20" s="21" t="s">
        <v>88</v>
      </c>
      <c r="B20" s="120"/>
      <c r="C20" s="42">
        <f t="shared" si="2"/>
        <v>675</v>
      </c>
      <c r="D20" s="42">
        <f t="shared" si="2"/>
        <v>776</v>
      </c>
      <c r="E20" s="42">
        <f t="shared" ref="E20:F20" si="17">SUM(E38+E56+E74)</f>
        <v>846</v>
      </c>
      <c r="F20" s="42">
        <f t="shared" si="17"/>
        <v>899</v>
      </c>
      <c r="G20" s="44">
        <f t="shared" ref="G20" si="18">SUM(G38+G56+G74)</f>
        <v>958</v>
      </c>
      <c r="H20" s="153">
        <f>IF('AW Schulen'!$B14=0,"x",C20/'AW Schulen'!$B14)</f>
        <v>0.38615560640732266</v>
      </c>
      <c r="I20" s="153">
        <f>IF('AW Schulen'!$E14=0,"x",D20/'AW Schulen'!$E14)</f>
        <v>0.44959443800695248</v>
      </c>
      <c r="J20" s="153">
        <f>IF('AW Schulen'!$H14=0,"x",E20/'AW Schulen'!$H14)</f>
        <v>0.49589683470105511</v>
      </c>
      <c r="K20" s="153">
        <f>IF('AW Schulen'!$K14=0,"x",F20/'AW Schulen'!$K14)</f>
        <v>0.53101004134672181</v>
      </c>
      <c r="L20" s="154">
        <f>IF('AW Schulen'!$N14=0,"x",G20/'AW Schulen'!$N14)</f>
        <v>0.57228195937873361</v>
      </c>
    </row>
    <row r="21" spans="1:12" ht="9" customHeight="1">
      <c r="A21" s="21" t="s">
        <v>89</v>
      </c>
      <c r="B21" s="120"/>
      <c r="C21" s="42">
        <f t="shared" si="2"/>
        <v>2664</v>
      </c>
      <c r="D21" s="42">
        <f t="shared" si="2"/>
        <v>2624</v>
      </c>
      <c r="E21" s="42">
        <f t="shared" ref="E21:F21" si="19">SUM(E39+E57+E75)</f>
        <v>2596</v>
      </c>
      <c r="F21" s="42">
        <f t="shared" si="19"/>
        <v>2585</v>
      </c>
      <c r="G21" s="44">
        <f t="shared" ref="G21" si="20">SUM(G39+G57+G75)</f>
        <v>2570</v>
      </c>
      <c r="H21" s="153">
        <f>IF('AW Schulen'!$B15=0,"x",C21/'AW Schulen'!$B15)</f>
        <v>0.89456010745466752</v>
      </c>
      <c r="I21" s="153">
        <f>IF('AW Schulen'!$E15=0,"x",D21/'AW Schulen'!$E15)</f>
        <v>0.90764441369768245</v>
      </c>
      <c r="J21" s="153">
        <f>IF('AW Schulen'!$H15=0,"x",E21/'AW Schulen'!$H15)</f>
        <v>0.91828793774319062</v>
      </c>
      <c r="K21" s="153">
        <f>IF('AW Schulen'!$K15=0,"x",F21/'AW Schulen'!$K15)</f>
        <v>0.92785355348169418</v>
      </c>
      <c r="L21" s="154">
        <f>IF('AW Schulen'!$N15=0,"x",G21/'AW Schulen'!$N15)</f>
        <v>0.93454545454545457</v>
      </c>
    </row>
    <row r="22" spans="1:12" ht="9" customHeight="1">
      <c r="A22" s="21" t="s">
        <v>90</v>
      </c>
      <c r="B22" s="120"/>
      <c r="C22" s="42">
        <f t="shared" si="2"/>
        <v>616</v>
      </c>
      <c r="D22" s="42">
        <f t="shared" si="2"/>
        <v>616</v>
      </c>
      <c r="E22" s="42">
        <f t="shared" ref="E22:F22" si="21">SUM(E40+E58+E76)</f>
        <v>630</v>
      </c>
      <c r="F22" s="42">
        <f t="shared" si="21"/>
        <v>648</v>
      </c>
      <c r="G22" s="44">
        <f t="shared" ref="G22" si="22">SUM(G40+G58+G76)</f>
        <v>679</v>
      </c>
      <c r="H22" s="153">
        <f>IF('AW Schulen'!$B16=0,"x",C22/'AW Schulen'!$B16)</f>
        <v>0.64978902953586493</v>
      </c>
      <c r="I22" s="153">
        <f>IF('AW Schulen'!$E16=0,"x",D22/'AW Schulen'!$E16)</f>
        <v>0.64978902953586493</v>
      </c>
      <c r="J22" s="153">
        <f>IF('AW Schulen'!$H16=0,"x",E22/'AW Schulen'!$H16)</f>
        <v>0.66666666666666663</v>
      </c>
      <c r="K22" s="153">
        <f>IF('AW Schulen'!$K16=0,"x",F22/'AW Schulen'!$K16)</f>
        <v>0.68862911795961745</v>
      </c>
      <c r="L22" s="154">
        <f>IF('AW Schulen'!$N16=0,"x",G22/'AW Schulen'!$N16)</f>
        <v>0.72234042553191491</v>
      </c>
    </row>
    <row r="23" spans="1:12" ht="9" customHeight="1">
      <c r="A23" s="21" t="s">
        <v>91</v>
      </c>
      <c r="B23" s="120"/>
      <c r="C23" s="42">
        <f t="shared" si="2"/>
        <v>151</v>
      </c>
      <c r="D23" s="42">
        <f t="shared" si="2"/>
        <v>152</v>
      </c>
      <c r="E23" s="42">
        <f t="shared" ref="E23:F23" si="23">SUM(E41+E59+E77)</f>
        <v>152</v>
      </c>
      <c r="F23" s="42">
        <f t="shared" si="23"/>
        <v>152</v>
      </c>
      <c r="G23" s="44">
        <f t="shared" ref="G23" si="24">SUM(G41+G59+G77)</f>
        <v>152</v>
      </c>
      <c r="H23" s="153">
        <f>IF('AW Schulen'!$B17=0,"x",C23/'AW Schulen'!$B17)</f>
        <v>0.97419354838709682</v>
      </c>
      <c r="I23" s="153">
        <f>IF('AW Schulen'!$E17=0,"x",D23/'AW Schulen'!$E17)</f>
        <v>0.98064516129032253</v>
      </c>
      <c r="J23" s="153">
        <f>IF('AW Schulen'!$H17=0,"x",E23/'AW Schulen'!$H17)</f>
        <v>0.98064516129032253</v>
      </c>
      <c r="K23" s="153">
        <f>IF('AW Schulen'!$K17=0,"x",F23/'AW Schulen'!$K17)</f>
        <v>0.98064516129032253</v>
      </c>
      <c r="L23" s="154">
        <f>IF('AW Schulen'!$N17=0,"x",G23/'AW Schulen'!$N17)</f>
        <v>0.98064516129032253</v>
      </c>
    </row>
    <row r="24" spans="1:12" ht="9" customHeight="1">
      <c r="A24" s="21" t="s">
        <v>92</v>
      </c>
      <c r="B24" s="120"/>
      <c r="C24" s="42">
        <f t="shared" si="2"/>
        <v>755</v>
      </c>
      <c r="D24" s="42">
        <f t="shared" si="2"/>
        <v>746</v>
      </c>
      <c r="E24" s="42">
        <f t="shared" ref="E24:F24" si="25">SUM(E42+E60+E78)</f>
        <v>746</v>
      </c>
      <c r="F24" s="42">
        <f t="shared" si="25"/>
        <v>746</v>
      </c>
      <c r="G24" s="44">
        <f t="shared" ref="G24" si="26">SUM(G42+G60+G78)</f>
        <v>746</v>
      </c>
      <c r="H24" s="153">
        <f>IF('AW Schulen'!$B18=0,"x",C24/'AW Schulen'!$B18)</f>
        <v>1</v>
      </c>
      <c r="I24" s="153">
        <f>IF('AW Schulen'!$E18=0,"x",D24/'AW Schulen'!$E18)</f>
        <v>1</v>
      </c>
      <c r="J24" s="153">
        <f>IF('AW Schulen'!$H18=0,"x",E24/'AW Schulen'!$H18)</f>
        <v>1</v>
      </c>
      <c r="K24" s="153">
        <f>IF('AW Schulen'!$K18=0,"x",F24/'AW Schulen'!$K18)</f>
        <v>1</v>
      </c>
      <c r="L24" s="154">
        <f>IF('AW Schulen'!$N18=0,"x",G24/'AW Schulen'!$N18)</f>
        <v>1</v>
      </c>
    </row>
    <row r="25" spans="1:12" ht="9" customHeight="1">
      <c r="A25" s="21" t="s">
        <v>93</v>
      </c>
      <c r="B25" s="120"/>
      <c r="C25" s="42">
        <f t="shared" si="2"/>
        <v>18</v>
      </c>
      <c r="D25" s="42">
        <f t="shared" si="2"/>
        <v>18</v>
      </c>
      <c r="E25" s="42">
        <f t="shared" ref="E25:F25" si="27">SUM(E43+E61+E79)</f>
        <v>18</v>
      </c>
      <c r="F25" s="42">
        <f t="shared" si="27"/>
        <v>18</v>
      </c>
      <c r="G25" s="44">
        <f t="shared" ref="G25" si="28">SUM(G43+G61+G79)</f>
        <v>311</v>
      </c>
      <c r="H25" s="153">
        <f>IF('AW Schulen'!$B19=0,"x",C25/'AW Schulen'!$B19)</f>
        <v>3.6072144288577156E-2</v>
      </c>
      <c r="I25" s="153">
        <f>IF('AW Schulen'!$E19=0,"x",D25/'AW Schulen'!$E19)</f>
        <v>3.6659877800407331E-2</v>
      </c>
      <c r="J25" s="153">
        <f>IF('AW Schulen'!$H19=0,"x",E25/'AW Schulen'!$H19)</f>
        <v>3.9045553145336226E-2</v>
      </c>
      <c r="K25" s="153">
        <f>IF('AW Schulen'!$K19=0,"x",F25/'AW Schulen'!$K19)</f>
        <v>3.9735099337748346E-2</v>
      </c>
      <c r="L25" s="154">
        <f>IF('AW Schulen'!$N19=0,"x",G25/'AW Schulen'!$N19)</f>
        <v>0.69265033407572385</v>
      </c>
    </row>
    <row r="26" spans="1:12" ht="9" customHeight="1">
      <c r="A26" s="21" t="s">
        <v>94</v>
      </c>
      <c r="B26" s="120"/>
      <c r="C26" s="42">
        <f t="shared" si="2"/>
        <v>230</v>
      </c>
      <c r="D26" s="42">
        <f t="shared" si="2"/>
        <v>246</v>
      </c>
      <c r="E26" s="42">
        <f t="shared" ref="E26:F26" si="29">SUM(E44+E62+E80)</f>
        <v>262</v>
      </c>
      <c r="F26" s="42">
        <f t="shared" si="29"/>
        <v>323</v>
      </c>
      <c r="G26" s="44">
        <f t="shared" ref="G26" si="30">SUM(G44+G62+G80)</f>
        <v>376</v>
      </c>
      <c r="H26" s="153">
        <f>IF('AW Schulen'!$B20=0,"x",C26/'AW Schulen'!$B20)</f>
        <v>0.47131147540983609</v>
      </c>
      <c r="I26" s="153">
        <f>IF('AW Schulen'!$E20=0,"x",D26/'AW Schulen'!$E20)</f>
        <v>0.51037344398340245</v>
      </c>
      <c r="J26" s="153">
        <f>IF('AW Schulen'!$H20=0,"x",E26/'AW Schulen'!$H20)</f>
        <v>0.54926624737945495</v>
      </c>
      <c r="K26" s="153">
        <f>IF('AW Schulen'!$K20=0,"x",F26/'AW Schulen'!$K20)</f>
        <v>0.6014897579143389</v>
      </c>
      <c r="L26" s="154">
        <f>IF('AW Schulen'!$N20=0,"x",G26/'AW Schulen'!$N20)</f>
        <v>0.62251655629139069</v>
      </c>
    </row>
    <row r="27" spans="1:12" ht="9" customHeight="1">
      <c r="A27" s="21" t="s">
        <v>95</v>
      </c>
      <c r="B27" s="120"/>
      <c r="C27" s="42">
        <f t="shared" si="2"/>
        <v>429</v>
      </c>
      <c r="D27" s="42">
        <f t="shared" si="2"/>
        <v>428</v>
      </c>
      <c r="E27" s="42">
        <f t="shared" ref="E27:F27" si="31">SUM(E45+E63+E81)</f>
        <v>427</v>
      </c>
      <c r="F27" s="42">
        <f t="shared" si="31"/>
        <v>421</v>
      </c>
      <c r="G27" s="44">
        <f t="shared" ref="G27" si="32">SUM(G45+G63+G81)</f>
        <v>413</v>
      </c>
      <c r="H27" s="153">
        <f>IF('AW Schulen'!$B21=0,"x",C27/'AW Schulen'!$B21)</f>
        <v>1</v>
      </c>
      <c r="I27" s="153">
        <f>IF('AW Schulen'!$E21=0,"x",D27/'AW Schulen'!$E21)</f>
        <v>1</v>
      </c>
      <c r="J27" s="153">
        <f>IF('AW Schulen'!$H21=0,"x",E27/'AW Schulen'!$H21)</f>
        <v>1</v>
      </c>
      <c r="K27" s="153">
        <f>IF('AW Schulen'!$K21=0,"x",F27/'AW Schulen'!$K21)</f>
        <v>1</v>
      </c>
      <c r="L27" s="154">
        <f>IF('AW Schulen'!$N21=0,"x",G27/'AW Schulen'!$N21)</f>
        <v>1</v>
      </c>
    </row>
    <row r="28" spans="1:12" ht="9" customHeight="1">
      <c r="A28" s="21" t="s">
        <v>96</v>
      </c>
      <c r="B28" s="120"/>
      <c r="C28" s="42">
        <f t="shared" si="2"/>
        <v>7533</v>
      </c>
      <c r="D28" s="42">
        <f t="shared" si="2"/>
        <v>7681</v>
      </c>
      <c r="E28" s="42">
        <f t="shared" ref="E28:F28" si="33">SUM(E46+E64+E82)</f>
        <v>7847</v>
      </c>
      <c r="F28" s="42">
        <f t="shared" si="33"/>
        <v>8127</v>
      </c>
      <c r="G28" s="44">
        <f t="shared" ref="G28" si="34">SUM(G46+G64+G82)</f>
        <v>9623</v>
      </c>
      <c r="H28" s="153">
        <f>IF('AW Schulen'!$B22=0,"x",C28/'AW Schulen'!$B22)</f>
        <v>0.49749042398626336</v>
      </c>
      <c r="I28" s="153">
        <f>IF('AW Schulen'!$E22=0,"x",D28/'AW Schulen'!$E22)</f>
        <v>0.51539958397638064</v>
      </c>
      <c r="J28" s="153">
        <f>IF('AW Schulen'!$H22=0,"x",E28/'AW Schulen'!$H22)</f>
        <v>0.53362801768106083</v>
      </c>
      <c r="K28" s="153">
        <f>IF('AW Schulen'!$K22=0,"x",F28/'AW Schulen'!$K22)</f>
        <v>0.55588235294117649</v>
      </c>
      <c r="L28" s="154">
        <f>IF('AW Schulen'!$N22=0,"x",G28/'AW Schulen'!$N22)</f>
        <v>0.65965176857691254</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[1]GtS!$F$9</f>
        <v>42</v>
      </c>
      <c r="D30" s="23">
        <f>[2]GtS!$F$9</f>
        <v>43</v>
      </c>
      <c r="E30" s="23">
        <f>[3]GtS!$F$9</f>
        <v>41</v>
      </c>
      <c r="F30" s="23">
        <f>[4]GtS!$F$9</f>
        <v>44</v>
      </c>
      <c r="G30" s="34">
        <f>[5]GtS!$F$9</f>
        <v>47</v>
      </c>
      <c r="H30" s="155">
        <f>IF('AW Schulen'!$B6=0,"x",C30/'AW Schulen'!$B6)</f>
        <v>1.7580577647551276E-2</v>
      </c>
      <c r="I30" s="155">
        <f>IF('AW Schulen'!$E6=0,"x",D30/'AW Schulen'!$E6)</f>
        <v>1.8638925010836586E-2</v>
      </c>
      <c r="J30" s="155">
        <f>IF('AW Schulen'!$H6=0,"x",E30/'AW Schulen'!$H6)</f>
        <v>1.8402154398563735E-2</v>
      </c>
      <c r="K30" s="155">
        <f>IF('AW Schulen'!$K6=0,"x",F30/'AW Schulen'!$K6)</f>
        <v>2.0257826887661142E-2</v>
      </c>
      <c r="L30" s="156">
        <f>IF('AW Schulen'!$N6=0,"x",G30/'AW Schulen'!$N6)</f>
        <v>2.1962616822429906E-2</v>
      </c>
    </row>
    <row r="31" spans="1:12" ht="9" customHeight="1">
      <c r="A31" s="21" t="s">
        <v>81</v>
      </c>
      <c r="B31" s="120"/>
      <c r="C31" s="23">
        <f>[6]GtS!$F$9</f>
        <v>0</v>
      </c>
      <c r="D31" s="23">
        <f>[7]GtS!$F$9</f>
        <v>0</v>
      </c>
      <c r="E31" s="23">
        <f>[8]GtS!$F$9</f>
        <v>0</v>
      </c>
      <c r="F31" s="23">
        <f>[9]GtS!$F$9</f>
        <v>1</v>
      </c>
      <c r="G31" s="34">
        <f>[10]GtS!$F$9</f>
        <v>2</v>
      </c>
      <c r="H31" s="155">
        <f>IF('AW Schulen'!$B7=0,"x",C31/'AW Schulen'!$B7)</f>
        <v>0</v>
      </c>
      <c r="I31" s="155">
        <f>IF('AW Schulen'!$E7=0,"x",D31/'AW Schulen'!$E7)</f>
        <v>0</v>
      </c>
      <c r="J31" s="155">
        <f>IF('AW Schulen'!$H7=0,"x",E31/'AW Schulen'!$H7)</f>
        <v>0</v>
      </c>
      <c r="K31" s="155">
        <f>IF('AW Schulen'!$K7=0,"x",F31/'AW Schulen'!$K7)</f>
        <v>4.4286979627989372E-4</v>
      </c>
      <c r="L31" s="156">
        <f>IF('AW Schulen'!$N7=0,"x",G31/'AW Schulen'!$N7)</f>
        <v>8.8573959255978745E-4</v>
      </c>
    </row>
    <row r="32" spans="1:12" ht="9" customHeight="1">
      <c r="A32" s="21" t="s">
        <v>82</v>
      </c>
      <c r="B32" s="120"/>
      <c r="C32" s="23">
        <f>[11]GtS!$F$9</f>
        <v>44</v>
      </c>
      <c r="D32" s="23">
        <f>[12]GtS!$F$9</f>
        <v>45</v>
      </c>
      <c r="E32" s="23">
        <f>[13]GtS!$F$9</f>
        <v>45</v>
      </c>
      <c r="F32" s="23">
        <f>[14]GtS!$F$9</f>
        <v>38</v>
      </c>
      <c r="G32" s="34">
        <f>[15]GtS!$F$9</f>
        <v>46</v>
      </c>
      <c r="H32" s="155">
        <f>IF('AW Schulen'!$B8=0,"x",C32/'AW Schulen'!$B8)</f>
        <v>0.12154696132596685</v>
      </c>
      <c r="I32" s="155">
        <f>IF('AW Schulen'!$E8=0,"x",D32/'AW Schulen'!$E8)</f>
        <v>0.12430939226519337</v>
      </c>
      <c r="J32" s="155">
        <f>IF('AW Schulen'!$H8=0,"x",E32/'AW Schulen'!$H8)</f>
        <v>0.12129380053908356</v>
      </c>
      <c r="K32" s="155">
        <f>IF('AW Schulen'!$K8=0,"x",F32/'AW Schulen'!$K8)</f>
        <v>0.10354223433242507</v>
      </c>
      <c r="L32" s="156">
        <f>IF('AW Schulen'!$N8=0,"x",G32/'AW Schulen'!$N8)</f>
        <v>0.125</v>
      </c>
    </row>
    <row r="33" spans="1:12" ht="9" customHeight="1">
      <c r="A33" s="21" t="s">
        <v>83</v>
      </c>
      <c r="B33" s="120"/>
      <c r="C33" s="23">
        <f>[16]GtS!$F$9</f>
        <v>0</v>
      </c>
      <c r="D33" s="23">
        <f>[17]GtS!$F$9</f>
        <v>0</v>
      </c>
      <c r="E33" s="23">
        <f>[18]GtS!$F$9</f>
        <v>0</v>
      </c>
      <c r="F33" s="23">
        <f>[19]GtS!$F$9</f>
        <v>0</v>
      </c>
      <c r="G33" s="34">
        <f>[20]GtS!$F$9</f>
        <v>0</v>
      </c>
      <c r="H33" s="155">
        <f>IF('AW Schulen'!$B9=0,"x",C33/'AW Schulen'!$B9)</f>
        <v>0</v>
      </c>
      <c r="I33" s="155">
        <f>IF('AW Schulen'!$E9=0,"x",D33/'AW Schulen'!$E9)</f>
        <v>0</v>
      </c>
      <c r="J33" s="155">
        <f>IF('AW Schulen'!$H9=0,"x",E33/'AW Schulen'!$H9)</f>
        <v>0</v>
      </c>
      <c r="K33" s="155">
        <f>IF('AW Schulen'!$K9=0,"x",F33/'AW Schulen'!$K9)</f>
        <v>0</v>
      </c>
      <c r="L33" s="156">
        <f>IF('AW Schulen'!$N9=0,"x",G33/'AW Schulen'!$N9)</f>
        <v>0</v>
      </c>
    </row>
    <row r="34" spans="1:12" ht="9" customHeight="1">
      <c r="A34" s="21" t="s">
        <v>84</v>
      </c>
      <c r="B34" s="120"/>
      <c r="C34" s="23">
        <f>[21]GtS!$F$9</f>
        <v>24</v>
      </c>
      <c r="D34" s="23">
        <f>[22]GtS!$F$9</f>
        <v>24</v>
      </c>
      <c r="E34" s="23">
        <f>[23]GtS!$F$9</f>
        <v>25</v>
      </c>
      <c r="F34" s="23">
        <f>[24]GtS!$F$9</f>
        <v>26</v>
      </c>
      <c r="G34" s="34">
        <f>[25]GtS!$F$9</f>
        <v>27</v>
      </c>
      <c r="H34" s="155">
        <f>IF('AW Schulen'!$B10=0,"x",C34/'AW Schulen'!$B10)</f>
        <v>0.26373626373626374</v>
      </c>
      <c r="I34" s="155">
        <f>IF('AW Schulen'!$E10=0,"x",D34/'AW Schulen'!$E10)</f>
        <v>0.26666666666666666</v>
      </c>
      <c r="J34" s="155">
        <f>IF('AW Schulen'!$H10=0,"x",E34/'AW Schulen'!$H10)</f>
        <v>0.27777777777777779</v>
      </c>
      <c r="K34" s="155">
        <f>IF('AW Schulen'!$K10=0,"x",F34/'AW Schulen'!$K10)</f>
        <v>0.28888888888888886</v>
      </c>
      <c r="L34" s="156">
        <f>IF('AW Schulen'!$N10=0,"x",G34/'AW Schulen'!$N10)</f>
        <v>0.2967032967032967</v>
      </c>
    </row>
    <row r="35" spans="1:12" ht="9" customHeight="1">
      <c r="A35" s="21" t="s">
        <v>85</v>
      </c>
      <c r="B35" s="120"/>
      <c r="C35" s="23">
        <f>[26]GtS!$F$9</f>
        <v>28</v>
      </c>
      <c r="D35" s="23">
        <f>[27]GtS!$F$9</f>
        <v>26</v>
      </c>
      <c r="E35" s="23">
        <f>[28]GtS!$F$9</f>
        <v>27</v>
      </c>
      <c r="F35" s="23">
        <f>[29]GtS!$F$9</f>
        <v>25</v>
      </c>
      <c r="G35" s="34">
        <f>[30]GtS!$F$9</f>
        <v>30</v>
      </c>
      <c r="H35" s="155">
        <f>IF('AW Schulen'!$B11=0,"x",C35/'AW Schulen'!$B11)</f>
        <v>0.14583333333333334</v>
      </c>
      <c r="I35" s="155">
        <f>IF('AW Schulen'!$E11=0,"x",D35/'AW Schulen'!$E11)</f>
        <v>0.1368421052631579</v>
      </c>
      <c r="J35" s="155">
        <f>IF('AW Schulen'!$H11=0,"x",E35/'AW Schulen'!$H11)</f>
        <v>0.14210526315789473</v>
      </c>
      <c r="K35" s="155">
        <f>IF('AW Schulen'!$K11=0,"x",F35/'AW Schulen'!$K11)</f>
        <v>0.13157894736842105</v>
      </c>
      <c r="L35" s="156">
        <f>IF('AW Schulen'!$N11=0,"x",G35/'AW Schulen'!$N11)</f>
        <v>0.15706806282722513</v>
      </c>
    </row>
    <row r="36" spans="1:12" ht="9" customHeight="1">
      <c r="A36" s="21" t="s">
        <v>86</v>
      </c>
      <c r="B36" s="120"/>
      <c r="C36" s="23">
        <f>[66]GtS!$F$9</f>
        <v>6</v>
      </c>
      <c r="D36" s="23">
        <f>[67]GtS!$F$9</f>
        <v>6</v>
      </c>
      <c r="E36" s="23">
        <f>[68]GtS!$F$9</f>
        <v>6</v>
      </c>
      <c r="F36" s="23">
        <f>[69]GtS!$F$9</f>
        <v>8</v>
      </c>
      <c r="G36" s="34">
        <f>[70]GtS!$F$9</f>
        <v>12</v>
      </c>
      <c r="H36" s="155">
        <f>IF('AW Schulen'!$B12=0,"x",C36/'AW Schulen'!$B12)</f>
        <v>5.3238686779059448E-3</v>
      </c>
      <c r="I36" s="155">
        <f>IF('AW Schulen'!$E12=0,"x",D36/'AW Schulen'!$E12)</f>
        <v>5.3811659192825115E-3</v>
      </c>
      <c r="J36" s="155">
        <f>IF('AW Schulen'!$H12=0,"x",E36/'AW Schulen'!$H12)</f>
        <v>5.3811659192825115E-3</v>
      </c>
      <c r="K36" s="155">
        <f>IF('AW Schulen'!$K12=0,"x",F36/'AW Schulen'!$K12)</f>
        <v>7.246376811594203E-3</v>
      </c>
      <c r="L36" s="156">
        <f>IF('AW Schulen'!$N12=0,"x",G36/'AW Schulen'!$N12)</f>
        <v>1.0899182561307902E-2</v>
      </c>
    </row>
    <row r="37" spans="1:12" ht="9" customHeight="1">
      <c r="A37" s="21" t="s">
        <v>87</v>
      </c>
      <c r="B37" s="120"/>
      <c r="C37" s="23">
        <f>[31]GtS!$F$9</f>
        <v>0</v>
      </c>
      <c r="D37" s="23">
        <f>[32]GtS!$F$9</f>
        <v>0</v>
      </c>
      <c r="E37" s="23">
        <f>[33]GtS!$F$9</f>
        <v>0</v>
      </c>
      <c r="F37" s="23">
        <f>[34]GtS!$F$9</f>
        <v>0</v>
      </c>
      <c r="G37" s="34">
        <f>[35]GtS!$F$9</f>
        <v>0</v>
      </c>
      <c r="H37" s="155">
        <f>IF('AW Schulen'!$B13=0,"x",C37/'AW Schulen'!$B13)</f>
        <v>0</v>
      </c>
      <c r="I37" s="155">
        <f>IF('AW Schulen'!$E13=0,"x",D37/'AW Schulen'!$E13)</f>
        <v>0</v>
      </c>
      <c r="J37" s="155">
        <f>IF('AW Schulen'!$H13=0,"x",E37/'AW Schulen'!$H13)</f>
        <v>0</v>
      </c>
      <c r="K37" s="155">
        <f>IF('AW Schulen'!$K13=0,"x",F37/'AW Schulen'!$K13)</f>
        <v>0</v>
      </c>
      <c r="L37" s="156">
        <f>IF('AW Schulen'!$N13=0,"x",G37/'AW Schulen'!$N13)</f>
        <v>0</v>
      </c>
    </row>
    <row r="38" spans="1:12" ht="9" customHeight="1">
      <c r="A38" s="21" t="s">
        <v>88</v>
      </c>
      <c r="B38" s="120"/>
      <c r="C38" s="23">
        <f>[71]GtS!$F$9</f>
        <v>2</v>
      </c>
      <c r="D38" s="23">
        <f>[72]GtS!$F$9</f>
        <v>5</v>
      </c>
      <c r="E38" s="23">
        <f>[73]GtS!$F$9</f>
        <v>4</v>
      </c>
      <c r="F38" s="23">
        <f>[74]GtS!$F$9</f>
        <v>1</v>
      </c>
      <c r="G38" s="34">
        <f>[75]GtS!$F$9</f>
        <v>5</v>
      </c>
      <c r="H38" s="155">
        <f>IF('AW Schulen'!$B14=0,"x",C38/'AW Schulen'!$B14)</f>
        <v>1.1441647597254005E-3</v>
      </c>
      <c r="I38" s="155">
        <f>IF('AW Schulen'!$E14=0,"x",D38/'AW Schulen'!$E14)</f>
        <v>2.8968713789107765E-3</v>
      </c>
      <c r="J38" s="155">
        <f>IF('AW Schulen'!$H14=0,"x",E38/'AW Schulen'!$H14)</f>
        <v>2.3446658851113715E-3</v>
      </c>
      <c r="K38" s="155">
        <f>IF('AW Schulen'!$K14=0,"x",F38/'AW Schulen'!$K14)</f>
        <v>5.9066745422327229E-4</v>
      </c>
      <c r="L38" s="156">
        <f>IF('AW Schulen'!$N14=0,"x",G38/'AW Schulen'!$N14)</f>
        <v>2.9868578255675031E-3</v>
      </c>
    </row>
    <row r="39" spans="1:12" ht="9" customHeight="1">
      <c r="A39" s="21" t="s">
        <v>89</v>
      </c>
      <c r="B39" s="120"/>
      <c r="C39" s="23">
        <f>[36]GtS!$F$9</f>
        <v>9</v>
      </c>
      <c r="D39" s="23">
        <f>[37]GtS!$F$9</f>
        <v>9</v>
      </c>
      <c r="E39" s="23">
        <f>[38]GtS!$F$9</f>
        <v>9</v>
      </c>
      <c r="F39" s="23">
        <f>[39]GtS!$F$9</f>
        <v>9</v>
      </c>
      <c r="G39" s="34">
        <f>[40]GtS!$F$9</f>
        <v>9</v>
      </c>
      <c r="H39" s="155">
        <f>IF('AW Schulen'!$B15=0,"x",C39/'AW Schulen'!$B15)</f>
        <v>3.0221625251846875E-3</v>
      </c>
      <c r="I39" s="155">
        <f>IF('AW Schulen'!$E15=0,"x",D39/'AW Schulen'!$E15)</f>
        <v>3.1131096506399171E-3</v>
      </c>
      <c r="J39" s="155">
        <f>IF('AW Schulen'!$H15=0,"x",E39/'AW Schulen'!$H15)</f>
        <v>3.1835868411743897E-3</v>
      </c>
      <c r="K39" s="155">
        <f>IF('AW Schulen'!$K15=0,"x",F39/'AW Schulen'!$K15)</f>
        <v>3.2304379038047381E-3</v>
      </c>
      <c r="L39" s="156">
        <f>IF('AW Schulen'!$N15=0,"x",G39/'AW Schulen'!$N15)</f>
        <v>3.2727272727272726E-3</v>
      </c>
    </row>
    <row r="40" spans="1:12" ht="9" customHeight="1">
      <c r="A40" s="21" t="s">
        <v>90</v>
      </c>
      <c r="B40" s="120"/>
      <c r="C40" s="23">
        <f>[41]GtS!$F$9</f>
        <v>2</v>
      </c>
      <c r="D40" s="23">
        <f>[42]GtS!$F$9</f>
        <v>2</v>
      </c>
      <c r="E40" s="23">
        <f>[43]GtS!$F$9</f>
        <v>2</v>
      </c>
      <c r="F40" s="23">
        <f>[44]GtS!$F$9</f>
        <v>2</v>
      </c>
      <c r="G40" s="34">
        <f>[45]GtS!$F$9</f>
        <v>2</v>
      </c>
      <c r="H40" s="155">
        <f>IF('AW Schulen'!$B16=0,"x",C40/'AW Schulen'!$B16)</f>
        <v>2.1097046413502108E-3</v>
      </c>
      <c r="I40" s="155">
        <f>IF('AW Schulen'!$E16=0,"x",D40/'AW Schulen'!$E16)</f>
        <v>2.1097046413502108E-3</v>
      </c>
      <c r="J40" s="155">
        <f>IF('AW Schulen'!$H16=0,"x",E40/'AW Schulen'!$H16)</f>
        <v>2.1164021164021165E-3</v>
      </c>
      <c r="K40" s="155">
        <f>IF('AW Schulen'!$K16=0,"x",F40/'AW Schulen'!$K16)</f>
        <v>2.1253985122210413E-3</v>
      </c>
      <c r="L40" s="156">
        <f>IF('AW Schulen'!$N16=0,"x",G40/'AW Schulen'!$N16)</f>
        <v>2.1276595744680851E-3</v>
      </c>
    </row>
    <row r="41" spans="1:12" ht="9" customHeight="1">
      <c r="A41" s="21" t="s">
        <v>91</v>
      </c>
      <c r="B41" s="120"/>
      <c r="C41" s="23">
        <f>[46]GtS!$F$9</f>
        <v>3</v>
      </c>
      <c r="D41" s="23">
        <f>[47]GtS!$F$9</f>
        <v>6</v>
      </c>
      <c r="E41" s="23">
        <f>[48]GtS!$F$9</f>
        <v>7</v>
      </c>
      <c r="F41" s="23">
        <f>[49]GtS!$F$9</f>
        <v>8</v>
      </c>
      <c r="G41" s="34">
        <f>[50]GtS!$F$9</f>
        <v>9</v>
      </c>
      <c r="H41" s="155">
        <f>IF('AW Schulen'!$B17=0,"x",C41/'AW Schulen'!$B17)</f>
        <v>1.935483870967742E-2</v>
      </c>
      <c r="I41" s="155">
        <f>IF('AW Schulen'!$E17=0,"x",D41/'AW Schulen'!$E17)</f>
        <v>3.870967741935484E-2</v>
      </c>
      <c r="J41" s="155">
        <f>IF('AW Schulen'!$H17=0,"x",E41/'AW Schulen'!$H17)</f>
        <v>4.5161290322580643E-2</v>
      </c>
      <c r="K41" s="155">
        <f>IF('AW Schulen'!$K17=0,"x",F41/'AW Schulen'!$K17)</f>
        <v>5.1612903225806452E-2</v>
      </c>
      <c r="L41" s="156">
        <f>IF('AW Schulen'!$N17=0,"x",G41/'AW Schulen'!$N17)</f>
        <v>5.8064516129032261E-2</v>
      </c>
    </row>
    <row r="42" spans="1:12" ht="9" customHeight="1">
      <c r="A42" s="21" t="s">
        <v>92</v>
      </c>
      <c r="B42" s="120"/>
      <c r="C42" s="23">
        <f>[51]GtS!$F$9</f>
        <v>15</v>
      </c>
      <c r="D42" s="23">
        <f>[52]GtS!$F$9</f>
        <v>16</v>
      </c>
      <c r="E42" s="23">
        <f>[53]GtS!$F$9</f>
        <v>17</v>
      </c>
      <c r="F42" s="23">
        <f>[54]GtS!$F$9</f>
        <v>13</v>
      </c>
      <c r="G42" s="34">
        <f>[55]GtS!$F$9</f>
        <v>13</v>
      </c>
      <c r="H42" s="155">
        <f>IF('AW Schulen'!$B18=0,"x",C42/'AW Schulen'!$B18)</f>
        <v>1.9867549668874173E-2</v>
      </c>
      <c r="I42" s="155">
        <f>IF('AW Schulen'!$E18=0,"x",D42/'AW Schulen'!$E18)</f>
        <v>2.1447721179624665E-2</v>
      </c>
      <c r="J42" s="155">
        <f>IF('AW Schulen'!$H18=0,"x",E42/'AW Schulen'!$H18)</f>
        <v>2.2788203753351208E-2</v>
      </c>
      <c r="K42" s="155">
        <f>IF('AW Schulen'!$K18=0,"x",F42/'AW Schulen'!$K18)</f>
        <v>1.7426273458445041E-2</v>
      </c>
      <c r="L42" s="156">
        <f>IF('AW Schulen'!$N18=0,"x",G42/'AW Schulen'!$N18)</f>
        <v>1.7426273458445041E-2</v>
      </c>
    </row>
    <row r="43" spans="1:12" ht="9" customHeight="1">
      <c r="A43" s="21" t="s">
        <v>93</v>
      </c>
      <c r="B43" s="120"/>
      <c r="C43" s="23">
        <f>[76]GtS!$F$9</f>
        <v>3</v>
      </c>
      <c r="D43" s="23">
        <f>[77]GtS!$F$9</f>
        <v>3</v>
      </c>
      <c r="E43" s="23">
        <f>[78]GtS!$F$9</f>
        <v>3</v>
      </c>
      <c r="F43" s="23">
        <f>[79]GtS!$F$9</f>
        <v>3</v>
      </c>
      <c r="G43" s="34">
        <f>[80]GtS!$F$9</f>
        <v>3</v>
      </c>
      <c r="H43" s="155">
        <f>IF('AW Schulen'!$B19=0,"x",C43/'AW Schulen'!$B19)</f>
        <v>6.0120240480961923E-3</v>
      </c>
      <c r="I43" s="155">
        <f>IF('AW Schulen'!$E19=0,"x",D43/'AW Schulen'!$E19)</f>
        <v>6.1099796334012219E-3</v>
      </c>
      <c r="J43" s="155">
        <f>IF('AW Schulen'!$H19=0,"x",E43/'AW Schulen'!$H19)</f>
        <v>6.5075921908893707E-3</v>
      </c>
      <c r="K43" s="155">
        <f>IF('AW Schulen'!$K19=0,"x",F43/'AW Schulen'!$K19)</f>
        <v>6.6225165562913907E-3</v>
      </c>
      <c r="L43" s="156">
        <f>IF('AW Schulen'!$N19=0,"x",G43/'AW Schulen'!$N19)</f>
        <v>6.6815144766146995E-3</v>
      </c>
    </row>
    <row r="44" spans="1:12" ht="9" customHeight="1">
      <c r="A44" s="21" t="s">
        <v>94</v>
      </c>
      <c r="B44" s="120"/>
      <c r="C44" s="23">
        <f>[56]GtS!$F$9</f>
        <v>6</v>
      </c>
      <c r="D44" s="23">
        <f>[57]GtS!$F$9</f>
        <v>6</v>
      </c>
      <c r="E44" s="23">
        <f>[58]GtS!$F$9</f>
        <v>6</v>
      </c>
      <c r="F44" s="23">
        <f>[59]GtS!$F$9</f>
        <v>7</v>
      </c>
      <c r="G44" s="34">
        <f>[60]GtS!$F$9</f>
        <v>8</v>
      </c>
      <c r="H44" s="155">
        <f>IF('AW Schulen'!$B20=0,"x",C44/'AW Schulen'!$B20)</f>
        <v>1.2295081967213115E-2</v>
      </c>
      <c r="I44" s="155">
        <f>IF('AW Schulen'!$E20=0,"x",D44/'AW Schulen'!$E20)</f>
        <v>1.2448132780082987E-2</v>
      </c>
      <c r="J44" s="155">
        <f>IF('AW Schulen'!$H20=0,"x",E44/'AW Schulen'!$H20)</f>
        <v>1.2578616352201259E-2</v>
      </c>
      <c r="K44" s="155">
        <f>IF('AW Schulen'!$K20=0,"x",F44/'AW Schulen'!$K20)</f>
        <v>1.3035381750465549E-2</v>
      </c>
      <c r="L44" s="156">
        <f>IF('AW Schulen'!$N20=0,"x",G44/'AW Schulen'!$N20)</f>
        <v>1.3245033112582781E-2</v>
      </c>
    </row>
    <row r="45" spans="1:12" ht="9" customHeight="1">
      <c r="A45" s="21" t="s">
        <v>95</v>
      </c>
      <c r="B45" s="120"/>
      <c r="C45" s="23">
        <f>[61]GtS!$F$9</f>
        <v>1</v>
      </c>
      <c r="D45" s="23">
        <f>[62]GtS!$F$9</f>
        <v>1</v>
      </c>
      <c r="E45" s="23">
        <f>[63]GtS!$F$9</f>
        <v>2</v>
      </c>
      <c r="F45" s="23">
        <f>[64]GtS!$F$9</f>
        <v>2</v>
      </c>
      <c r="G45" s="34">
        <f>[65]GtS!$F$9</f>
        <v>2</v>
      </c>
      <c r="H45" s="155">
        <f>IF('AW Schulen'!$B21=0,"x",C45/'AW Schulen'!$B21)</f>
        <v>2.331002331002331E-3</v>
      </c>
      <c r="I45" s="155">
        <f>IF('AW Schulen'!$E21=0,"x",D45/'AW Schulen'!$E21)</f>
        <v>2.3364485981308409E-3</v>
      </c>
      <c r="J45" s="155">
        <f>IF('AW Schulen'!$H21=0,"x",E45/'AW Schulen'!$H21)</f>
        <v>4.6838407494145199E-3</v>
      </c>
      <c r="K45" s="155">
        <f>IF('AW Schulen'!$K21=0,"x",F45/'AW Schulen'!$K21)</f>
        <v>4.7505938242280287E-3</v>
      </c>
      <c r="L45" s="156">
        <f>IF('AW Schulen'!$N21=0,"x",G45/'AW Schulen'!$N21)</f>
        <v>4.8426150121065378E-3</v>
      </c>
    </row>
    <row r="46" spans="1:12" ht="9" customHeight="1">
      <c r="A46" s="21" t="s">
        <v>96</v>
      </c>
      <c r="B46" s="120"/>
      <c r="C46" s="23">
        <f t="shared" ref="C46:E46" si="35">SUM(C30:C45)</f>
        <v>185</v>
      </c>
      <c r="D46" s="23">
        <f t="shared" si="35"/>
        <v>192</v>
      </c>
      <c r="E46" s="23">
        <f t="shared" si="35"/>
        <v>194</v>
      </c>
      <c r="F46" s="23">
        <f t="shared" ref="F46:G46" si="36">SUM(F30:F45)</f>
        <v>187</v>
      </c>
      <c r="G46" s="34">
        <f t="shared" si="36"/>
        <v>215</v>
      </c>
      <c r="H46" s="155">
        <f>IF('AW Schulen'!$B22=0,"x",C46/'AW Schulen'!$B22)</f>
        <v>1.221767269845463E-2</v>
      </c>
      <c r="I46" s="155">
        <f>IF('AW Schulen'!$E22=0,"x",D46/'AW Schulen'!$E22)</f>
        <v>1.2883312084815138E-2</v>
      </c>
      <c r="J46" s="155">
        <f>IF('AW Schulen'!$H22=0,"x",E46/'AW Schulen'!$H22)</f>
        <v>1.3192791567494049E-2</v>
      </c>
      <c r="K46" s="155">
        <f>IF('AW Schulen'!$K22=0,"x",F46/'AW Schulen'!$K22)</f>
        <v>1.2790697674418604E-2</v>
      </c>
      <c r="L46" s="156">
        <f>IF('AW Schulen'!$N22=0,"x",G46/'AW Schulen'!$N22)</f>
        <v>1.473814093775706E-2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[1]GtS!$G$9</f>
        <v>93</v>
      </c>
      <c r="D48" s="23">
        <f>[2]GtS!$G$9</f>
        <v>91</v>
      </c>
      <c r="E48" s="23">
        <f>[3]GtS!$G$9</f>
        <v>68</v>
      </c>
      <c r="F48" s="23">
        <f>[4]GtS!$G$9</f>
        <v>60</v>
      </c>
      <c r="G48" s="34">
        <f>[5]GtS!$G$9</f>
        <v>60</v>
      </c>
      <c r="H48" s="155">
        <f>IF('AW Schulen'!$B6=0,"x",C48/'AW Schulen'!$B6)</f>
        <v>3.892842193386354E-2</v>
      </c>
      <c r="I48" s="155">
        <f>IF('AW Schulen'!$E6=0,"x",D48/'AW Schulen'!$E6)</f>
        <v>3.9445166883398351E-2</v>
      </c>
      <c r="J48" s="155">
        <f>IF('AW Schulen'!$H6=0,"x",E48/'AW Schulen'!$H6)</f>
        <v>3.052064631956912E-2</v>
      </c>
      <c r="K48" s="155">
        <f>IF('AW Schulen'!$K6=0,"x",F48/'AW Schulen'!$K6)</f>
        <v>2.7624309392265192E-2</v>
      </c>
      <c r="L48" s="156">
        <f>IF('AW Schulen'!$N6=0,"x",G48/'AW Schulen'!$N6)</f>
        <v>2.8037383177570093E-2</v>
      </c>
    </row>
    <row r="49" spans="1:12" ht="9" customHeight="1">
      <c r="A49" s="21" t="s">
        <v>81</v>
      </c>
      <c r="B49" s="120"/>
      <c r="C49" s="23">
        <f>[6]GtS!$G$9</f>
        <v>279</v>
      </c>
      <c r="D49" s="23">
        <f>[7]GtS!$G$9</f>
        <v>330</v>
      </c>
      <c r="E49" s="23">
        <f>[8]GtS!$G$9</f>
        <v>363</v>
      </c>
      <c r="F49" s="23">
        <f>[9]GtS!$G$9</f>
        <v>358</v>
      </c>
      <c r="G49" s="34">
        <f>[10]GtS!$G$9</f>
        <v>361</v>
      </c>
      <c r="H49" s="155">
        <f>IF('AW Schulen'!$B7=0,"x",C49/'AW Schulen'!$B7)</f>
        <v>0.12312444836716681</v>
      </c>
      <c r="I49" s="155">
        <f>IF('AW Schulen'!$E7=0,"x",D49/'AW Schulen'!$E7)</f>
        <v>0.14601769911504425</v>
      </c>
      <c r="J49" s="155">
        <f>IF('AW Schulen'!$H7=0,"x",E49/'AW Schulen'!$H7)</f>
        <v>0.16076173604960142</v>
      </c>
      <c r="K49" s="155">
        <f>IF('AW Schulen'!$K7=0,"x",F49/'AW Schulen'!$K7)</f>
        <v>0.15854738706820196</v>
      </c>
      <c r="L49" s="156">
        <f>IF('AW Schulen'!$N7=0,"x",G49/'AW Schulen'!$N7)</f>
        <v>0.15987599645704162</v>
      </c>
    </row>
    <row r="50" spans="1:12" ht="9" customHeight="1">
      <c r="A50" s="21" t="s">
        <v>82</v>
      </c>
      <c r="B50" s="120"/>
      <c r="C50" s="23">
        <f>[11]GtS!$G$9</f>
        <v>21</v>
      </c>
      <c r="D50" s="23">
        <f>[12]GtS!$G$9</f>
        <v>18</v>
      </c>
      <c r="E50" s="23">
        <f>[13]GtS!$G$9</f>
        <v>18</v>
      </c>
      <c r="F50" s="23">
        <f>[14]GtS!$G$9</f>
        <v>25</v>
      </c>
      <c r="G50" s="34">
        <f>[15]GtS!$G$9</f>
        <v>19</v>
      </c>
      <c r="H50" s="155">
        <f>IF('AW Schulen'!$B8=0,"x",C50/'AW Schulen'!$B8)</f>
        <v>5.8011049723756904E-2</v>
      </c>
      <c r="I50" s="155">
        <f>IF('AW Schulen'!$E8=0,"x",D50/'AW Schulen'!$E8)</f>
        <v>4.9723756906077346E-2</v>
      </c>
      <c r="J50" s="155">
        <f>IF('AW Schulen'!$H8=0,"x",E50/'AW Schulen'!$H8)</f>
        <v>4.8517520215633422E-2</v>
      </c>
      <c r="K50" s="155">
        <f>IF('AW Schulen'!$K8=0,"x",F50/'AW Schulen'!$K8)</f>
        <v>6.8119891008174394E-2</v>
      </c>
      <c r="L50" s="156">
        <f>IF('AW Schulen'!$N8=0,"x",G50/'AW Schulen'!$N8)</f>
        <v>5.1630434782608696E-2</v>
      </c>
    </row>
    <row r="51" spans="1:12" ht="9" customHeight="1">
      <c r="A51" s="21" t="s">
        <v>83</v>
      </c>
      <c r="B51" s="120"/>
      <c r="C51" s="23">
        <f>[16]GtS!$G$9</f>
        <v>0</v>
      </c>
      <c r="D51" s="23">
        <f>[17]GtS!$G$9</f>
        <v>0</v>
      </c>
      <c r="E51" s="23">
        <f>[18]GtS!$G$9</f>
        <v>0</v>
      </c>
      <c r="F51" s="23">
        <f>[19]GtS!$G$9</f>
        <v>0</v>
      </c>
      <c r="G51" s="34">
        <f>[20]GtS!$G$9</f>
        <v>0</v>
      </c>
      <c r="H51" s="155">
        <f>IF('AW Schulen'!$B9=0,"x",C51/'AW Schulen'!$B9)</f>
        <v>0</v>
      </c>
      <c r="I51" s="155">
        <f>IF('AW Schulen'!$E9=0,"x",D51/'AW Schulen'!$E9)</f>
        <v>0</v>
      </c>
      <c r="J51" s="155">
        <f>IF('AW Schulen'!$H9=0,"x",E51/'AW Schulen'!$H9)</f>
        <v>0</v>
      </c>
      <c r="K51" s="155">
        <f>IF('AW Schulen'!$K9=0,"x",F51/'AW Schulen'!$K9)</f>
        <v>0</v>
      </c>
      <c r="L51" s="156">
        <f>IF('AW Schulen'!$N9=0,"x",G51/'AW Schulen'!$N9)</f>
        <v>0</v>
      </c>
    </row>
    <row r="52" spans="1:12" ht="9" customHeight="1">
      <c r="A52" s="21" t="s">
        <v>84</v>
      </c>
      <c r="B52" s="120"/>
      <c r="C52" s="23">
        <f>[21]GtS!$G$9</f>
        <v>0</v>
      </c>
      <c r="D52" s="23">
        <f>[22]GtS!$G$9</f>
        <v>0</v>
      </c>
      <c r="E52" s="23">
        <f>[23]GtS!$G$9</f>
        <v>0</v>
      </c>
      <c r="F52" s="23">
        <f>[24]GtS!$G$9</f>
        <v>0</v>
      </c>
      <c r="G52" s="34">
        <f>[25]GtS!$G$9</f>
        <v>0</v>
      </c>
      <c r="H52" s="155">
        <f>IF('AW Schulen'!$B10=0,"x",C52/'AW Schulen'!$B10)</f>
        <v>0</v>
      </c>
      <c r="I52" s="155">
        <f>IF('AW Schulen'!$E10=0,"x",D52/'AW Schulen'!$E10)</f>
        <v>0</v>
      </c>
      <c r="J52" s="155">
        <f>IF('AW Schulen'!$H10=0,"x",E52/'AW Schulen'!$H10)</f>
        <v>0</v>
      </c>
      <c r="K52" s="155">
        <f>IF('AW Schulen'!$K10=0,"x",F52/'AW Schulen'!$K10)</f>
        <v>0</v>
      </c>
      <c r="L52" s="156">
        <f>IF('AW Schulen'!$N10=0,"x",G52/'AW Schulen'!$N10)</f>
        <v>0</v>
      </c>
    </row>
    <row r="53" spans="1:12" ht="9" customHeight="1">
      <c r="A53" s="21" t="s">
        <v>85</v>
      </c>
      <c r="B53" s="120"/>
      <c r="C53" s="23">
        <f>[26]GtS!$G$9</f>
        <v>13</v>
      </c>
      <c r="D53" s="23">
        <f>[27]GtS!$G$9</f>
        <v>21</v>
      </c>
      <c r="E53" s="23">
        <f>[28]GtS!$G$9</f>
        <v>21</v>
      </c>
      <c r="F53" s="23">
        <f>[29]GtS!$G$9</f>
        <v>20</v>
      </c>
      <c r="G53" s="34">
        <f>[30]GtS!$G$9</f>
        <v>20</v>
      </c>
      <c r="H53" s="155">
        <f>IF('AW Schulen'!$B11=0,"x",C53/'AW Schulen'!$B11)</f>
        <v>6.7708333333333329E-2</v>
      </c>
      <c r="I53" s="155">
        <f>IF('AW Schulen'!$E11=0,"x",D53/'AW Schulen'!$E11)</f>
        <v>0.11052631578947368</v>
      </c>
      <c r="J53" s="155">
        <f>IF('AW Schulen'!$H11=0,"x",E53/'AW Schulen'!$H11)</f>
        <v>0.11052631578947368</v>
      </c>
      <c r="K53" s="155">
        <f>IF('AW Schulen'!$K11=0,"x",F53/'AW Schulen'!$K11)</f>
        <v>0.10526315789473684</v>
      </c>
      <c r="L53" s="156">
        <f>IF('AW Schulen'!$N11=0,"x",G53/'AW Schulen'!$N11)</f>
        <v>0.10471204188481675</v>
      </c>
    </row>
    <row r="54" spans="1:12" ht="9" customHeight="1">
      <c r="A54" s="21" t="s">
        <v>86</v>
      </c>
      <c r="B54" s="120"/>
      <c r="C54" s="23">
        <f>[66]GtS!$G$9</f>
        <v>0</v>
      </c>
      <c r="D54" s="23">
        <f>[67]GtS!$G$9</f>
        <v>0</v>
      </c>
      <c r="E54" s="23">
        <f>[68]GtS!$G$9</f>
        <v>0</v>
      </c>
      <c r="F54" s="23">
        <f>[69]GtS!$G$9</f>
        <v>0</v>
      </c>
      <c r="G54" s="34">
        <f>[70]GtS!$G$9</f>
        <v>0</v>
      </c>
      <c r="H54" s="155">
        <f>IF('AW Schulen'!$B12=0,"x",C54/'AW Schulen'!$B12)</f>
        <v>0</v>
      </c>
      <c r="I54" s="155">
        <f>IF('AW Schulen'!$E12=0,"x",D54/'AW Schulen'!$E12)</f>
        <v>0</v>
      </c>
      <c r="J54" s="155">
        <f>IF('AW Schulen'!$H12=0,"x",E54/'AW Schulen'!$H12)</f>
        <v>0</v>
      </c>
      <c r="K54" s="155">
        <f>IF('AW Schulen'!$K12=0,"x",F54/'AW Schulen'!$K12)</f>
        <v>0</v>
      </c>
      <c r="L54" s="156">
        <f>IF('AW Schulen'!$N12=0,"x",G54/'AW Schulen'!$N12)</f>
        <v>0</v>
      </c>
    </row>
    <row r="55" spans="1:12" ht="9" customHeight="1">
      <c r="A55" s="21" t="s">
        <v>87</v>
      </c>
      <c r="B55" s="120"/>
      <c r="C55" s="23">
        <f>[31]GtS!$G$9</f>
        <v>1</v>
      </c>
      <c r="D55" s="23">
        <f>[32]GtS!$G$9</f>
        <v>0</v>
      </c>
      <c r="E55" s="23">
        <f>[33]GtS!$G$9</f>
        <v>0</v>
      </c>
      <c r="F55" s="23">
        <f>[34]GtS!$G$9</f>
        <v>0</v>
      </c>
      <c r="G55" s="34">
        <f>[35]GtS!$G$9</f>
        <v>0</v>
      </c>
      <c r="H55" s="155">
        <f>IF('AW Schulen'!$B13=0,"x",C55/'AW Schulen'!$B13)</f>
        <v>3.6764705882352941E-3</v>
      </c>
      <c r="I55" s="155">
        <f>IF('AW Schulen'!$E13=0,"x",D55/'AW Schulen'!$E13)</f>
        <v>0</v>
      </c>
      <c r="J55" s="155">
        <f>IF('AW Schulen'!$H13=0,"x",E55/'AW Schulen'!$H13)</f>
        <v>0</v>
      </c>
      <c r="K55" s="155">
        <f>IF('AW Schulen'!$K13=0,"x",F55/'AW Schulen'!$K13)</f>
        <v>0</v>
      </c>
      <c r="L55" s="156">
        <f>IF('AW Schulen'!$N13=0,"x",G55/'AW Schulen'!$N13)</f>
        <v>0</v>
      </c>
    </row>
    <row r="56" spans="1:12" ht="9" customHeight="1">
      <c r="A56" s="21" t="s">
        <v>88</v>
      </c>
      <c r="B56" s="120"/>
      <c r="C56" s="23">
        <f>[71]GtS!$G$9</f>
        <v>10</v>
      </c>
      <c r="D56" s="23">
        <f>[72]GtS!$G$9</f>
        <v>9</v>
      </c>
      <c r="E56" s="23">
        <f>[73]GtS!$G$9</f>
        <v>9</v>
      </c>
      <c r="F56" s="23">
        <f>[74]GtS!$G$9</f>
        <v>17</v>
      </c>
      <c r="G56" s="34">
        <f>[75]GtS!$G$9</f>
        <v>21</v>
      </c>
      <c r="H56" s="155">
        <f>IF('AW Schulen'!$B14=0,"x",C56/'AW Schulen'!$B14)</f>
        <v>5.7208237986270021E-3</v>
      </c>
      <c r="I56" s="155">
        <f>IF('AW Schulen'!$E14=0,"x",D56/'AW Schulen'!$E14)</f>
        <v>5.2143684820393976E-3</v>
      </c>
      <c r="J56" s="155">
        <f>IF('AW Schulen'!$H14=0,"x",E56/'AW Schulen'!$H14)</f>
        <v>5.275498241500586E-3</v>
      </c>
      <c r="K56" s="155">
        <f>IF('AW Schulen'!$K14=0,"x",F56/'AW Schulen'!$K14)</f>
        <v>1.004134672179563E-2</v>
      </c>
      <c r="L56" s="156">
        <f>IF('AW Schulen'!$N14=0,"x",G56/'AW Schulen'!$N14)</f>
        <v>1.2544802867383513E-2</v>
      </c>
    </row>
    <row r="57" spans="1:12" ht="9" customHeight="1">
      <c r="A57" s="21" t="s">
        <v>89</v>
      </c>
      <c r="B57" s="120"/>
      <c r="C57" s="23">
        <f>[36]GtS!$G$9</f>
        <v>0</v>
      </c>
      <c r="D57" s="23">
        <f>[37]GtS!$G$9</f>
        <v>0</v>
      </c>
      <c r="E57" s="23">
        <f>[38]GtS!$G$9</f>
        <v>0</v>
      </c>
      <c r="F57" s="23">
        <f>[39]GtS!$G$9</f>
        <v>0</v>
      </c>
      <c r="G57" s="34">
        <f>[40]GtS!$G$9</f>
        <v>0</v>
      </c>
      <c r="H57" s="155">
        <f>IF('AW Schulen'!$B15=0,"x",C57/'AW Schulen'!$B15)</f>
        <v>0</v>
      </c>
      <c r="I57" s="155">
        <f>IF('AW Schulen'!$E15=0,"x",D57/'AW Schulen'!$E15)</f>
        <v>0</v>
      </c>
      <c r="J57" s="155">
        <f>IF('AW Schulen'!$H15=0,"x",E57/'AW Schulen'!$H15)</f>
        <v>0</v>
      </c>
      <c r="K57" s="155">
        <f>IF('AW Schulen'!$K15=0,"x",F57/'AW Schulen'!$K15)</f>
        <v>0</v>
      </c>
      <c r="L57" s="156">
        <f>IF('AW Schulen'!$N15=0,"x",G57/'AW Schulen'!$N15)</f>
        <v>0</v>
      </c>
    </row>
    <row r="58" spans="1:12" ht="9" customHeight="1">
      <c r="A58" s="21" t="s">
        <v>90</v>
      </c>
      <c r="B58" s="120"/>
      <c r="C58" s="23">
        <f>[41]GtS!$G$9</f>
        <v>288</v>
      </c>
      <c r="D58" s="23">
        <f>[42]GtS!$G$9</f>
        <v>299</v>
      </c>
      <c r="E58" s="23">
        <f>[43]GtS!$G$9</f>
        <v>306</v>
      </c>
      <c r="F58" s="23">
        <f>[44]GtS!$G$9</f>
        <v>312</v>
      </c>
      <c r="G58" s="34">
        <f>[45]GtS!$G$9</f>
        <v>315</v>
      </c>
      <c r="H58" s="155">
        <f>IF('AW Schulen'!$B16=0,"x",C58/'AW Schulen'!$B16)</f>
        <v>0.30379746835443039</v>
      </c>
      <c r="I58" s="155">
        <f>IF('AW Schulen'!$E16=0,"x",D58/'AW Schulen'!$E16)</f>
        <v>0.31540084388185652</v>
      </c>
      <c r="J58" s="155">
        <f>IF('AW Schulen'!$H16=0,"x",E58/'AW Schulen'!$H16)</f>
        <v>0.32380952380952382</v>
      </c>
      <c r="K58" s="155">
        <f>IF('AW Schulen'!$K16=0,"x",F58/'AW Schulen'!$K16)</f>
        <v>0.33156216790648246</v>
      </c>
      <c r="L58" s="156">
        <f>IF('AW Schulen'!$N16=0,"x",G58/'AW Schulen'!$N16)</f>
        <v>0.33510638297872342</v>
      </c>
    </row>
    <row r="59" spans="1:12" ht="9" customHeight="1">
      <c r="A59" s="21" t="s">
        <v>91</v>
      </c>
      <c r="B59" s="120"/>
      <c r="C59" s="23">
        <f>[46]GtS!$G$9</f>
        <v>1</v>
      </c>
      <c r="D59" s="23">
        <f>[47]GtS!$G$9</f>
        <v>1</v>
      </c>
      <c r="E59" s="23">
        <f>[48]GtS!$G$9</f>
        <v>1</v>
      </c>
      <c r="F59" s="23">
        <f>[49]GtS!$G$9</f>
        <v>0</v>
      </c>
      <c r="G59" s="34">
        <f>[50]GtS!$G$9</f>
        <v>1</v>
      </c>
      <c r="H59" s="155">
        <f>IF('AW Schulen'!$B17=0,"x",C59/'AW Schulen'!$B17)</f>
        <v>6.4516129032258064E-3</v>
      </c>
      <c r="I59" s="155">
        <f>IF('AW Schulen'!$E17=0,"x",D59/'AW Schulen'!$E17)</f>
        <v>6.4516129032258064E-3</v>
      </c>
      <c r="J59" s="155">
        <f>IF('AW Schulen'!$H17=0,"x",E59/'AW Schulen'!$H17)</f>
        <v>6.4516129032258064E-3</v>
      </c>
      <c r="K59" s="155">
        <f>IF('AW Schulen'!$K17=0,"x",F59/'AW Schulen'!$K17)</f>
        <v>0</v>
      </c>
      <c r="L59" s="156">
        <f>IF('AW Schulen'!$N17=0,"x",G59/'AW Schulen'!$N17)</f>
        <v>6.4516129032258064E-3</v>
      </c>
    </row>
    <row r="60" spans="1:12" ht="9" customHeight="1">
      <c r="A60" s="21" t="s">
        <v>92</v>
      </c>
      <c r="B60" s="120"/>
      <c r="C60" s="23">
        <f>[51]GtS!$G$9</f>
        <v>163</v>
      </c>
      <c r="D60" s="23">
        <f>[52]GtS!$G$9</f>
        <v>166</v>
      </c>
      <c r="E60" s="23">
        <f>[53]GtS!$G$9</f>
        <v>174</v>
      </c>
      <c r="F60" s="23">
        <f>[54]GtS!$G$9</f>
        <v>188</v>
      </c>
      <c r="G60" s="34">
        <f>[55]GtS!$G$9</f>
        <v>194</v>
      </c>
      <c r="H60" s="155">
        <f>IF('AW Schulen'!$B18=0,"x",C60/'AW Schulen'!$B18)</f>
        <v>0.21589403973509932</v>
      </c>
      <c r="I60" s="155">
        <f>IF('AW Schulen'!$E18=0,"x",D60/'AW Schulen'!$E18)</f>
        <v>0.22252010723860591</v>
      </c>
      <c r="J60" s="155">
        <f>IF('AW Schulen'!$H18=0,"x",E60/'AW Schulen'!$H18)</f>
        <v>0.23324396782841822</v>
      </c>
      <c r="K60" s="155">
        <f>IF('AW Schulen'!$K18=0,"x",F60/'AW Schulen'!$K18)</f>
        <v>0.25201072386058981</v>
      </c>
      <c r="L60" s="156">
        <f>IF('AW Schulen'!$N18=0,"x",G60/'AW Schulen'!$N18)</f>
        <v>0.26005361930294907</v>
      </c>
    </row>
    <row r="61" spans="1:12" ht="9" customHeight="1">
      <c r="A61" s="21" t="s">
        <v>93</v>
      </c>
      <c r="B61" s="120"/>
      <c r="C61" s="23">
        <f>[76]GtS!$G$9</f>
        <v>0</v>
      </c>
      <c r="D61" s="23">
        <f>[77]GtS!$G$9</f>
        <v>0</v>
      </c>
      <c r="E61" s="23">
        <f>[78]GtS!$G$9</f>
        <v>0</v>
      </c>
      <c r="F61" s="23">
        <f>[79]GtS!$G$9</f>
        <v>0</v>
      </c>
      <c r="G61" s="34">
        <f>[80]GtS!$G$9</f>
        <v>0</v>
      </c>
      <c r="H61" s="155">
        <f>IF('AW Schulen'!$B19=0,"x",C61/'AW Schulen'!$B19)</f>
        <v>0</v>
      </c>
      <c r="I61" s="155">
        <f>IF('AW Schulen'!$E19=0,"x",D61/'AW Schulen'!$E19)</f>
        <v>0</v>
      </c>
      <c r="J61" s="155">
        <f>IF('AW Schulen'!$H19=0,"x",E61/'AW Schulen'!$H19)</f>
        <v>0</v>
      </c>
      <c r="K61" s="155">
        <f>IF('AW Schulen'!$K19=0,"x",F61/'AW Schulen'!$K19)</f>
        <v>0</v>
      </c>
      <c r="L61" s="156">
        <f>IF('AW Schulen'!$N19=0,"x",G61/'AW Schulen'!$N19)</f>
        <v>0</v>
      </c>
    </row>
    <row r="62" spans="1:12" ht="9" customHeight="1">
      <c r="A62" s="21" t="s">
        <v>94</v>
      </c>
      <c r="B62" s="120"/>
      <c r="C62" s="23">
        <f>[56]GtS!$G$9</f>
        <v>4</v>
      </c>
      <c r="D62" s="23">
        <f>[57]GtS!$G$9</f>
        <v>4</v>
      </c>
      <c r="E62" s="23">
        <f>[58]GtS!$G$9</f>
        <v>4</v>
      </c>
      <c r="F62" s="23">
        <f>[59]GtS!$G$9</f>
        <v>5</v>
      </c>
      <c r="G62" s="34">
        <f>[60]GtS!$G$9</f>
        <v>6</v>
      </c>
      <c r="H62" s="155">
        <f>IF('AW Schulen'!$B20=0,"x",C62/'AW Schulen'!$B20)</f>
        <v>8.1967213114754103E-3</v>
      </c>
      <c r="I62" s="155">
        <f>IF('AW Schulen'!$E20=0,"x",D62/'AW Schulen'!$E20)</f>
        <v>8.2987551867219917E-3</v>
      </c>
      <c r="J62" s="155">
        <f>IF('AW Schulen'!$H20=0,"x",E62/'AW Schulen'!$H20)</f>
        <v>8.385744234800839E-3</v>
      </c>
      <c r="K62" s="155">
        <f>IF('AW Schulen'!$K20=0,"x",F62/'AW Schulen'!$K20)</f>
        <v>9.3109869646182501E-3</v>
      </c>
      <c r="L62" s="156">
        <f>IF('AW Schulen'!$N20=0,"x",G62/'AW Schulen'!$N20)</f>
        <v>9.9337748344370865E-3</v>
      </c>
    </row>
    <row r="63" spans="1:12" ht="9" customHeight="1">
      <c r="A63" s="21" t="s">
        <v>95</v>
      </c>
      <c r="B63" s="120"/>
      <c r="C63" s="23">
        <f>[61]GtS!$G$9</f>
        <v>5</v>
      </c>
      <c r="D63" s="23">
        <f>[62]GtS!$G$9</f>
        <v>4</v>
      </c>
      <c r="E63" s="23">
        <f>[63]GtS!$G$9</f>
        <v>2</v>
      </c>
      <c r="F63" s="23">
        <f>[64]GtS!$G$9</f>
        <v>3</v>
      </c>
      <c r="G63" s="34">
        <f>[65]GtS!$G$9</f>
        <v>3</v>
      </c>
      <c r="H63" s="155">
        <f>IF('AW Schulen'!$B21=0,"x",C63/'AW Schulen'!$B21)</f>
        <v>1.1655011655011656E-2</v>
      </c>
      <c r="I63" s="155">
        <f>IF('AW Schulen'!$E21=0,"x",D63/'AW Schulen'!$E21)</f>
        <v>9.3457943925233638E-3</v>
      </c>
      <c r="J63" s="155">
        <f>IF('AW Schulen'!$H21=0,"x",E63/'AW Schulen'!$H21)</f>
        <v>4.6838407494145199E-3</v>
      </c>
      <c r="K63" s="155">
        <f>IF('AW Schulen'!$K21=0,"x",F63/'AW Schulen'!$K21)</f>
        <v>7.1258907363420431E-3</v>
      </c>
      <c r="L63" s="156">
        <f>IF('AW Schulen'!$N21=0,"x",G63/'AW Schulen'!$N21)</f>
        <v>7.2639225181598066E-3</v>
      </c>
    </row>
    <row r="64" spans="1:12" ht="8.65" customHeight="1">
      <c r="A64" s="21" t="s">
        <v>96</v>
      </c>
      <c r="B64" s="120"/>
      <c r="C64" s="23">
        <f t="shared" ref="C64:E64" si="37">SUM(C48:C63)</f>
        <v>878</v>
      </c>
      <c r="D64" s="23">
        <f t="shared" si="37"/>
        <v>943</v>
      </c>
      <c r="E64" s="23">
        <f t="shared" si="37"/>
        <v>966</v>
      </c>
      <c r="F64" s="23">
        <f t="shared" ref="F64:G64" si="38">SUM(F48:F63)</f>
        <v>988</v>
      </c>
      <c r="G64" s="34">
        <f t="shared" si="38"/>
        <v>1000</v>
      </c>
      <c r="H64" s="155">
        <f>IF('AW Schulen'!$B22=0,"x",C64/'AW Schulen'!$B22)</f>
        <v>5.7984414212125211E-2</v>
      </c>
      <c r="I64" s="155">
        <f>IF('AW Schulen'!$E22=0,"x",D64/'AW Schulen'!$E22)</f>
        <v>6.3275850499899353E-2</v>
      </c>
      <c r="J64" s="155">
        <f>IF('AW Schulen'!$H22=0,"x",E64/'AW Schulen'!$H22)</f>
        <v>6.5691941516490993E-2</v>
      </c>
      <c r="K64" s="155">
        <f>IF('AW Schulen'!$K22=0,"x",F64/'AW Schulen'!$K22)</f>
        <v>6.7578659370725033E-2</v>
      </c>
      <c r="L64" s="156">
        <f>IF('AW Schulen'!$N22=0,"x",G64/'AW Schulen'!$N22)</f>
        <v>6.854949273375377E-2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[1]GtS!$H$9</f>
        <v>221</v>
      </c>
      <c r="D66" s="23">
        <f>[2]GtS!$H$9</f>
        <v>224</v>
      </c>
      <c r="E66" s="23">
        <f>[3]GtS!$H$9</f>
        <v>305</v>
      </c>
      <c r="F66" s="23">
        <f>[4]GtS!$H$9</f>
        <v>370</v>
      </c>
      <c r="G66" s="34">
        <f>[5]GtS!$H$9</f>
        <v>441</v>
      </c>
      <c r="H66" s="155">
        <f>IF('AW Schulen'!$B6=0,"x",C66/'AW Schulen'!$B6)</f>
        <v>9.2507325240686486E-2</v>
      </c>
      <c r="I66" s="155">
        <f>IF('AW Schulen'!$E6=0,"x",D66/'AW Schulen'!$E6)</f>
        <v>9.709579540528826E-2</v>
      </c>
      <c r="J66" s="155">
        <f>IF('AW Schulen'!$H6=0,"x",E66/'AW Schulen'!$H6)</f>
        <v>0.13689407540394974</v>
      </c>
      <c r="K66" s="155">
        <f>IF('AW Schulen'!$K6=0,"x",F66/'AW Schulen'!$K6)</f>
        <v>0.1703499079189687</v>
      </c>
      <c r="L66" s="156">
        <f>IF('AW Schulen'!$N6=0,"x",G66/'AW Schulen'!$N6)</f>
        <v>0.20607476635514019</v>
      </c>
    </row>
    <row r="67" spans="1:12" ht="10.15" customHeight="1">
      <c r="A67" s="224" t="s">
        <v>81</v>
      </c>
      <c r="B67" s="120"/>
      <c r="C67" s="23">
        <f>[6]GtS!$H$9</f>
        <v>276</v>
      </c>
      <c r="D67" s="23">
        <f>[7]GtS!$H$9</f>
        <v>176</v>
      </c>
      <c r="E67" s="23">
        <f>[8]GtS!$H$9</f>
        <v>139</v>
      </c>
      <c r="F67" s="23">
        <f>[9]GtS!$H$9</f>
        <v>197</v>
      </c>
      <c r="G67" s="34">
        <f>[10]GtS!$H$9</f>
        <v>1143</v>
      </c>
      <c r="H67" s="155">
        <f>IF('AW Schulen'!$B7=0,"x",C67/'AW Schulen'!$B7)</f>
        <v>0.12180052956751986</v>
      </c>
      <c r="I67" s="155">
        <f>IF('AW Schulen'!$E7=0,"x",D67/'AW Schulen'!$E7)</f>
        <v>7.7876106194690264E-2</v>
      </c>
      <c r="J67" s="155">
        <f>IF('AW Schulen'!$H7=0,"x",E67/'AW Schulen'!$H7)</f>
        <v>6.1558901682905225E-2</v>
      </c>
      <c r="K67" s="155">
        <f>IF('AW Schulen'!$K7=0,"x",F67/'AW Schulen'!$K7)</f>
        <v>8.7245349867139055E-2</v>
      </c>
      <c r="L67" s="156">
        <f>IF('AW Schulen'!$N7=0,"x",G67/'AW Schulen'!$N7)</f>
        <v>0.50620017714791854</v>
      </c>
    </row>
    <row r="68" spans="1:12" ht="10.15" customHeight="1">
      <c r="A68" s="224" t="s">
        <v>82</v>
      </c>
      <c r="B68" s="120"/>
      <c r="C68" s="23">
        <f>[11]GtS!$H$9</f>
        <v>297</v>
      </c>
      <c r="D68" s="23">
        <f>[12]GtS!$H$9</f>
        <v>299</v>
      </c>
      <c r="E68" s="23">
        <f>[13]GtS!$H$9</f>
        <v>308</v>
      </c>
      <c r="F68" s="23">
        <f>[14]GtS!$H$9</f>
        <v>304</v>
      </c>
      <c r="G68" s="34">
        <f>[15]GtS!$H$9</f>
        <v>301</v>
      </c>
      <c r="H68" s="155">
        <f>IF('AW Schulen'!$B8=0,"x",C68/'AW Schulen'!$B8)</f>
        <v>0.8204419889502762</v>
      </c>
      <c r="I68" s="155">
        <f>IF('AW Schulen'!$E8=0,"x",D68/'AW Schulen'!$E8)</f>
        <v>0.82596685082872923</v>
      </c>
      <c r="J68" s="155">
        <f>IF('AW Schulen'!$H8=0,"x",E68/'AW Schulen'!$H8)</f>
        <v>0.83018867924528306</v>
      </c>
      <c r="K68" s="155">
        <f>IF('AW Schulen'!$K8=0,"x",F68/'AW Schulen'!$K8)</f>
        <v>0.82833787465940056</v>
      </c>
      <c r="L68" s="156">
        <f>IF('AW Schulen'!$N8=0,"x",G68/'AW Schulen'!$N8)</f>
        <v>0.81793478260869568</v>
      </c>
    </row>
    <row r="69" spans="1:12" ht="9" customHeight="1">
      <c r="A69" s="21" t="s">
        <v>83</v>
      </c>
      <c r="B69" s="120"/>
      <c r="C69" s="23">
        <f>[16]GtS!$H$9</f>
        <v>195</v>
      </c>
      <c r="D69" s="23">
        <f>[17]GtS!$H$9</f>
        <v>196</v>
      </c>
      <c r="E69" s="23">
        <f>[18]GtS!$H$9</f>
        <v>197</v>
      </c>
      <c r="F69" s="23">
        <f>[19]GtS!$H$9</f>
        <v>195</v>
      </c>
      <c r="G69" s="34">
        <f>[20]GtS!$H$9</f>
        <v>198</v>
      </c>
      <c r="H69" s="155">
        <f>IF('AW Schulen'!$B9=0,"x",C69/'AW Schulen'!$B9)</f>
        <v>0.44018058690744921</v>
      </c>
      <c r="I69" s="155">
        <f>IF('AW Schulen'!$E9=0,"x",D69/'AW Schulen'!$E9)</f>
        <v>0.44444444444444442</v>
      </c>
      <c r="J69" s="155">
        <f>IF('AW Schulen'!$H9=0,"x",E69/'AW Schulen'!$H9)</f>
        <v>0.4497716894977169</v>
      </c>
      <c r="K69" s="155">
        <f>IF('AW Schulen'!$K9=0,"x",F69/'AW Schulen'!$K9)</f>
        <v>0.44622425629290619</v>
      </c>
      <c r="L69" s="156">
        <f>IF('AW Schulen'!$N9=0,"x",G69/'AW Schulen'!$N9)</f>
        <v>0.45102505694760819</v>
      </c>
    </row>
    <row r="70" spans="1:12" ht="9" customHeight="1">
      <c r="A70" s="21" t="s">
        <v>84</v>
      </c>
      <c r="B70" s="120"/>
      <c r="C70" s="23">
        <f>[21]GtS!$H$9</f>
        <v>14</v>
      </c>
      <c r="D70" s="23">
        <f>[22]GtS!$H$9</f>
        <v>14</v>
      </c>
      <c r="E70" s="23">
        <f>[23]GtS!$H$9</f>
        <v>14</v>
      </c>
      <c r="F70" s="23">
        <f>[24]GtS!$H$9</f>
        <v>18</v>
      </c>
      <c r="G70" s="34">
        <f>[25]GtS!$H$9</f>
        <v>19</v>
      </c>
      <c r="H70" s="155">
        <f>IF('AW Schulen'!$B10=0,"x",C70/'AW Schulen'!$B10)</f>
        <v>0.15384615384615385</v>
      </c>
      <c r="I70" s="155">
        <f>IF('AW Schulen'!$E10=0,"x",D70/'AW Schulen'!$E10)</f>
        <v>0.15555555555555556</v>
      </c>
      <c r="J70" s="155">
        <f>IF('AW Schulen'!$H10=0,"x",E70/'AW Schulen'!$H10)</f>
        <v>0.15555555555555556</v>
      </c>
      <c r="K70" s="155">
        <f>IF('AW Schulen'!$K10=0,"x",F70/'AW Schulen'!$K10)</f>
        <v>0.2</v>
      </c>
      <c r="L70" s="156">
        <f>IF('AW Schulen'!$N10=0,"x",G70/'AW Schulen'!$N10)</f>
        <v>0.2087912087912088</v>
      </c>
    </row>
    <row r="71" spans="1:12" ht="9" customHeight="1">
      <c r="A71" s="21" t="s">
        <v>85</v>
      </c>
      <c r="B71" s="120"/>
      <c r="C71" s="23">
        <f>[26]GtS!$H$9</f>
        <v>83</v>
      </c>
      <c r="D71" s="23">
        <f>[27]GtS!$H$9</f>
        <v>141</v>
      </c>
      <c r="E71" s="23">
        <f>[28]GtS!$H$9</f>
        <v>141</v>
      </c>
      <c r="F71" s="23">
        <f>[29]GtS!$H$9</f>
        <v>145</v>
      </c>
      <c r="G71" s="34">
        <f>[30]GtS!$H$9</f>
        <v>140</v>
      </c>
      <c r="H71" s="155">
        <f>IF('AW Schulen'!$B11=0,"x",C71/'AW Schulen'!$B11)</f>
        <v>0.43229166666666669</v>
      </c>
      <c r="I71" s="155">
        <f>IF('AW Schulen'!$E11=0,"x",D71/'AW Schulen'!$E11)</f>
        <v>0.74210526315789471</v>
      </c>
      <c r="J71" s="155">
        <f>IF('AW Schulen'!$H11=0,"x",E71/'AW Schulen'!$H11)</f>
        <v>0.74210526315789471</v>
      </c>
      <c r="K71" s="155">
        <f>IF('AW Schulen'!$K11=0,"x",F71/'AW Schulen'!$K11)</f>
        <v>0.76315789473684215</v>
      </c>
      <c r="L71" s="156">
        <f>IF('AW Schulen'!$N11=0,"x",G71/'AW Schulen'!$N11)</f>
        <v>0.73298429319371727</v>
      </c>
    </row>
    <row r="72" spans="1:12" ht="9" customHeight="1">
      <c r="A72" s="21" t="s">
        <v>86</v>
      </c>
      <c r="B72" s="120"/>
      <c r="C72" s="23">
        <f>[66]GtS!$H$9</f>
        <v>358</v>
      </c>
      <c r="D72" s="23">
        <f>[67]GtS!$H$9</f>
        <v>419</v>
      </c>
      <c r="E72" s="23">
        <f>[68]GtS!$H$9</f>
        <v>452</v>
      </c>
      <c r="F72" s="23">
        <f>[69]GtS!$H$9</f>
        <v>501</v>
      </c>
      <c r="G72" s="34">
        <f>[70]GtS!$H$9</f>
        <v>552</v>
      </c>
      <c r="H72" s="155">
        <f>IF('AW Schulen'!$B12=0,"x",C72/'AW Schulen'!$B12)</f>
        <v>0.31765749778172137</v>
      </c>
      <c r="I72" s="155">
        <f>IF('AW Schulen'!$E12=0,"x",D72/'AW Schulen'!$E12)</f>
        <v>0.3757847533632287</v>
      </c>
      <c r="J72" s="155">
        <f>IF('AW Schulen'!$H12=0,"x",E72/'AW Schulen'!$H12)</f>
        <v>0.40538116591928253</v>
      </c>
      <c r="K72" s="155">
        <f>IF('AW Schulen'!$K12=0,"x",F72/'AW Schulen'!$K12)</f>
        <v>0.45380434782608697</v>
      </c>
      <c r="L72" s="156">
        <f>IF('AW Schulen'!$N12=0,"x",G72/'AW Schulen'!$N12)</f>
        <v>0.50136239782016345</v>
      </c>
    </row>
    <row r="73" spans="1:12" ht="9" customHeight="1">
      <c r="A73" s="21" t="s">
        <v>87</v>
      </c>
      <c r="B73" s="120"/>
      <c r="C73" s="23">
        <f>[31]GtS!$H$9</f>
        <v>0</v>
      </c>
      <c r="D73" s="23">
        <f>[32]GtS!$H$9</f>
        <v>2</v>
      </c>
      <c r="E73" s="23">
        <f>[33]GtS!$H$9</f>
        <v>0</v>
      </c>
      <c r="F73" s="23">
        <f>[34]GtS!$H$9</f>
        <v>0</v>
      </c>
      <c r="G73" s="34">
        <f>[35]GtS!$H$9</f>
        <v>0</v>
      </c>
      <c r="H73" s="155">
        <f>IF('AW Schulen'!$B13=0,"x",C73/'AW Schulen'!$B13)</f>
        <v>0</v>
      </c>
      <c r="I73" s="155">
        <f>IF('AW Schulen'!$E13=0,"x",D73/'AW Schulen'!$E13)</f>
        <v>7.3800738007380072E-3</v>
      </c>
      <c r="J73" s="155">
        <f>IF('AW Schulen'!$H13=0,"x",E73/'AW Schulen'!$H13)</f>
        <v>0</v>
      </c>
      <c r="K73" s="155">
        <f>IF('AW Schulen'!$K13=0,"x",F73/'AW Schulen'!$K13)</f>
        <v>0</v>
      </c>
      <c r="L73" s="156">
        <f>IF('AW Schulen'!$N13=0,"x",G73/'AW Schulen'!$N13)</f>
        <v>0</v>
      </c>
    </row>
    <row r="74" spans="1:12" ht="9" customHeight="1">
      <c r="A74" s="21" t="s">
        <v>88</v>
      </c>
      <c r="B74" s="120"/>
      <c r="C74" s="23">
        <f>[71]GtS!$H$9</f>
        <v>663</v>
      </c>
      <c r="D74" s="23">
        <f>[72]GtS!$H$9</f>
        <v>762</v>
      </c>
      <c r="E74" s="23">
        <f>[73]GtS!$H$9</f>
        <v>833</v>
      </c>
      <c r="F74" s="23">
        <f>[74]GtS!$H$9</f>
        <v>881</v>
      </c>
      <c r="G74" s="34">
        <f>[75]GtS!$H$9</f>
        <v>932</v>
      </c>
      <c r="H74" s="155">
        <f>IF('AW Schulen'!$B14=0,"x",C74/'AW Schulen'!$B14)</f>
        <v>0.37929061784897022</v>
      </c>
      <c r="I74" s="155">
        <f>IF('AW Schulen'!$E14=0,"x",D74/'AW Schulen'!$E14)</f>
        <v>0.44148319814600234</v>
      </c>
      <c r="J74" s="155">
        <f>IF('AW Schulen'!$H14=0,"x",E74/'AW Schulen'!$H14)</f>
        <v>0.48827667057444313</v>
      </c>
      <c r="K74" s="155">
        <f>IF('AW Schulen'!$K14=0,"x",F74/'AW Schulen'!$K14)</f>
        <v>0.52037802717070292</v>
      </c>
      <c r="L74" s="156">
        <f>IF('AW Schulen'!$N14=0,"x",G74/'AW Schulen'!$N14)</f>
        <v>0.55675029868578252</v>
      </c>
    </row>
    <row r="75" spans="1:12" ht="9" customHeight="1">
      <c r="A75" s="21" t="s">
        <v>89</v>
      </c>
      <c r="B75" s="120"/>
      <c r="C75" s="23">
        <f>[36]GtS!$H$9</f>
        <v>2655</v>
      </c>
      <c r="D75" s="23">
        <f>[37]GtS!$H$9</f>
        <v>2615</v>
      </c>
      <c r="E75" s="23">
        <f>[38]GtS!$H$9</f>
        <v>2587</v>
      </c>
      <c r="F75" s="23">
        <f>[39]GtS!$H$9</f>
        <v>2576</v>
      </c>
      <c r="G75" s="34">
        <f>[40]GtS!$H$9</f>
        <v>2561</v>
      </c>
      <c r="H75" s="155">
        <f>IF('AW Schulen'!$B15=0,"x",C75/'AW Schulen'!$B15)</f>
        <v>0.89153794492948291</v>
      </c>
      <c r="I75" s="155">
        <f>IF('AW Schulen'!$E15=0,"x",D75/'AW Schulen'!$E15)</f>
        <v>0.90453130404704252</v>
      </c>
      <c r="J75" s="155">
        <f>IF('AW Schulen'!$H15=0,"x",E75/'AW Schulen'!$H15)</f>
        <v>0.91510435090201625</v>
      </c>
      <c r="K75" s="155">
        <f>IF('AW Schulen'!$K15=0,"x",F75/'AW Schulen'!$K15)</f>
        <v>0.92462311557788945</v>
      </c>
      <c r="L75" s="156">
        <f>IF('AW Schulen'!$N15=0,"x",G75/'AW Schulen'!$N15)</f>
        <v>0.93127272727272725</v>
      </c>
    </row>
    <row r="76" spans="1:12" ht="9" customHeight="1">
      <c r="A76" s="21" t="s">
        <v>90</v>
      </c>
      <c r="B76" s="120"/>
      <c r="C76" s="23">
        <f>[41]GtS!$H$9</f>
        <v>326</v>
      </c>
      <c r="D76" s="23">
        <f>[42]GtS!$H$9</f>
        <v>315</v>
      </c>
      <c r="E76" s="23">
        <f>[43]GtS!$H$9</f>
        <v>322</v>
      </c>
      <c r="F76" s="23">
        <f>[44]GtS!$H$9</f>
        <v>334</v>
      </c>
      <c r="G76" s="34">
        <f>[45]GtS!$H$9</f>
        <v>362</v>
      </c>
      <c r="H76" s="155">
        <f>IF('AW Schulen'!$B16=0,"x",C76/'AW Schulen'!$B16)</f>
        <v>0.34388185654008441</v>
      </c>
      <c r="I76" s="155">
        <f>IF('AW Schulen'!$E16=0,"x",D76/'AW Schulen'!$E16)</f>
        <v>0.33227848101265822</v>
      </c>
      <c r="J76" s="155">
        <f>IF('AW Schulen'!$H16=0,"x",E76/'AW Schulen'!$H16)</f>
        <v>0.34074074074074073</v>
      </c>
      <c r="K76" s="155">
        <f>IF('AW Schulen'!$K16=0,"x",F76/'AW Schulen'!$K16)</f>
        <v>0.35494155154091395</v>
      </c>
      <c r="L76" s="156">
        <f>IF('AW Schulen'!$N16=0,"x",G76/'AW Schulen'!$N16)</f>
        <v>0.3851063829787234</v>
      </c>
    </row>
    <row r="77" spans="1:12" ht="9" customHeight="1">
      <c r="A77" s="21" t="s">
        <v>91</v>
      </c>
      <c r="B77" s="120"/>
      <c r="C77" s="23">
        <f>[46]GtS!$H$9</f>
        <v>147</v>
      </c>
      <c r="D77" s="23">
        <f>[47]GtS!$H$9</f>
        <v>145</v>
      </c>
      <c r="E77" s="23">
        <f>[48]GtS!$H$9</f>
        <v>144</v>
      </c>
      <c r="F77" s="23">
        <f>[49]GtS!$H$9</f>
        <v>144</v>
      </c>
      <c r="G77" s="34">
        <f>[50]GtS!$H$9</f>
        <v>142</v>
      </c>
      <c r="H77" s="155">
        <f>IF('AW Schulen'!$B17=0,"x",C77/'AW Schulen'!$B17)</f>
        <v>0.94838709677419353</v>
      </c>
      <c r="I77" s="155">
        <f>IF('AW Schulen'!$E17=0,"x",D77/'AW Schulen'!$E17)</f>
        <v>0.93548387096774188</v>
      </c>
      <c r="J77" s="155">
        <f>IF('AW Schulen'!$H17=0,"x",E77/'AW Schulen'!$H17)</f>
        <v>0.92903225806451617</v>
      </c>
      <c r="K77" s="155">
        <f>IF('AW Schulen'!$K17=0,"x",F77/'AW Schulen'!$K17)</f>
        <v>0.92903225806451617</v>
      </c>
      <c r="L77" s="156">
        <f>IF('AW Schulen'!$N17=0,"x",G77/'AW Schulen'!$N17)</f>
        <v>0.91612903225806452</v>
      </c>
    </row>
    <row r="78" spans="1:12" ht="9" customHeight="1">
      <c r="A78" s="21" t="s">
        <v>92</v>
      </c>
      <c r="B78" s="120"/>
      <c r="C78" s="23">
        <f>[51]GtS!$H$9</f>
        <v>577</v>
      </c>
      <c r="D78" s="23">
        <f>[52]GtS!$H$9</f>
        <v>564</v>
      </c>
      <c r="E78" s="23">
        <f>[53]GtS!$H$9</f>
        <v>555</v>
      </c>
      <c r="F78" s="23">
        <f>[54]GtS!$H$9</f>
        <v>545</v>
      </c>
      <c r="G78" s="34">
        <f>[55]GtS!$H$9</f>
        <v>539</v>
      </c>
      <c r="H78" s="155">
        <f>IF('AW Schulen'!$B18=0,"x",C78/'AW Schulen'!$B18)</f>
        <v>0.76423841059602649</v>
      </c>
      <c r="I78" s="155">
        <f>IF('AW Schulen'!$E18=0,"x",D78/'AW Schulen'!$E18)</f>
        <v>0.75603217158176939</v>
      </c>
      <c r="J78" s="155">
        <f>IF('AW Schulen'!$H18=0,"x",E78/'AW Schulen'!$H18)</f>
        <v>0.74396782841823061</v>
      </c>
      <c r="K78" s="155">
        <f>IF('AW Schulen'!$K18=0,"x",F78/'AW Schulen'!$K18)</f>
        <v>0.73056300268096519</v>
      </c>
      <c r="L78" s="156">
        <f>IF('AW Schulen'!$N18=0,"x",G78/'AW Schulen'!$N18)</f>
        <v>0.72252010723860594</v>
      </c>
    </row>
    <row r="79" spans="1:12" ht="9" customHeight="1">
      <c r="A79" s="21" t="s">
        <v>93</v>
      </c>
      <c r="B79" s="120"/>
      <c r="C79" s="23">
        <f>[76]GtS!$H$9</f>
        <v>15</v>
      </c>
      <c r="D79" s="23">
        <f>[77]GtS!$H$9</f>
        <v>15</v>
      </c>
      <c r="E79" s="23">
        <f>[78]GtS!$H$9</f>
        <v>15</v>
      </c>
      <c r="F79" s="23">
        <f>[79]GtS!$H$9</f>
        <v>15</v>
      </c>
      <c r="G79" s="34">
        <f>[80]GtS!$H$9</f>
        <v>308</v>
      </c>
      <c r="H79" s="155">
        <f>IF('AW Schulen'!$B19=0,"x",C79/'AW Schulen'!$B19)</f>
        <v>3.0060120240480961E-2</v>
      </c>
      <c r="I79" s="155">
        <f>IF('AW Schulen'!$E19=0,"x",D79/'AW Schulen'!$E19)</f>
        <v>3.0549898167006109E-2</v>
      </c>
      <c r="J79" s="155">
        <f>IF('AW Schulen'!$H19=0,"x",E79/'AW Schulen'!$H19)</f>
        <v>3.2537960954446853E-2</v>
      </c>
      <c r="K79" s="155">
        <f>IF('AW Schulen'!$K19=0,"x",F79/'AW Schulen'!$K19)</f>
        <v>3.3112582781456956E-2</v>
      </c>
      <c r="L79" s="156">
        <f>IF('AW Schulen'!$N19=0,"x",G79/'AW Schulen'!$N19)</f>
        <v>0.68596881959910916</v>
      </c>
    </row>
    <row r="80" spans="1:12" ht="9" customHeight="1">
      <c r="A80" s="21" t="s">
        <v>94</v>
      </c>
      <c r="B80" s="120"/>
      <c r="C80" s="23">
        <f>[56]GtS!$H$9</f>
        <v>220</v>
      </c>
      <c r="D80" s="23">
        <f>[57]GtS!$H$9</f>
        <v>236</v>
      </c>
      <c r="E80" s="23">
        <f>[58]GtS!$H$9</f>
        <v>252</v>
      </c>
      <c r="F80" s="23">
        <f>[59]GtS!$H$9</f>
        <v>311</v>
      </c>
      <c r="G80" s="34">
        <f>[60]GtS!$H$9</f>
        <v>362</v>
      </c>
      <c r="H80" s="155">
        <f>IF('AW Schulen'!$B20=0,"x",C80/'AW Schulen'!$B20)</f>
        <v>0.45081967213114754</v>
      </c>
      <c r="I80" s="155">
        <f>IF('AW Schulen'!$E20=0,"x",D80/'AW Schulen'!$E20)</f>
        <v>0.48962655601659749</v>
      </c>
      <c r="J80" s="155">
        <f>IF('AW Schulen'!$H20=0,"x",E80/'AW Schulen'!$H20)</f>
        <v>0.52830188679245282</v>
      </c>
      <c r="K80" s="155">
        <f>IF('AW Schulen'!$K20=0,"x",F80/'AW Schulen'!$K20)</f>
        <v>0.57914338919925512</v>
      </c>
      <c r="L80" s="156">
        <f>IF('AW Schulen'!$N20=0,"x",G80/'AW Schulen'!$N20)</f>
        <v>0.59933774834437081</v>
      </c>
    </row>
    <row r="81" spans="1:12" ht="9" customHeight="1">
      <c r="A81" s="21" t="s">
        <v>95</v>
      </c>
      <c r="B81" s="120"/>
      <c r="C81" s="23">
        <f>[61]GtS!$H$9</f>
        <v>423</v>
      </c>
      <c r="D81" s="23">
        <f>[62]GtS!$H$9</f>
        <v>423</v>
      </c>
      <c r="E81" s="23">
        <f>[63]GtS!$H$9</f>
        <v>423</v>
      </c>
      <c r="F81" s="23">
        <f>[64]GtS!$H$9</f>
        <v>416</v>
      </c>
      <c r="G81" s="34">
        <f>[65]GtS!$H$9</f>
        <v>408</v>
      </c>
      <c r="H81" s="155">
        <f>IF('AW Schulen'!$B21=0,"x",C81/'AW Schulen'!$B21)</f>
        <v>0.98601398601398604</v>
      </c>
      <c r="I81" s="155">
        <f>IF('AW Schulen'!$E21=0,"x",D81/'AW Schulen'!$E21)</f>
        <v>0.98831775700934577</v>
      </c>
      <c r="J81" s="155">
        <f>IF('AW Schulen'!$H21=0,"x",E81/'AW Schulen'!$H21)</f>
        <v>0.99063231850117095</v>
      </c>
      <c r="K81" s="155">
        <f>IF('AW Schulen'!$K21=0,"x",F81/'AW Schulen'!$K21)</f>
        <v>0.98812351543942989</v>
      </c>
      <c r="L81" s="156">
        <f>IF('AW Schulen'!$N21=0,"x",G81/'AW Schulen'!$N21)</f>
        <v>0.98789346246973364</v>
      </c>
    </row>
    <row r="82" spans="1:12" ht="9" customHeight="1">
      <c r="A82" s="24" t="s">
        <v>96</v>
      </c>
      <c r="B82" s="121"/>
      <c r="C82" s="26">
        <f t="shared" ref="C82:E82" si="39">SUM(C66:C81)</f>
        <v>6470</v>
      </c>
      <c r="D82" s="26">
        <f t="shared" si="39"/>
        <v>6546</v>
      </c>
      <c r="E82" s="26">
        <f t="shared" si="39"/>
        <v>6687</v>
      </c>
      <c r="F82" s="26">
        <f t="shared" ref="F82:G82" si="40">SUM(F66:F81)</f>
        <v>6952</v>
      </c>
      <c r="G82" s="47">
        <f t="shared" si="40"/>
        <v>8408</v>
      </c>
      <c r="H82" s="157">
        <f>IF('AW Schulen'!$B22=0,"x",C82/'AW Schulen'!$B22)</f>
        <v>0.42728833707568353</v>
      </c>
      <c r="I82" s="157">
        <f>IF('AW Schulen'!$E22=0,"x",D82/'AW Schulen'!$E22)</f>
        <v>0.43924042139166608</v>
      </c>
      <c r="J82" s="157">
        <f>IF('AW Schulen'!$H22=0,"x",E82/'AW Schulen'!$H22)</f>
        <v>0.4547432845970758</v>
      </c>
      <c r="K82" s="157">
        <f>IF('AW Schulen'!$K22=0,"x",F82/'AW Schulen'!$K22)</f>
        <v>0.47551299589603285</v>
      </c>
      <c r="L82" s="158">
        <f>IF('AW Schulen'!$N22=0,"x",G82/'AW Schulen'!$N22)</f>
        <v>0.57636413490540173</v>
      </c>
    </row>
    <row r="83" spans="1:12" ht="18.75" customHeight="1">
      <c r="A83" s="396" t="s">
        <v>312</v>
      </c>
      <c r="B83" s="396"/>
      <c r="C83" s="396"/>
      <c r="D83" s="396"/>
      <c r="E83" s="396"/>
      <c r="F83" s="396"/>
      <c r="G83" s="396"/>
      <c r="H83" s="396"/>
      <c r="I83" s="396"/>
      <c r="J83" s="396"/>
      <c r="K83" s="396"/>
      <c r="L83" s="396"/>
    </row>
    <row r="84" spans="1:12" ht="10.5" customHeight="1">
      <c r="A84" s="306"/>
      <c r="B84" s="306"/>
      <c r="C84" s="306"/>
      <c r="D84" s="306"/>
      <c r="E84" s="306"/>
      <c r="F84" s="316"/>
      <c r="G84" s="343"/>
      <c r="H84" s="306"/>
      <c r="I84" s="305"/>
      <c r="J84" s="246"/>
      <c r="K84" s="315"/>
      <c r="L84" s="342"/>
    </row>
    <row r="85" spans="1:12" ht="10.15" customHeight="1">
      <c r="A85" s="214"/>
    </row>
  </sheetData>
  <mergeCells count="8">
    <mergeCell ref="A83:L83"/>
    <mergeCell ref="A1:L1"/>
    <mergeCell ref="A65:L65"/>
    <mergeCell ref="H9:L9"/>
    <mergeCell ref="C9:G9"/>
    <mergeCell ref="A11:L11"/>
    <mergeCell ref="A47:L47"/>
    <mergeCell ref="A29:L29"/>
  </mergeCells>
  <phoneticPr fontId="18" type="noConversion"/>
  <conditionalFormatting sqref="N25">
    <cfRule type="cellIs" dxfId="55"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M84"/>
  <sheetViews>
    <sheetView view="pageBreakPreview" topLeftCell="A64" zoomScale="190" zoomScaleNormal="140" zoomScaleSheetLayoutView="19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'2.2.1'!A1:G1+1</f>
        <v>16</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2.6" customHeight="1">
      <c r="A5" s="13" t="s">
        <v>230</v>
      </c>
      <c r="B5" s="39" t="s">
        <v>9</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1</v>
      </c>
      <c r="D12" s="42">
        <f t="shared" si="0"/>
        <v>1</v>
      </c>
      <c r="E12" s="42">
        <f t="shared" ref="E12:F12" si="1">SUM(E30+E48+E66)</f>
        <v>1</v>
      </c>
      <c r="F12" s="42">
        <f t="shared" si="1"/>
        <v>1</v>
      </c>
      <c r="G12" s="44">
        <f t="shared" ref="G12" si="2">SUM(G30+G48+G66)</f>
        <v>1</v>
      </c>
      <c r="H12" s="153">
        <f>IF('AW Schulen'!$B24=0,"x",C12/'AW Schulen'!$B24)</f>
        <v>1</v>
      </c>
      <c r="I12" s="153">
        <f>IF('AW Schulen'!$E24=0,"x",D12/'AW Schulen'!$E24)</f>
        <v>1</v>
      </c>
      <c r="J12" s="153">
        <f>IF('AW Schulen'!$H24=0,"x",E12/'AW Schulen'!$H24)</f>
        <v>1</v>
      </c>
      <c r="K12" s="153">
        <f>IF('AW Schulen'!$K24=0,"x",F12/'AW Schulen'!$K24)</f>
        <v>1</v>
      </c>
      <c r="L12" s="154">
        <f>IF('AW Schulen'!$N24=0,"x",G12/'AW Schulen'!$N24)</f>
        <v>1</v>
      </c>
    </row>
    <row r="13" spans="1:13" ht="9" customHeight="1">
      <c r="A13" s="21" t="s">
        <v>81</v>
      </c>
      <c r="B13" s="120"/>
      <c r="C13" s="42">
        <f t="shared" si="0"/>
        <v>1</v>
      </c>
      <c r="D13" s="42">
        <f t="shared" si="0"/>
        <v>1</v>
      </c>
      <c r="E13" s="42">
        <f t="shared" ref="E13:F13" si="3">SUM(E31+E49+E67)</f>
        <v>1</v>
      </c>
      <c r="F13" s="42" t="e">
        <f t="shared" si="3"/>
        <v>#VALUE!</v>
      </c>
      <c r="G13" s="44">
        <f t="shared" ref="G13" si="4">SUM(G31+G49+G67)</f>
        <v>1</v>
      </c>
      <c r="H13" s="153">
        <f>IF('AW Schulen'!$B25=0,"x",C13/'AW Schulen'!$B25)</f>
        <v>1</v>
      </c>
      <c r="I13" s="153">
        <f>IF('AW Schulen'!$E25=0,"x",D13/'AW Schulen'!$E25)</f>
        <v>1</v>
      </c>
      <c r="J13" s="153">
        <f>IF('AW Schulen'!$H25=0,"x",E13/'AW Schulen'!$H25)</f>
        <v>1</v>
      </c>
      <c r="K13" s="153" t="e">
        <f>IF('AW Schulen'!$K25=0,"x",F13/'AW Schulen'!$K25)</f>
        <v>#VALUE!</v>
      </c>
      <c r="L13" s="154">
        <f>IF('AW Schulen'!$N25=0,"x",G13/'AW Schulen'!$N25)</f>
        <v>1</v>
      </c>
    </row>
    <row r="14" spans="1:13" ht="9" customHeight="1">
      <c r="A14" s="21" t="s">
        <v>82</v>
      </c>
      <c r="B14" s="120"/>
      <c r="C14" s="42">
        <f t="shared" si="0"/>
        <v>358</v>
      </c>
      <c r="D14" s="42">
        <f t="shared" si="0"/>
        <v>359</v>
      </c>
      <c r="E14" s="42">
        <f t="shared" ref="E14:F14" si="5">SUM(E32+E50+E68)</f>
        <v>353</v>
      </c>
      <c r="F14" s="42">
        <f t="shared" si="5"/>
        <v>364</v>
      </c>
      <c r="G14" s="44">
        <f t="shared" ref="G14" si="6">SUM(G32+G50+G68)</f>
        <v>356</v>
      </c>
      <c r="H14" s="153">
        <f>IF('AW Schulen'!$B26=0,"x",C14/'AW Schulen'!$B26)</f>
        <v>1</v>
      </c>
      <c r="I14" s="153">
        <f>IF('AW Schulen'!$E26=0,"x",D14/'AW Schulen'!$E26)</f>
        <v>1</v>
      </c>
      <c r="J14" s="153">
        <f>IF('AW Schulen'!$H26=0,"x",E14/'AW Schulen'!$H26)</f>
        <v>0.95663956639566394</v>
      </c>
      <c r="K14" s="153">
        <f>IF('AW Schulen'!$K26=0,"x",F14/'AW Schulen'!$K26)</f>
        <v>0.99726027397260275</v>
      </c>
      <c r="L14" s="154">
        <f>IF('AW Schulen'!$N26=0,"x",G14/'AW Schulen'!$N26)</f>
        <v>0.96739130434782605</v>
      </c>
    </row>
    <row r="15" spans="1:13" ht="9" customHeight="1">
      <c r="A15" s="21" t="s">
        <v>83</v>
      </c>
      <c r="B15" s="120"/>
      <c r="C15" s="42">
        <f t="shared" si="0"/>
        <v>195</v>
      </c>
      <c r="D15" s="42">
        <f t="shared" si="0"/>
        <v>198</v>
      </c>
      <c r="E15" s="42">
        <f t="shared" ref="E15:F15" si="7">SUM(E33+E51+E69)</f>
        <v>199</v>
      </c>
      <c r="F15" s="42">
        <f t="shared" si="7"/>
        <v>196</v>
      </c>
      <c r="G15" s="44">
        <f t="shared" ref="G15" si="8">SUM(G33+G51+G69)</f>
        <v>200</v>
      </c>
      <c r="H15" s="153">
        <f>IF('AW Schulen'!$B27=0,"x",C15/'AW Schulen'!$B27)</f>
        <v>0.44318181818181818</v>
      </c>
      <c r="I15" s="153">
        <f>IF('AW Schulen'!$E27=0,"x",D15/'AW Schulen'!$E27)</f>
        <v>0.45205479452054792</v>
      </c>
      <c r="J15" s="153">
        <f>IF('AW Schulen'!$H27=0,"x",E15/'AW Schulen'!$H27)</f>
        <v>0.45642201834862384</v>
      </c>
      <c r="K15" s="153">
        <f>IF('AW Schulen'!$K27=0,"x",F15/'AW Schulen'!$K27)</f>
        <v>0.45161290322580644</v>
      </c>
      <c r="L15" s="154">
        <f>IF('AW Schulen'!$N27=0,"x",G15/'AW Schulen'!$N27)</f>
        <v>0.46189376443418012</v>
      </c>
    </row>
    <row r="16" spans="1:13" ht="9" customHeight="1">
      <c r="A16" s="21" t="s">
        <v>84</v>
      </c>
      <c r="B16" s="120"/>
      <c r="C16" s="149">
        <f t="shared" si="0"/>
        <v>0</v>
      </c>
      <c r="D16" s="149">
        <f t="shared" si="0"/>
        <v>0</v>
      </c>
      <c r="E16" s="149">
        <f t="shared" ref="E16:F16" si="9">SUM(E34+E52+E70)</f>
        <v>0</v>
      </c>
      <c r="F16" s="149">
        <f t="shared" si="9"/>
        <v>0</v>
      </c>
      <c r="G16" s="150">
        <f t="shared" ref="G16" si="10">SUM(G34+G52+G70)</f>
        <v>0</v>
      </c>
      <c r="H16" s="153" t="str">
        <f>IF('AW Schulen'!$B28=0,"x",C16/'AW Schulen'!$B28)</f>
        <v>x</v>
      </c>
      <c r="I16" s="153" t="str">
        <f>IF('AW Schulen'!$E28=0,"x",D16/'AW Schulen'!$E28)</f>
        <v>x</v>
      </c>
      <c r="J16" s="153" t="str">
        <f>IF('AW Schulen'!$H28=0,"x",E16/'AW Schulen'!$H28)</f>
        <v>x</v>
      </c>
      <c r="K16" s="153" t="str">
        <f>IF('AW Schulen'!$K28=0,"x",F16/'AW Schulen'!$K28)</f>
        <v>x</v>
      </c>
      <c r="L16" s="154" t="str">
        <f>IF('AW Schulen'!$N28=0,"x",G16/'AW Schulen'!$N28)</f>
        <v>x</v>
      </c>
    </row>
    <row r="17" spans="1:12" ht="9" customHeight="1">
      <c r="A17" s="21" t="s">
        <v>85</v>
      </c>
      <c r="B17" s="120"/>
      <c r="C17" s="42">
        <f t="shared" si="0"/>
        <v>1</v>
      </c>
      <c r="D17" s="42">
        <f t="shared" si="0"/>
        <v>4</v>
      </c>
      <c r="E17" s="42">
        <f t="shared" ref="E17:F17" si="11">SUM(E35+E53+E71)</f>
        <v>4</v>
      </c>
      <c r="F17" s="42">
        <f t="shared" si="11"/>
        <v>4</v>
      </c>
      <c r="G17" s="44">
        <f t="shared" ref="G17" si="12">SUM(G35+G53+G71)</f>
        <v>4</v>
      </c>
      <c r="H17" s="153">
        <f>IF('AW Schulen'!$B29=0,"x",C17/'AW Schulen'!$B29)</f>
        <v>0.2</v>
      </c>
      <c r="I17" s="153">
        <f>IF('AW Schulen'!$E29=0,"x",D17/'AW Schulen'!$E29)</f>
        <v>1</v>
      </c>
      <c r="J17" s="153">
        <f>IF('AW Schulen'!$H29=0,"x",E17/'AW Schulen'!$H29)</f>
        <v>1</v>
      </c>
      <c r="K17" s="153">
        <f>IF('AW Schulen'!$K29=0,"x",F17/'AW Schulen'!$K29)</f>
        <v>1</v>
      </c>
      <c r="L17" s="154">
        <f>IF('AW Schulen'!$N29=0,"x",G17/'AW Schulen'!$N29)</f>
        <v>1</v>
      </c>
    </row>
    <row r="18" spans="1:12" ht="9" customHeight="1">
      <c r="A18" s="21" t="s">
        <v>86</v>
      </c>
      <c r="B18" s="120"/>
      <c r="C18" s="42">
        <f t="shared" si="0"/>
        <v>109</v>
      </c>
      <c r="D18" s="42">
        <f t="shared" si="0"/>
        <v>113</v>
      </c>
      <c r="E18" s="42">
        <f t="shared" ref="E18:F18" si="13">SUM(E36+E54+E72)</f>
        <v>110</v>
      </c>
      <c r="F18" s="42">
        <f t="shared" si="13"/>
        <v>112</v>
      </c>
      <c r="G18" s="44">
        <f t="shared" ref="G18" si="14">SUM(G36+G54+G72)</f>
        <v>113</v>
      </c>
      <c r="H18" s="153">
        <f>IF('AW Schulen'!$B30=0,"x",C18/'AW Schulen'!$B30)</f>
        <v>0.92372881355932202</v>
      </c>
      <c r="I18" s="153">
        <f>IF('AW Schulen'!$E30=0,"x",D18/'AW Schulen'!$E30)</f>
        <v>0.94166666666666665</v>
      </c>
      <c r="J18" s="153">
        <f>IF('AW Schulen'!$H30=0,"x",E18/'AW Schulen'!$H30)</f>
        <v>0.94017094017094016</v>
      </c>
      <c r="K18" s="153">
        <f>IF('AW Schulen'!$K30=0,"x",F18/'AW Schulen'!$K30)</f>
        <v>0.95726495726495731</v>
      </c>
      <c r="L18" s="154">
        <f>IF('AW Schulen'!$N30=0,"x",G18/'AW Schulen'!$N30)</f>
        <v>0.97413793103448276</v>
      </c>
    </row>
    <row r="19" spans="1:12" ht="9" customHeight="1">
      <c r="A19" s="21" t="s">
        <v>87</v>
      </c>
      <c r="B19" s="120"/>
      <c r="C19" s="149">
        <f t="shared" si="0"/>
        <v>0</v>
      </c>
      <c r="D19" s="149">
        <f t="shared" si="0"/>
        <v>0</v>
      </c>
      <c r="E19" s="149">
        <f t="shared" ref="E19:F19" si="15">SUM(E37+E55+E73)</f>
        <v>0</v>
      </c>
      <c r="F19" s="149">
        <f t="shared" si="15"/>
        <v>0</v>
      </c>
      <c r="G19" s="150">
        <f t="shared" ref="G19" si="16">SUM(G37+G55+G73)</f>
        <v>0</v>
      </c>
      <c r="H19" s="153" t="str">
        <f>IF('AW Schulen'!$B31=0,"x",C19/'AW Schulen'!$B31)</f>
        <v>x</v>
      </c>
      <c r="I19" s="153" t="str">
        <f>IF('AW Schulen'!$E31=0,"x",D19/'AW Schulen'!$E31)</f>
        <v>x</v>
      </c>
      <c r="J19" s="153" t="str">
        <f>IF('AW Schulen'!$H31=0,"x",E19/'AW Schulen'!$H31)</f>
        <v>x</v>
      </c>
      <c r="K19" s="153" t="str">
        <f>IF('AW Schulen'!$K31=0,"x",F19/'AW Schulen'!$K31)</f>
        <v>x</v>
      </c>
      <c r="L19" s="154" t="str">
        <f>IF('AW Schulen'!$N31=0,"x",G19/'AW Schulen'!$N31)</f>
        <v>x</v>
      </c>
    </row>
    <row r="20" spans="1:12" ht="9" customHeight="1">
      <c r="A20" s="21" t="s">
        <v>88</v>
      </c>
      <c r="B20" s="120"/>
      <c r="C20" s="149">
        <f t="shared" si="0"/>
        <v>0</v>
      </c>
      <c r="D20" s="149">
        <f t="shared" si="0"/>
        <v>0</v>
      </c>
      <c r="E20" s="149">
        <f t="shared" ref="E20:F20" si="17">SUM(E38+E56+E74)</f>
        <v>0</v>
      </c>
      <c r="F20" s="149">
        <f t="shared" si="17"/>
        <v>0</v>
      </c>
      <c r="G20" s="150">
        <f t="shared" ref="G20" si="18">SUM(G38+G56+G74)</f>
        <v>0</v>
      </c>
      <c r="H20" s="153" t="str">
        <f>IF('AW Schulen'!$B32=0,"x",C20/'AW Schulen'!$B32)</f>
        <v>x</v>
      </c>
      <c r="I20" s="153" t="str">
        <f>IF('AW Schulen'!$E32=0,"x",D20/'AW Schulen'!$E32)</f>
        <v>x</v>
      </c>
      <c r="J20" s="153" t="str">
        <f>IF('AW Schulen'!$H32=0,"x",E20/'AW Schulen'!$H32)</f>
        <v>x</v>
      </c>
      <c r="K20" s="153" t="str">
        <f>IF('AW Schulen'!$K32=0,"x",F20/'AW Schulen'!$K32)</f>
        <v>x</v>
      </c>
      <c r="L20" s="154" t="str">
        <f>IF('AW Schulen'!$N32=0,"x",G20/'AW Schulen'!$N32)</f>
        <v>x</v>
      </c>
    </row>
    <row r="21" spans="1:12" ht="9" customHeight="1">
      <c r="A21" s="21" t="s">
        <v>89</v>
      </c>
      <c r="B21" s="120"/>
      <c r="C21" s="149">
        <f t="shared" si="0"/>
        <v>0</v>
      </c>
      <c r="D21" s="149">
        <f t="shared" si="0"/>
        <v>0</v>
      </c>
      <c r="E21" s="149">
        <f t="shared" ref="E21:F21" si="19">SUM(E39+E57+E75)</f>
        <v>0</v>
      </c>
      <c r="F21" s="149">
        <f t="shared" si="19"/>
        <v>0</v>
      </c>
      <c r="G21" s="150">
        <f t="shared" ref="G21" si="20">SUM(G39+G57+G75)</f>
        <v>0</v>
      </c>
      <c r="H21" s="153" t="str">
        <f>IF('AW Schulen'!$B33=0,"x",C21/'AW Schulen'!$B33)</f>
        <v>x</v>
      </c>
      <c r="I21" s="153" t="str">
        <f>IF('AW Schulen'!$E33=0,"x",D21/'AW Schulen'!$E33)</f>
        <v>x</v>
      </c>
      <c r="J21" s="153" t="str">
        <f>IF('AW Schulen'!$H33=0,"x",E21/'AW Schulen'!$H33)</f>
        <v>x</v>
      </c>
      <c r="K21" s="153" t="str">
        <f>IF('AW Schulen'!$K33=0,"x",F21/'AW Schulen'!$K33)</f>
        <v>x</v>
      </c>
      <c r="L21" s="154" t="str">
        <f>IF('AW Schulen'!$N33=0,"x",G21/'AW Schulen'!$N33)</f>
        <v>x</v>
      </c>
    </row>
    <row r="22" spans="1:12" ht="9" customHeight="1">
      <c r="A22" s="21" t="s">
        <v>90</v>
      </c>
      <c r="B22" s="120"/>
      <c r="C22" s="149">
        <f t="shared" si="0"/>
        <v>0</v>
      </c>
      <c r="D22" s="149">
        <f t="shared" si="0"/>
        <v>0</v>
      </c>
      <c r="E22" s="149">
        <f t="shared" ref="E22:F22" si="21">SUM(E40+E58+E76)</f>
        <v>0</v>
      </c>
      <c r="F22" s="149">
        <f t="shared" si="21"/>
        <v>0</v>
      </c>
      <c r="G22" s="150">
        <f t="shared" ref="G22" si="22">SUM(G40+G58+G76)</f>
        <v>0</v>
      </c>
      <c r="H22" s="153" t="str">
        <f>IF('AW Schulen'!$B34=0,"x",C22/'AW Schulen'!$B34)</f>
        <v>x</v>
      </c>
      <c r="I22" s="153" t="str">
        <f>IF('AW Schulen'!$E34=0,"x",D22/'AW Schulen'!$E34)</f>
        <v>x</v>
      </c>
      <c r="J22" s="153" t="str">
        <f>IF('AW Schulen'!$H34=0,"x",E22/'AW Schulen'!$H34)</f>
        <v>x</v>
      </c>
      <c r="K22" s="153" t="str">
        <f>IF('AW Schulen'!$K34=0,"x",F22/'AW Schulen'!$K34)</f>
        <v>x</v>
      </c>
      <c r="L22" s="154" t="str">
        <f>IF('AW Schulen'!$N34=0,"x",G22/'AW Schulen'!$N34)</f>
        <v>x</v>
      </c>
    </row>
    <row r="23" spans="1:12" ht="9" customHeight="1">
      <c r="A23" s="21" t="s">
        <v>91</v>
      </c>
      <c r="B23" s="120"/>
      <c r="C23" s="149">
        <f t="shared" si="0"/>
        <v>0</v>
      </c>
      <c r="D23" s="149">
        <f t="shared" si="0"/>
        <v>0</v>
      </c>
      <c r="E23" s="149">
        <f t="shared" ref="E23:F23" si="23">SUM(E41+E59+E77)</f>
        <v>0</v>
      </c>
      <c r="F23" s="149">
        <f t="shared" si="23"/>
        <v>0</v>
      </c>
      <c r="G23" s="150">
        <f t="shared" ref="G23" si="24">SUM(G41+G59+G77)</f>
        <v>0</v>
      </c>
      <c r="H23" s="153" t="str">
        <f>IF('AW Schulen'!$B35=0,"x",C23/'AW Schulen'!$B35)</f>
        <v>x</v>
      </c>
      <c r="I23" s="153" t="str">
        <f>IF('AW Schulen'!$E35=0,"x",D23/'AW Schulen'!$E35)</f>
        <v>x</v>
      </c>
      <c r="J23" s="153" t="str">
        <f>IF('AW Schulen'!$H35=0,"x",E23/'AW Schulen'!$H35)</f>
        <v>x</v>
      </c>
      <c r="K23" s="153" t="str">
        <f>IF('AW Schulen'!$K35=0,"x",F23/'AW Schulen'!$K35)</f>
        <v>x</v>
      </c>
      <c r="L23" s="154" t="str">
        <f>IF('AW Schulen'!$N35=0,"x",G23/'AW Schulen'!$N35)</f>
        <v>x</v>
      </c>
    </row>
    <row r="24" spans="1:12" ht="9" customHeight="1">
      <c r="A24" s="21" t="s">
        <v>92</v>
      </c>
      <c r="B24" s="120"/>
      <c r="C24" s="149">
        <f t="shared" si="0"/>
        <v>0</v>
      </c>
      <c r="D24" s="149">
        <f t="shared" si="0"/>
        <v>0</v>
      </c>
      <c r="E24" s="149">
        <f t="shared" ref="E24:F24" si="25">SUM(E42+E60+E78)</f>
        <v>0</v>
      </c>
      <c r="F24" s="149">
        <f t="shared" si="25"/>
        <v>0</v>
      </c>
      <c r="G24" s="150">
        <f t="shared" ref="G24" si="26">SUM(G42+G60+G78)</f>
        <v>0</v>
      </c>
      <c r="H24" s="153" t="str">
        <f>IF('AW Schulen'!$B36=0,"x",C24/'AW Schulen'!$B36)</f>
        <v>x</v>
      </c>
      <c r="I24" s="153" t="str">
        <f>IF('AW Schulen'!$E36=0,"x",D24/'AW Schulen'!$E36)</f>
        <v>x</v>
      </c>
      <c r="J24" s="153" t="str">
        <f>IF('AW Schulen'!$H36=0,"x",E24/'AW Schulen'!$H36)</f>
        <v>x</v>
      </c>
      <c r="K24" s="153" t="str">
        <f>IF('AW Schulen'!$K36=0,"x",F24/'AW Schulen'!$K36)</f>
        <v>x</v>
      </c>
      <c r="L24" s="154" t="str">
        <f>IF('AW Schulen'!$N36=0,"x",G24/'AW Schulen'!$N36)</f>
        <v>x</v>
      </c>
    </row>
    <row r="25" spans="1:12" ht="9" customHeight="1">
      <c r="A25" s="21" t="s">
        <v>93</v>
      </c>
      <c r="B25" s="120"/>
      <c r="C25" s="149">
        <f t="shared" si="0"/>
        <v>0</v>
      </c>
      <c r="D25" s="149">
        <f t="shared" si="0"/>
        <v>0</v>
      </c>
      <c r="E25" s="149">
        <f t="shared" ref="E25:F25" si="27">SUM(E43+E61+E79)</f>
        <v>0</v>
      </c>
      <c r="F25" s="149">
        <f t="shared" si="27"/>
        <v>0</v>
      </c>
      <c r="G25" s="150">
        <f t="shared" ref="G25" si="28">SUM(G43+G61+G79)</f>
        <v>0</v>
      </c>
      <c r="H25" s="153" t="str">
        <f>IF('AW Schulen'!$B37=0,"x",C25/'AW Schulen'!$B37)</f>
        <v>x</v>
      </c>
      <c r="I25" s="153" t="str">
        <f>IF('AW Schulen'!$E37=0,"x",D25/'AW Schulen'!$E37)</f>
        <v>x</v>
      </c>
      <c r="J25" s="153" t="str">
        <f>IF('AW Schulen'!$H37=0,"x",E25/'AW Schulen'!$H37)</f>
        <v>x</v>
      </c>
      <c r="K25" s="153" t="str">
        <f>IF('AW Schulen'!$K37=0,"x",F25/'AW Schulen'!$K37)</f>
        <v>x</v>
      </c>
      <c r="L25" s="154" t="str">
        <f>IF('AW Schulen'!$N37=0,"x",G25/'AW Schulen'!$N37)</f>
        <v>x</v>
      </c>
    </row>
    <row r="26" spans="1:12" ht="9" customHeight="1">
      <c r="A26" s="21" t="s">
        <v>94</v>
      </c>
      <c r="B26" s="120"/>
      <c r="C26" s="149">
        <f t="shared" si="0"/>
        <v>0</v>
      </c>
      <c r="D26" s="149">
        <f t="shared" si="0"/>
        <v>0</v>
      </c>
      <c r="E26" s="149">
        <f t="shared" ref="E26:F26" si="29">SUM(E44+E62+E80)</f>
        <v>0</v>
      </c>
      <c r="F26" s="149">
        <f t="shared" si="29"/>
        <v>0</v>
      </c>
      <c r="G26" s="150">
        <f t="shared" ref="G26" si="30">SUM(G44+G62+G80)</f>
        <v>0</v>
      </c>
      <c r="H26" s="153" t="str">
        <f>IF('AW Schulen'!$B38=0,"x",C26/'AW Schulen'!$B38)</f>
        <v>x</v>
      </c>
      <c r="I26" s="153" t="str">
        <f>IF('AW Schulen'!$E38=0,"x",D26/'AW Schulen'!$E38)</f>
        <v>x</v>
      </c>
      <c r="J26" s="153" t="str">
        <f>IF('AW Schulen'!$H38=0,"x",E26/'AW Schulen'!$H38)</f>
        <v>x</v>
      </c>
      <c r="K26" s="153" t="str">
        <f>IF('AW Schulen'!$K38=0,"x",F26/'AW Schulen'!$K38)</f>
        <v>x</v>
      </c>
      <c r="L26" s="154" t="str">
        <f>IF('AW Schulen'!$N38=0,"x",G26/'AW Schulen'!$N38)</f>
        <v>x</v>
      </c>
    </row>
    <row r="27" spans="1:12" ht="9" customHeight="1">
      <c r="A27" s="21" t="s">
        <v>95</v>
      </c>
      <c r="B27" s="120"/>
      <c r="C27" s="149">
        <f t="shared" si="0"/>
        <v>0</v>
      </c>
      <c r="D27" s="149">
        <f t="shared" si="0"/>
        <v>0</v>
      </c>
      <c r="E27" s="149">
        <f t="shared" ref="E27:F27" si="31">SUM(E45+E63+E81)</f>
        <v>0</v>
      </c>
      <c r="F27" s="149">
        <f t="shared" si="31"/>
        <v>0</v>
      </c>
      <c r="G27" s="150">
        <f t="shared" ref="G27" si="32">SUM(G45+G63+G81)</f>
        <v>0</v>
      </c>
      <c r="H27" s="153" t="str">
        <f>IF('AW Schulen'!$B39=0,"x",C27/'AW Schulen'!$B39)</f>
        <v>x</v>
      </c>
      <c r="I27" s="153" t="str">
        <f>IF('AW Schulen'!$E39=0,"x",D27/'AW Schulen'!$E39)</f>
        <v>x</v>
      </c>
      <c r="J27" s="153" t="str">
        <f>IF('AW Schulen'!$H39=0,"x",E27/'AW Schulen'!$H39)</f>
        <v>x</v>
      </c>
      <c r="K27" s="153" t="str">
        <f>IF('AW Schulen'!$K39=0,"x",F27/'AW Schulen'!$K39)</f>
        <v>x</v>
      </c>
      <c r="L27" s="154" t="str">
        <f>IF('AW Schulen'!$N39=0,"x",G27/'AW Schulen'!$N39)</f>
        <v>x</v>
      </c>
    </row>
    <row r="28" spans="1:12" ht="9" customHeight="1">
      <c r="A28" s="21" t="s">
        <v>96</v>
      </c>
      <c r="B28" s="120"/>
      <c r="C28" s="42">
        <f t="shared" si="0"/>
        <v>665</v>
      </c>
      <c r="D28" s="42">
        <f t="shared" si="0"/>
        <v>676</v>
      </c>
      <c r="E28" s="42">
        <f t="shared" ref="E28:F28" si="33">SUM(E46+E64+E82)</f>
        <v>668</v>
      </c>
      <c r="F28" s="42">
        <f t="shared" si="33"/>
        <v>678</v>
      </c>
      <c r="G28" s="44">
        <f t="shared" ref="G28" si="34">SUM(G46+G64+G82)</f>
        <v>675</v>
      </c>
      <c r="H28" s="153">
        <f>IF('AW Schulen'!$B40=0,"x",C28/'AW Schulen'!$B40)</f>
        <v>0.7204767063921993</v>
      </c>
      <c r="I28" s="153">
        <f>IF('AW Schulen'!$E40=0,"x",D28/'AW Schulen'!$E40)</f>
        <v>0.73239436619718312</v>
      </c>
      <c r="J28" s="153">
        <f>IF('AW Schulen'!$H40=0,"x",E28/'AW Schulen'!$H40)</f>
        <v>0.71982758620689657</v>
      </c>
      <c r="K28" s="153">
        <f>IF('AW Schulen'!$K40=0,"x",F28/'AW Schulen'!$K40)</f>
        <v>0.73535791757049895</v>
      </c>
      <c r="L28" s="154">
        <f>IF('AW Schulen'!$N40=0,"x",G28/'AW Schulen'!$N40)</f>
        <v>0.73131094257854823</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[1]GtS!$F$10</f>
        <v>0</v>
      </c>
      <c r="D30" s="23">
        <f>[2]GtS!$F$10</f>
        <v>0</v>
      </c>
      <c r="E30" s="23">
        <f>[3]GtS!$F$10</f>
        <v>0</v>
      </c>
      <c r="F30" s="23">
        <f>[4]GtS!$F$10</f>
        <v>0</v>
      </c>
      <c r="G30" s="34">
        <f>[5]GtS!$F$10</f>
        <v>0</v>
      </c>
      <c r="H30" s="155">
        <f>IF('AW Schulen'!$B24=0,"x",C30/'AW Schulen'!$B24)</f>
        <v>0</v>
      </c>
      <c r="I30" s="155">
        <f>IF('AW Schulen'!$E24=0,"x",D30/'AW Schulen'!$E24)</f>
        <v>0</v>
      </c>
      <c r="J30" s="155">
        <f>IF('AW Schulen'!$H24=0,"x",E30/'AW Schulen'!$H24)</f>
        <v>0</v>
      </c>
      <c r="K30" s="155">
        <f>IF('AW Schulen'!$K24=0,"x",F30/'AW Schulen'!$K24)</f>
        <v>0</v>
      </c>
      <c r="L30" s="156">
        <f>IF('AW Schulen'!$N24=0,"x",G30/'AW Schulen'!$N24)</f>
        <v>0</v>
      </c>
    </row>
    <row r="31" spans="1:12" ht="9" customHeight="1">
      <c r="A31" s="21" t="s">
        <v>81</v>
      </c>
      <c r="B31" s="120"/>
      <c r="C31" s="23">
        <f>[6]GtS!$F$10</f>
        <v>0</v>
      </c>
      <c r="D31" s="23">
        <f>[7]GtS!$F$10</f>
        <v>0</v>
      </c>
      <c r="E31" s="23">
        <f>[8]GtS!$F$10</f>
        <v>0</v>
      </c>
      <c r="F31" s="23" t="str">
        <f>[9]GtS!$F$10</f>
        <v xml:space="preserve">                                      -   </v>
      </c>
      <c r="G31" s="34">
        <f>[10]GtS!$F$10</f>
        <v>0</v>
      </c>
      <c r="H31" s="155">
        <f>IF('AW Schulen'!$B25=0,"x",C31/'AW Schulen'!$B25)</f>
        <v>0</v>
      </c>
      <c r="I31" s="155">
        <f>IF('AW Schulen'!$E25=0,"x",D31/'AW Schulen'!$E25)</f>
        <v>0</v>
      </c>
      <c r="J31" s="155">
        <f>IF('AW Schulen'!$H25=0,"x",E31/'AW Schulen'!$H25)</f>
        <v>0</v>
      </c>
      <c r="K31" s="155" t="e">
        <f>IF('AW Schulen'!$K25=0,"x",F31/'AW Schulen'!$K25)</f>
        <v>#VALUE!</v>
      </c>
      <c r="L31" s="156">
        <f>IF('AW Schulen'!$N25=0,"x",G31/'AW Schulen'!$N25)</f>
        <v>0</v>
      </c>
    </row>
    <row r="32" spans="1:12" ht="9" customHeight="1">
      <c r="A32" s="21" t="s">
        <v>82</v>
      </c>
      <c r="B32" s="120"/>
      <c r="C32" s="23">
        <f>[11]GtS!$F$10</f>
        <v>44</v>
      </c>
      <c r="D32" s="23">
        <f>[12]GtS!$F$10</f>
        <v>45</v>
      </c>
      <c r="E32" s="23">
        <f>[13]GtS!$F$10</f>
        <v>47</v>
      </c>
      <c r="F32" s="23">
        <f>[14]GtS!$F$10</f>
        <v>38</v>
      </c>
      <c r="G32" s="34">
        <f>[15]GtS!$F$10</f>
        <v>46</v>
      </c>
      <c r="H32" s="155">
        <f>IF('AW Schulen'!$B26=0,"x",C32/'AW Schulen'!$B26)</f>
        <v>0.12290502793296089</v>
      </c>
      <c r="I32" s="155">
        <f>IF('AW Schulen'!$E26=0,"x",D32/'AW Schulen'!$E26)</f>
        <v>0.12534818941504178</v>
      </c>
      <c r="J32" s="155">
        <f>IF('AW Schulen'!$H26=0,"x",E32/'AW Schulen'!$H26)</f>
        <v>0.12737127371273713</v>
      </c>
      <c r="K32" s="155">
        <f>IF('AW Schulen'!$K26=0,"x",F32/'AW Schulen'!$K26)</f>
        <v>0.10410958904109589</v>
      </c>
      <c r="L32" s="156">
        <f>IF('AW Schulen'!$N26=0,"x",G32/'AW Schulen'!$N26)</f>
        <v>0.125</v>
      </c>
    </row>
    <row r="33" spans="1:12" ht="9" customHeight="1">
      <c r="A33" s="21" t="s">
        <v>83</v>
      </c>
      <c r="B33" s="120"/>
      <c r="C33" s="23">
        <f>[16]GtS!$F$10</f>
        <v>0</v>
      </c>
      <c r="D33" s="23">
        <f>[17]GtS!$F$10</f>
        <v>0</v>
      </c>
      <c r="E33" s="23">
        <f>[18]GtS!$F$10</f>
        <v>0</v>
      </c>
      <c r="F33" s="23">
        <f>[19]GtS!$F$10</f>
        <v>0</v>
      </c>
      <c r="G33" s="34">
        <f>[20]GtS!$F$10</f>
        <v>0</v>
      </c>
      <c r="H33" s="155">
        <f>IF('AW Schulen'!$B27=0,"x",C33/'AW Schulen'!$B27)</f>
        <v>0</v>
      </c>
      <c r="I33" s="155">
        <f>IF('AW Schulen'!$E27=0,"x",D33/'AW Schulen'!$E27)</f>
        <v>0</v>
      </c>
      <c r="J33" s="155">
        <f>IF('AW Schulen'!$H27=0,"x",E33/'AW Schulen'!$H27)</f>
        <v>0</v>
      </c>
      <c r="K33" s="155">
        <f>IF('AW Schulen'!$K27=0,"x",F33/'AW Schulen'!$K27)</f>
        <v>0</v>
      </c>
      <c r="L33" s="156">
        <f>IF('AW Schulen'!$N27=0,"x",G33/'AW Schulen'!$N27)</f>
        <v>0</v>
      </c>
    </row>
    <row r="34" spans="1:12" ht="9" customHeight="1">
      <c r="A34" s="21" t="s">
        <v>84</v>
      </c>
      <c r="B34" s="120"/>
      <c r="C34" s="151">
        <f>[21]GtS!$F$10</f>
        <v>0</v>
      </c>
      <c r="D34" s="151">
        <f>[22]GtS!$F$10</f>
        <v>0</v>
      </c>
      <c r="E34" s="151">
        <f>[23]GtS!$F$10</f>
        <v>0</v>
      </c>
      <c r="F34" s="151">
        <f>[24]GtS!$F$10</f>
        <v>0</v>
      </c>
      <c r="G34" s="152">
        <f>[25]GtS!$F$10</f>
        <v>0</v>
      </c>
      <c r="H34" s="155" t="str">
        <f>IF('AW Schulen'!$B28=0,"x",C34/'AW Schulen'!$B28)</f>
        <v>x</v>
      </c>
      <c r="I34" s="155" t="str">
        <f>IF('AW Schulen'!$E28=0,"x",D34/'AW Schulen'!$E28)</f>
        <v>x</v>
      </c>
      <c r="J34" s="155" t="str">
        <f>IF('AW Schulen'!$H28=0,"x",E34/'AW Schulen'!$H28)</f>
        <v>x</v>
      </c>
      <c r="K34" s="155" t="str">
        <f>IF('AW Schulen'!$K28=0,"x",F34/'AW Schulen'!$K28)</f>
        <v>x</v>
      </c>
      <c r="L34" s="156" t="str">
        <f>IF('AW Schulen'!$N28=0,"x",G34/'AW Schulen'!$N28)</f>
        <v>x</v>
      </c>
    </row>
    <row r="35" spans="1:12" ht="9" customHeight="1">
      <c r="A35" s="21" t="s">
        <v>85</v>
      </c>
      <c r="B35" s="120"/>
      <c r="C35" s="23">
        <f>[26]GtS!$F$10</f>
        <v>1</v>
      </c>
      <c r="D35" s="23">
        <f>[27]GtS!$F$10</f>
        <v>3</v>
      </c>
      <c r="E35" s="23">
        <f>[28]GtS!$F$10</f>
        <v>3</v>
      </c>
      <c r="F35" s="23">
        <f>[29]GtS!$F$10</f>
        <v>3</v>
      </c>
      <c r="G35" s="34">
        <f>[30]GtS!$F$10</f>
        <v>4</v>
      </c>
      <c r="H35" s="155">
        <f>IF('AW Schulen'!$B29=0,"x",C35/'AW Schulen'!$B29)</f>
        <v>0.2</v>
      </c>
      <c r="I35" s="155">
        <f>IF('AW Schulen'!$E29=0,"x",D35/'AW Schulen'!$E29)</f>
        <v>0.75</v>
      </c>
      <c r="J35" s="155">
        <f>IF('AW Schulen'!$H29=0,"x",E35/'AW Schulen'!$H29)</f>
        <v>0.75</v>
      </c>
      <c r="K35" s="155">
        <f>IF('AW Schulen'!$K29=0,"x",F35/'AW Schulen'!$K29)</f>
        <v>0.75</v>
      </c>
      <c r="L35" s="156">
        <f>IF('AW Schulen'!$N29=0,"x",G35/'AW Schulen'!$N29)</f>
        <v>1</v>
      </c>
    </row>
    <row r="36" spans="1:12" ht="9" customHeight="1">
      <c r="A36" s="21" t="s">
        <v>86</v>
      </c>
      <c r="B36" s="120"/>
      <c r="C36" s="23">
        <f>[66]GtS!$F$10</f>
        <v>3</v>
      </c>
      <c r="D36" s="23">
        <f>[67]GtS!$F$10</f>
        <v>3</v>
      </c>
      <c r="E36" s="23">
        <f>[68]GtS!$F$10</f>
        <v>3</v>
      </c>
      <c r="F36" s="23">
        <f>[69]GtS!$F$10</f>
        <v>4</v>
      </c>
      <c r="G36" s="34">
        <f>[70]GtS!$F$10</f>
        <v>5</v>
      </c>
      <c r="H36" s="155">
        <f>IF('AW Schulen'!$B30=0,"x",C36/'AW Schulen'!$B30)</f>
        <v>2.5423728813559324E-2</v>
      </c>
      <c r="I36" s="155">
        <f>IF('AW Schulen'!$E30=0,"x",D36/'AW Schulen'!$E30)</f>
        <v>2.5000000000000001E-2</v>
      </c>
      <c r="J36" s="155">
        <f>IF('AW Schulen'!$H30=0,"x",E36/'AW Schulen'!$H30)</f>
        <v>2.564102564102564E-2</v>
      </c>
      <c r="K36" s="155">
        <f>IF('AW Schulen'!$K30=0,"x",F36/'AW Schulen'!$K30)</f>
        <v>3.4188034188034191E-2</v>
      </c>
      <c r="L36" s="156">
        <f>IF('AW Schulen'!$N30=0,"x",G36/'AW Schulen'!$N30)</f>
        <v>4.3103448275862072E-2</v>
      </c>
    </row>
    <row r="37" spans="1:12" ht="9" customHeight="1">
      <c r="A37" s="21" t="s">
        <v>87</v>
      </c>
      <c r="B37" s="120"/>
      <c r="C37" s="151">
        <f>[31]GtS!$F$10</f>
        <v>0</v>
      </c>
      <c r="D37" s="151">
        <f>[32]GtS!$F$10</f>
        <v>0</v>
      </c>
      <c r="E37" s="151">
        <f>[33]GtS!$F$10</f>
        <v>0</v>
      </c>
      <c r="F37" s="151">
        <f>[34]GtS!$F$10</f>
        <v>0</v>
      </c>
      <c r="G37" s="152">
        <f>[35]GtS!$F$10</f>
        <v>0</v>
      </c>
      <c r="H37" s="155" t="str">
        <f>IF('AW Schulen'!$B31=0,"x",C37/'AW Schulen'!$B31)</f>
        <v>x</v>
      </c>
      <c r="I37" s="155" t="str">
        <f>IF('AW Schulen'!$E31=0,"x",D37/'AW Schulen'!$E31)</f>
        <v>x</v>
      </c>
      <c r="J37" s="155" t="str">
        <f>IF('AW Schulen'!$H31=0,"x",E37/'AW Schulen'!$H31)</f>
        <v>x</v>
      </c>
      <c r="K37" s="155" t="str">
        <f>IF('AW Schulen'!$K31=0,"x",F37/'AW Schulen'!$K31)</f>
        <v>x</v>
      </c>
      <c r="L37" s="156" t="str">
        <f>IF('AW Schulen'!$N31=0,"x",G37/'AW Schulen'!$N31)</f>
        <v>x</v>
      </c>
    </row>
    <row r="38" spans="1:12" ht="9" customHeight="1">
      <c r="A38" s="21" t="s">
        <v>88</v>
      </c>
      <c r="B38" s="120"/>
      <c r="C38" s="151">
        <f>[71]GtS!$F$10</f>
        <v>0</v>
      </c>
      <c r="D38" s="151">
        <f>[72]GtS!$F$10</f>
        <v>0</v>
      </c>
      <c r="E38" s="151">
        <f>[73]GtS!$F$10</f>
        <v>0</v>
      </c>
      <c r="F38" s="151">
        <f>[74]GtS!$F$10</f>
        <v>0</v>
      </c>
      <c r="G38" s="152">
        <f>[75]GtS!$F$10</f>
        <v>0</v>
      </c>
      <c r="H38" s="155" t="str">
        <f>IF('AW Schulen'!$B32=0,"x",C38/'AW Schulen'!$B32)</f>
        <v>x</v>
      </c>
      <c r="I38" s="155" t="str">
        <f>IF('AW Schulen'!$E32=0,"x",D38/'AW Schulen'!$E32)</f>
        <v>x</v>
      </c>
      <c r="J38" s="155" t="str">
        <f>IF('AW Schulen'!$H32=0,"x",E38/'AW Schulen'!$H32)</f>
        <v>x</v>
      </c>
      <c r="K38" s="155" t="str">
        <f>IF('AW Schulen'!$K32=0,"x",F38/'AW Schulen'!$K32)</f>
        <v>x</v>
      </c>
      <c r="L38" s="156" t="str">
        <f>IF('AW Schulen'!$N32=0,"x",G38/'AW Schulen'!$N32)</f>
        <v>x</v>
      </c>
    </row>
    <row r="39" spans="1:12" ht="9" customHeight="1">
      <c r="A39" s="21" t="s">
        <v>89</v>
      </c>
      <c r="B39" s="120"/>
      <c r="C39" s="151">
        <f>[36]GtS!$F$10</f>
        <v>0</v>
      </c>
      <c r="D39" s="151">
        <f>[37]GtS!$F$10</f>
        <v>0</v>
      </c>
      <c r="E39" s="151">
        <f>[38]GtS!$F$10</f>
        <v>0</v>
      </c>
      <c r="F39" s="151">
        <f>[39]GtS!$F$10</f>
        <v>0</v>
      </c>
      <c r="G39" s="152">
        <f>[40]GtS!$F$10</f>
        <v>0</v>
      </c>
      <c r="H39" s="155" t="str">
        <f>IF('AW Schulen'!$B33=0,"x",C39/'AW Schulen'!$B33)</f>
        <v>x</v>
      </c>
      <c r="I39" s="155" t="str">
        <f>IF('AW Schulen'!$E33=0,"x",D39/'AW Schulen'!$E33)</f>
        <v>x</v>
      </c>
      <c r="J39" s="155" t="str">
        <f>IF('AW Schulen'!$H33=0,"x",E39/'AW Schulen'!$H33)</f>
        <v>x</v>
      </c>
      <c r="K39" s="155" t="str">
        <f>IF('AW Schulen'!$K33=0,"x",F39/'AW Schulen'!$K33)</f>
        <v>x</v>
      </c>
      <c r="L39" s="156" t="str">
        <f>IF('AW Schulen'!$N33=0,"x",G39/'AW Schulen'!$N33)</f>
        <v>x</v>
      </c>
    </row>
    <row r="40" spans="1:12" ht="9" customHeight="1">
      <c r="A40" s="21" t="s">
        <v>90</v>
      </c>
      <c r="B40" s="120"/>
      <c r="C40" s="151">
        <f>[41]GtS!$F$10</f>
        <v>0</v>
      </c>
      <c r="D40" s="151">
        <f>[42]GtS!$F$10</f>
        <v>0</v>
      </c>
      <c r="E40" s="151">
        <f>[43]GtS!$F$10</f>
        <v>0</v>
      </c>
      <c r="F40" s="151">
        <f>[44]GtS!$F$10</f>
        <v>0</v>
      </c>
      <c r="G40" s="152">
        <f>[45]GtS!$F$10</f>
        <v>0</v>
      </c>
      <c r="H40" s="155" t="str">
        <f>IF('AW Schulen'!$B34=0,"x",C40/'AW Schulen'!$B34)</f>
        <v>x</v>
      </c>
      <c r="I40" s="155" t="str">
        <f>IF('AW Schulen'!$E34=0,"x",D40/'AW Schulen'!$E34)</f>
        <v>x</v>
      </c>
      <c r="J40" s="155" t="str">
        <f>IF('AW Schulen'!$H34=0,"x",E40/'AW Schulen'!$H34)</f>
        <v>x</v>
      </c>
      <c r="K40" s="155" t="str">
        <f>IF('AW Schulen'!$K34=0,"x",F40/'AW Schulen'!$K34)</f>
        <v>x</v>
      </c>
      <c r="L40" s="156" t="str">
        <f>IF('AW Schulen'!$N34=0,"x",G40/'AW Schulen'!$N34)</f>
        <v>x</v>
      </c>
    </row>
    <row r="41" spans="1:12" ht="9" customHeight="1">
      <c r="A41" s="21" t="s">
        <v>91</v>
      </c>
      <c r="B41" s="120"/>
      <c r="C41" s="151">
        <f>[46]GtS!$F$10</f>
        <v>0</v>
      </c>
      <c r="D41" s="151">
        <f>[47]GtS!$F$10</f>
        <v>0</v>
      </c>
      <c r="E41" s="151">
        <f>[48]GtS!$F$10</f>
        <v>0</v>
      </c>
      <c r="F41" s="151">
        <f>[49]GtS!$F$10</f>
        <v>0</v>
      </c>
      <c r="G41" s="152">
        <f>[50]GtS!$F$10</f>
        <v>0</v>
      </c>
      <c r="H41" s="155" t="str">
        <f>IF('AW Schulen'!$B35=0,"x",C41/'AW Schulen'!$B35)</f>
        <v>x</v>
      </c>
      <c r="I41" s="155" t="str">
        <f>IF('AW Schulen'!$E35=0,"x",D41/'AW Schulen'!$E35)</f>
        <v>x</v>
      </c>
      <c r="J41" s="155" t="str">
        <f>IF('AW Schulen'!$H35=0,"x",E41/'AW Schulen'!$H35)</f>
        <v>x</v>
      </c>
      <c r="K41" s="155" t="str">
        <f>IF('AW Schulen'!$K35=0,"x",F41/'AW Schulen'!$K35)</f>
        <v>x</v>
      </c>
      <c r="L41" s="156" t="str">
        <f>IF('AW Schulen'!$N35=0,"x",G41/'AW Schulen'!$N35)</f>
        <v>x</v>
      </c>
    </row>
    <row r="42" spans="1:12" ht="9" customHeight="1">
      <c r="A42" s="21" t="s">
        <v>92</v>
      </c>
      <c r="B42" s="120"/>
      <c r="C42" s="151">
        <f>[51]GtS!$F$10</f>
        <v>0</v>
      </c>
      <c r="D42" s="151">
        <f>[52]GtS!$F$10</f>
        <v>0</v>
      </c>
      <c r="E42" s="151">
        <f>[53]GtS!$F$10</f>
        <v>0</v>
      </c>
      <c r="F42" s="151">
        <f>[54]GtS!$F$10</f>
        <v>0</v>
      </c>
      <c r="G42" s="152">
        <f>[55]GtS!$F$10</f>
        <v>0</v>
      </c>
      <c r="H42" s="155" t="str">
        <f>IF('AW Schulen'!$B36=0,"x",C42/'AW Schulen'!$B36)</f>
        <v>x</v>
      </c>
      <c r="I42" s="155" t="str">
        <f>IF('AW Schulen'!$E36=0,"x",D42/'AW Schulen'!$E36)</f>
        <v>x</v>
      </c>
      <c r="J42" s="155" t="str">
        <f>IF('AW Schulen'!$H36=0,"x",E42/'AW Schulen'!$H36)</f>
        <v>x</v>
      </c>
      <c r="K42" s="155" t="str">
        <f>IF('AW Schulen'!$K36=0,"x",F42/'AW Schulen'!$K36)</f>
        <v>x</v>
      </c>
      <c r="L42" s="156" t="str">
        <f>IF('AW Schulen'!$N36=0,"x",G42/'AW Schulen'!$N36)</f>
        <v>x</v>
      </c>
    </row>
    <row r="43" spans="1:12" ht="9" customHeight="1">
      <c r="A43" s="21" t="s">
        <v>93</v>
      </c>
      <c r="B43" s="120"/>
      <c r="C43" s="151">
        <f>[76]GtS!$F$10</f>
        <v>0</v>
      </c>
      <c r="D43" s="151">
        <f>[77]GtS!$F$10</f>
        <v>0</v>
      </c>
      <c r="E43" s="151">
        <f>[78]GtS!$F$10</f>
        <v>0</v>
      </c>
      <c r="F43" s="151">
        <f>[79]GtS!$F$10</f>
        <v>0</v>
      </c>
      <c r="G43" s="152">
        <f>[80]GtS!$F$10</f>
        <v>0</v>
      </c>
      <c r="H43" s="155" t="str">
        <f>IF('AW Schulen'!$B37=0,"x",C43/'AW Schulen'!$B37)</f>
        <v>x</v>
      </c>
      <c r="I43" s="155" t="str">
        <f>IF('AW Schulen'!$E37=0,"x",D43/'AW Schulen'!$E37)</f>
        <v>x</v>
      </c>
      <c r="J43" s="155" t="str">
        <f>IF('AW Schulen'!$H37=0,"x",E43/'AW Schulen'!$H37)</f>
        <v>x</v>
      </c>
      <c r="K43" s="155" t="str">
        <f>IF('AW Schulen'!$K37=0,"x",F43/'AW Schulen'!$K37)</f>
        <v>x</v>
      </c>
      <c r="L43" s="156" t="str">
        <f>IF('AW Schulen'!$N37=0,"x",G43/'AW Schulen'!$N37)</f>
        <v>x</v>
      </c>
    </row>
    <row r="44" spans="1:12" ht="9" customHeight="1">
      <c r="A44" s="21" t="s">
        <v>94</v>
      </c>
      <c r="B44" s="120"/>
      <c r="C44" s="151">
        <f>[56]GtS!$F$10</f>
        <v>0</v>
      </c>
      <c r="D44" s="151">
        <f>[57]GtS!$F$10</f>
        <v>0</v>
      </c>
      <c r="E44" s="151">
        <f>[58]GtS!$F$10</f>
        <v>0</v>
      </c>
      <c r="F44" s="151">
        <f>[59]GtS!$F$10</f>
        <v>0</v>
      </c>
      <c r="G44" s="152">
        <f>[60]GtS!$F$10</f>
        <v>0</v>
      </c>
      <c r="H44" s="155" t="str">
        <f>IF('AW Schulen'!$B38=0,"x",C44/'AW Schulen'!$B38)</f>
        <v>x</v>
      </c>
      <c r="I44" s="155" t="str">
        <f>IF('AW Schulen'!$E38=0,"x",D44/'AW Schulen'!$E38)</f>
        <v>x</v>
      </c>
      <c r="J44" s="155" t="str">
        <f>IF('AW Schulen'!$H38=0,"x",E44/'AW Schulen'!$H38)</f>
        <v>x</v>
      </c>
      <c r="K44" s="155" t="str">
        <f>IF('AW Schulen'!$K38=0,"x",F44/'AW Schulen'!$K38)</f>
        <v>x</v>
      </c>
      <c r="L44" s="156" t="str">
        <f>IF('AW Schulen'!$N38=0,"x",G44/'AW Schulen'!$N38)</f>
        <v>x</v>
      </c>
    </row>
    <row r="45" spans="1:12" ht="9" customHeight="1">
      <c r="A45" s="21" t="s">
        <v>95</v>
      </c>
      <c r="B45" s="120"/>
      <c r="C45" s="151">
        <f>[61]GtS!$F$10</f>
        <v>0</v>
      </c>
      <c r="D45" s="151">
        <f>[62]GtS!$F$10</f>
        <v>0</v>
      </c>
      <c r="E45" s="151">
        <f>[63]GtS!$F$10</f>
        <v>0</v>
      </c>
      <c r="F45" s="151">
        <f>[64]GtS!$F$10</f>
        <v>0</v>
      </c>
      <c r="G45" s="152">
        <f>[65]GtS!$F$10</f>
        <v>0</v>
      </c>
      <c r="H45" s="155" t="str">
        <f>IF('AW Schulen'!$B39=0,"x",C45/'AW Schulen'!$B39)</f>
        <v>x</v>
      </c>
      <c r="I45" s="155" t="str">
        <f>IF('AW Schulen'!$E39=0,"x",D45/'AW Schulen'!$E39)</f>
        <v>x</v>
      </c>
      <c r="J45" s="155" t="str">
        <f>IF('AW Schulen'!$H39=0,"x",E45/'AW Schulen'!$H39)</f>
        <v>x</v>
      </c>
      <c r="K45" s="155" t="str">
        <f>IF('AW Schulen'!$K39=0,"x",F45/'AW Schulen'!$K39)</f>
        <v>x</v>
      </c>
      <c r="L45" s="156" t="str">
        <f>IF('AW Schulen'!$N39=0,"x",G45/'AW Schulen'!$N39)</f>
        <v>x</v>
      </c>
    </row>
    <row r="46" spans="1:12" ht="9" customHeight="1">
      <c r="A46" s="21" t="s">
        <v>96</v>
      </c>
      <c r="B46" s="120"/>
      <c r="C46" s="23">
        <f t="shared" ref="C46:E46" si="35">SUM(C30:C45)</f>
        <v>48</v>
      </c>
      <c r="D46" s="23">
        <f t="shared" si="35"/>
        <v>51</v>
      </c>
      <c r="E46" s="23">
        <f t="shared" si="35"/>
        <v>53</v>
      </c>
      <c r="F46" s="23">
        <f t="shared" ref="F46:G46" si="36">SUM(F30:F45)</f>
        <v>45</v>
      </c>
      <c r="G46" s="34">
        <f t="shared" si="36"/>
        <v>55</v>
      </c>
      <c r="H46" s="155">
        <f>IF('AW Schulen'!$B40=0,"x",C46/'AW Schulen'!$B40)</f>
        <v>5.200433369447454E-2</v>
      </c>
      <c r="I46" s="155">
        <f>IF('AW Schulen'!$E40=0,"x",D46/'AW Schulen'!$E40)</f>
        <v>5.5254604550379199E-2</v>
      </c>
      <c r="J46" s="155">
        <f>IF('AW Schulen'!$H40=0,"x",E46/'AW Schulen'!$H40)</f>
        <v>5.7112068965517244E-2</v>
      </c>
      <c r="K46" s="155">
        <f>IF('AW Schulen'!$K40=0,"x",F46/'AW Schulen'!$K40)</f>
        <v>4.8806941431670282E-2</v>
      </c>
      <c r="L46" s="156">
        <f>IF('AW Schulen'!$N40=0,"x",G46/'AW Schulen'!$N40)</f>
        <v>5.9588299024918745E-2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[1]GtS!$G$10</f>
        <v>0</v>
      </c>
      <c r="D48" s="23">
        <f>[2]GtS!$G$10</f>
        <v>0</v>
      </c>
      <c r="E48" s="23">
        <f>[3]GtS!$G$10</f>
        <v>0</v>
      </c>
      <c r="F48" s="23">
        <f>[4]GtS!$G$10</f>
        <v>0</v>
      </c>
      <c r="G48" s="34">
        <f>[5]GtS!$G$10</f>
        <v>0</v>
      </c>
      <c r="H48" s="155">
        <f>IF('AW Schulen'!$B24=0,"x",C48/'AW Schulen'!$B24)</f>
        <v>0</v>
      </c>
      <c r="I48" s="155">
        <f>IF('AW Schulen'!$E24=0,"x",D48/'AW Schulen'!$E24)</f>
        <v>0</v>
      </c>
      <c r="J48" s="155">
        <f>IF('AW Schulen'!$H24=0,"x",E48/'AW Schulen'!$H24)</f>
        <v>0</v>
      </c>
      <c r="K48" s="155">
        <f>IF('AW Schulen'!$K24=0,"x",F48/'AW Schulen'!$K24)</f>
        <v>0</v>
      </c>
      <c r="L48" s="156">
        <f>IF('AW Schulen'!$N24=0,"x",G48/'AW Schulen'!$N24)</f>
        <v>0</v>
      </c>
    </row>
    <row r="49" spans="1:12" ht="9" customHeight="1">
      <c r="A49" s="21" t="s">
        <v>81</v>
      </c>
      <c r="B49" s="120"/>
      <c r="C49" s="23">
        <f>[6]GtS!$G$10</f>
        <v>1</v>
      </c>
      <c r="D49" s="23">
        <f>[7]GtS!$G$10</f>
        <v>1</v>
      </c>
      <c r="E49" s="23">
        <f>[8]GtS!$G$10</f>
        <v>1</v>
      </c>
      <c r="F49" s="23">
        <f>[9]GtS!$G$10</f>
        <v>1</v>
      </c>
      <c r="G49" s="34">
        <f>[10]GtS!$G$10</f>
        <v>1</v>
      </c>
      <c r="H49" s="155">
        <f>IF('AW Schulen'!$B25=0,"x",C49/'AW Schulen'!$B25)</f>
        <v>1</v>
      </c>
      <c r="I49" s="155">
        <f>IF('AW Schulen'!$E25=0,"x",D49/'AW Schulen'!$E25)</f>
        <v>1</v>
      </c>
      <c r="J49" s="155">
        <f>IF('AW Schulen'!$H25=0,"x",E49/'AW Schulen'!$H25)</f>
        <v>1</v>
      </c>
      <c r="K49" s="155">
        <f>IF('AW Schulen'!$K25=0,"x",F49/'AW Schulen'!$K25)</f>
        <v>1</v>
      </c>
      <c r="L49" s="156">
        <f>IF('AW Schulen'!$N25=0,"x",G49/'AW Schulen'!$N25)</f>
        <v>1</v>
      </c>
    </row>
    <row r="50" spans="1:12" ht="9" customHeight="1">
      <c r="A50" s="21" t="s">
        <v>82</v>
      </c>
      <c r="B50" s="120"/>
      <c r="C50" s="23">
        <f>[11]GtS!$G$10</f>
        <v>21</v>
      </c>
      <c r="D50" s="23">
        <f>[12]GtS!$G$10</f>
        <v>18</v>
      </c>
      <c r="E50" s="23">
        <f>[13]GtS!$G$10</f>
        <v>17</v>
      </c>
      <c r="F50" s="23">
        <f>[14]GtS!$G$10</f>
        <v>25</v>
      </c>
      <c r="G50" s="34">
        <f>[15]GtS!$G$10</f>
        <v>18</v>
      </c>
      <c r="H50" s="155">
        <f>IF('AW Schulen'!$B26=0,"x",C50/'AW Schulen'!$B26)</f>
        <v>5.8659217877094973E-2</v>
      </c>
      <c r="I50" s="155">
        <f>IF('AW Schulen'!$E26=0,"x",D50/'AW Schulen'!$E26)</f>
        <v>5.0139275766016712E-2</v>
      </c>
      <c r="J50" s="155">
        <f>IF('AW Schulen'!$H26=0,"x",E50/'AW Schulen'!$H26)</f>
        <v>4.6070460704607047E-2</v>
      </c>
      <c r="K50" s="155">
        <f>IF('AW Schulen'!$K26=0,"x",F50/'AW Schulen'!$K26)</f>
        <v>6.8493150684931503E-2</v>
      </c>
      <c r="L50" s="156">
        <f>IF('AW Schulen'!$N26=0,"x",G50/'AW Schulen'!$N26)</f>
        <v>4.8913043478260872E-2</v>
      </c>
    </row>
    <row r="51" spans="1:12" ht="9" customHeight="1">
      <c r="A51" s="21" t="s">
        <v>83</v>
      </c>
      <c r="B51" s="120"/>
      <c r="C51" s="23">
        <f>[16]GtS!$G$10</f>
        <v>0</v>
      </c>
      <c r="D51" s="23">
        <f>[17]GtS!$G$10</f>
        <v>0</v>
      </c>
      <c r="E51" s="23">
        <f>[18]GtS!$G$10</f>
        <v>0</v>
      </c>
      <c r="F51" s="23">
        <f>[19]GtS!$G$10</f>
        <v>0</v>
      </c>
      <c r="G51" s="34">
        <f>[20]GtS!$G$10</f>
        <v>105</v>
      </c>
      <c r="H51" s="155">
        <f>IF('AW Schulen'!$B27=0,"x",C51/'AW Schulen'!$B27)</f>
        <v>0</v>
      </c>
      <c r="I51" s="155">
        <f>IF('AW Schulen'!$E27=0,"x",D51/'AW Schulen'!$E27)</f>
        <v>0</v>
      </c>
      <c r="J51" s="155">
        <f>IF('AW Schulen'!$H27=0,"x",E51/'AW Schulen'!$H27)</f>
        <v>0</v>
      </c>
      <c r="K51" s="155">
        <f>IF('AW Schulen'!$K27=0,"x",F51/'AW Schulen'!$K27)</f>
        <v>0</v>
      </c>
      <c r="L51" s="156">
        <f>IF('AW Schulen'!$N27=0,"x",G51/'AW Schulen'!$N27)</f>
        <v>0.24249422632794457</v>
      </c>
    </row>
    <row r="52" spans="1:12" ht="9" customHeight="1">
      <c r="A52" s="21" t="s">
        <v>84</v>
      </c>
      <c r="B52" s="120"/>
      <c r="C52" s="151">
        <f>[21]GtS!$G$10</f>
        <v>0</v>
      </c>
      <c r="D52" s="151">
        <f>[22]GtS!$G$10</f>
        <v>0</v>
      </c>
      <c r="E52" s="151">
        <f>[23]GtS!$G$10</f>
        <v>0</v>
      </c>
      <c r="F52" s="151">
        <f>[24]GtS!$G$10</f>
        <v>0</v>
      </c>
      <c r="G52" s="152">
        <f>[25]GtS!$G$10</f>
        <v>0</v>
      </c>
      <c r="H52" s="155" t="str">
        <f>IF('AW Schulen'!$B28=0,"x",C52/'AW Schulen'!$B28)</f>
        <v>x</v>
      </c>
      <c r="I52" s="155" t="str">
        <f>IF('AW Schulen'!$E28=0,"x",D52/'AW Schulen'!$E28)</f>
        <v>x</v>
      </c>
      <c r="J52" s="155" t="str">
        <f>IF('AW Schulen'!$H28=0,"x",E52/'AW Schulen'!$H28)</f>
        <v>x</v>
      </c>
      <c r="K52" s="155" t="str">
        <f>IF('AW Schulen'!$K28=0,"x",F52/'AW Schulen'!$K28)</f>
        <v>x</v>
      </c>
      <c r="L52" s="156" t="str">
        <f>IF('AW Schulen'!$N28=0,"x",G52/'AW Schulen'!$N28)</f>
        <v>x</v>
      </c>
    </row>
    <row r="53" spans="1:12" ht="9" customHeight="1">
      <c r="A53" s="21" t="s">
        <v>85</v>
      </c>
      <c r="B53" s="120"/>
      <c r="C53" s="23">
        <f>[26]GtS!$G$10</f>
        <v>0</v>
      </c>
      <c r="D53" s="23">
        <f>[27]GtS!$G$10</f>
        <v>0</v>
      </c>
      <c r="E53" s="23">
        <f>[28]GtS!$G$10</f>
        <v>0</v>
      </c>
      <c r="F53" s="23">
        <f>[29]GtS!$G$10</f>
        <v>0</v>
      </c>
      <c r="G53" s="34">
        <f>[30]GtS!$G$10</f>
        <v>0</v>
      </c>
      <c r="H53" s="155">
        <f>IF('AW Schulen'!$B29=0,"x",C53/'AW Schulen'!$B29)</f>
        <v>0</v>
      </c>
      <c r="I53" s="155">
        <f>IF('AW Schulen'!$E29=0,"x",D53/'AW Schulen'!$E29)</f>
        <v>0</v>
      </c>
      <c r="J53" s="155">
        <f>IF('AW Schulen'!$H29=0,"x",E53/'AW Schulen'!$H29)</f>
        <v>0</v>
      </c>
      <c r="K53" s="155">
        <f>IF('AW Schulen'!$K29=0,"x",F53/'AW Schulen'!$K29)</f>
        <v>0</v>
      </c>
      <c r="L53" s="156">
        <f>IF('AW Schulen'!$N29=0,"x",G53/'AW Schulen'!$N29)</f>
        <v>0</v>
      </c>
    </row>
    <row r="54" spans="1:12" ht="9" customHeight="1">
      <c r="A54" s="21" t="s">
        <v>86</v>
      </c>
      <c r="B54" s="120"/>
      <c r="C54" s="23">
        <f>[66]GtS!$G$10</f>
        <v>0</v>
      </c>
      <c r="D54" s="23">
        <f>[67]GtS!$G$10</f>
        <v>0</v>
      </c>
      <c r="E54" s="23">
        <f>[68]GtS!$G$10</f>
        <v>0</v>
      </c>
      <c r="F54" s="23">
        <f>[69]GtS!$G$10</f>
        <v>0</v>
      </c>
      <c r="G54" s="34">
        <f>[70]GtS!$G$10</f>
        <v>0</v>
      </c>
      <c r="H54" s="155">
        <f>IF('AW Schulen'!$B30=0,"x",C54/'AW Schulen'!$B30)</f>
        <v>0</v>
      </c>
      <c r="I54" s="155">
        <f>IF('AW Schulen'!$E30=0,"x",D54/'AW Schulen'!$E30)</f>
        <v>0</v>
      </c>
      <c r="J54" s="155">
        <f>IF('AW Schulen'!$H30=0,"x",E54/'AW Schulen'!$H30)</f>
        <v>0</v>
      </c>
      <c r="K54" s="155">
        <f>IF('AW Schulen'!$K30=0,"x",F54/'AW Schulen'!$K30)</f>
        <v>0</v>
      </c>
      <c r="L54" s="156">
        <f>IF('AW Schulen'!$N30=0,"x",G54/'AW Schulen'!$N30)</f>
        <v>0</v>
      </c>
    </row>
    <row r="55" spans="1:12" ht="9" customHeight="1">
      <c r="A55" s="21" t="s">
        <v>87</v>
      </c>
      <c r="B55" s="120"/>
      <c r="C55" s="151">
        <f>[31]GtS!$G$10</f>
        <v>0</v>
      </c>
      <c r="D55" s="151">
        <f>[32]GtS!$G$10</f>
        <v>0</v>
      </c>
      <c r="E55" s="151">
        <f>[33]GtS!$G$10</f>
        <v>0</v>
      </c>
      <c r="F55" s="151">
        <f>[34]GtS!$G$10</f>
        <v>0</v>
      </c>
      <c r="G55" s="152">
        <f>[35]GtS!$G$10</f>
        <v>0</v>
      </c>
      <c r="H55" s="155" t="str">
        <f>IF('AW Schulen'!$B31=0,"x",C55/'AW Schulen'!$B31)</f>
        <v>x</v>
      </c>
      <c r="I55" s="155" t="str">
        <f>IF('AW Schulen'!$E31=0,"x",D55/'AW Schulen'!$E31)</f>
        <v>x</v>
      </c>
      <c r="J55" s="155" t="str">
        <f>IF('AW Schulen'!$H31=0,"x",E55/'AW Schulen'!$H31)</f>
        <v>x</v>
      </c>
      <c r="K55" s="155" t="str">
        <f>IF('AW Schulen'!$K31=0,"x",F55/'AW Schulen'!$K31)</f>
        <v>x</v>
      </c>
      <c r="L55" s="156" t="str">
        <f>IF('AW Schulen'!$N31=0,"x",G55/'AW Schulen'!$N31)</f>
        <v>x</v>
      </c>
    </row>
    <row r="56" spans="1:12" ht="9" customHeight="1">
      <c r="A56" s="21" t="s">
        <v>88</v>
      </c>
      <c r="B56" s="120"/>
      <c r="C56" s="151">
        <f>[71]GtS!$G$10</f>
        <v>0</v>
      </c>
      <c r="D56" s="151">
        <f>[72]GtS!$G$10</f>
        <v>0</v>
      </c>
      <c r="E56" s="151">
        <f>[73]GtS!$G$10</f>
        <v>0</v>
      </c>
      <c r="F56" s="151">
        <f>[74]GtS!$G$10</f>
        <v>0</v>
      </c>
      <c r="G56" s="152">
        <f>[75]GtS!$G$10</f>
        <v>0</v>
      </c>
      <c r="H56" s="155" t="str">
        <f>IF('AW Schulen'!$B32=0,"x",C56/'AW Schulen'!$B32)</f>
        <v>x</v>
      </c>
      <c r="I56" s="155" t="str">
        <f>IF('AW Schulen'!$E32=0,"x",D56/'AW Schulen'!$E32)</f>
        <v>x</v>
      </c>
      <c r="J56" s="155" t="str">
        <f>IF('AW Schulen'!$H32=0,"x",E56/'AW Schulen'!$H32)</f>
        <v>x</v>
      </c>
      <c r="K56" s="155" t="str">
        <f>IF('AW Schulen'!$K32=0,"x",F56/'AW Schulen'!$K32)</f>
        <v>x</v>
      </c>
      <c r="L56" s="156" t="str">
        <f>IF('AW Schulen'!$N32=0,"x",G56/'AW Schulen'!$N32)</f>
        <v>x</v>
      </c>
    </row>
    <row r="57" spans="1:12" ht="9" customHeight="1">
      <c r="A57" s="21" t="s">
        <v>89</v>
      </c>
      <c r="B57" s="120"/>
      <c r="C57" s="151">
        <f>[36]GtS!$G$10</f>
        <v>0</v>
      </c>
      <c r="D57" s="151">
        <f>[37]GtS!$G$10</f>
        <v>0</v>
      </c>
      <c r="E57" s="151">
        <f>[38]GtS!$G$10</f>
        <v>0</v>
      </c>
      <c r="F57" s="151">
        <f>[39]GtS!$G$10</f>
        <v>0</v>
      </c>
      <c r="G57" s="152">
        <f>[40]GtS!$G$10</f>
        <v>0</v>
      </c>
      <c r="H57" s="155" t="str">
        <f>IF('AW Schulen'!$B33=0,"x",C57/'AW Schulen'!$B33)</f>
        <v>x</v>
      </c>
      <c r="I57" s="155" t="str">
        <f>IF('AW Schulen'!$E33=0,"x",D57/'AW Schulen'!$E33)</f>
        <v>x</v>
      </c>
      <c r="J57" s="155" t="str">
        <f>IF('AW Schulen'!$H33=0,"x",E57/'AW Schulen'!$H33)</f>
        <v>x</v>
      </c>
      <c r="K57" s="155" t="str">
        <f>IF('AW Schulen'!$K33=0,"x",F57/'AW Schulen'!$K33)</f>
        <v>x</v>
      </c>
      <c r="L57" s="156" t="str">
        <f>IF('AW Schulen'!$N33=0,"x",G57/'AW Schulen'!$N33)</f>
        <v>x</v>
      </c>
    </row>
    <row r="58" spans="1:12" ht="9" customHeight="1">
      <c r="A58" s="21" t="s">
        <v>90</v>
      </c>
      <c r="B58" s="120"/>
      <c r="C58" s="151">
        <f>[41]GtS!$G$10</f>
        <v>0</v>
      </c>
      <c r="D58" s="151">
        <f>[42]GtS!$G$10</f>
        <v>0</v>
      </c>
      <c r="E58" s="151">
        <f>[43]GtS!$G$10</f>
        <v>0</v>
      </c>
      <c r="F58" s="151">
        <f>[44]GtS!$G$10</f>
        <v>0</v>
      </c>
      <c r="G58" s="152">
        <f>[45]GtS!$G$10</f>
        <v>0</v>
      </c>
      <c r="H58" s="155" t="str">
        <f>IF('AW Schulen'!$B34=0,"x",C58/'AW Schulen'!$B34)</f>
        <v>x</v>
      </c>
      <c r="I58" s="155" t="str">
        <f>IF('AW Schulen'!$E34=0,"x",D58/'AW Schulen'!$E34)</f>
        <v>x</v>
      </c>
      <c r="J58" s="155" t="str">
        <f>IF('AW Schulen'!$H34=0,"x",E58/'AW Schulen'!$H34)</f>
        <v>x</v>
      </c>
      <c r="K58" s="155" t="str">
        <f>IF('AW Schulen'!$K34=0,"x",F58/'AW Schulen'!$K34)</f>
        <v>x</v>
      </c>
      <c r="L58" s="156" t="str">
        <f>IF('AW Schulen'!$N34=0,"x",G58/'AW Schulen'!$N34)</f>
        <v>x</v>
      </c>
    </row>
    <row r="59" spans="1:12" ht="9" customHeight="1">
      <c r="A59" s="21" t="s">
        <v>91</v>
      </c>
      <c r="B59" s="120"/>
      <c r="C59" s="151">
        <f>[46]GtS!$G$10</f>
        <v>0</v>
      </c>
      <c r="D59" s="151">
        <f>[47]GtS!$G$10</f>
        <v>0</v>
      </c>
      <c r="E59" s="151">
        <f>[48]GtS!$G$10</f>
        <v>0</v>
      </c>
      <c r="F59" s="151">
        <f>[49]GtS!$G$10</f>
        <v>0</v>
      </c>
      <c r="G59" s="152">
        <f>[50]GtS!$G$10</f>
        <v>0</v>
      </c>
      <c r="H59" s="155" t="str">
        <f>IF('AW Schulen'!$B35=0,"x",C59/'AW Schulen'!$B35)</f>
        <v>x</v>
      </c>
      <c r="I59" s="155" t="str">
        <f>IF('AW Schulen'!$E35=0,"x",D59/'AW Schulen'!$E35)</f>
        <v>x</v>
      </c>
      <c r="J59" s="155" t="str">
        <f>IF('AW Schulen'!$H35=0,"x",E59/'AW Schulen'!$H35)</f>
        <v>x</v>
      </c>
      <c r="K59" s="155" t="str">
        <f>IF('AW Schulen'!$K35=0,"x",F59/'AW Schulen'!$K35)</f>
        <v>x</v>
      </c>
      <c r="L59" s="156" t="str">
        <f>IF('AW Schulen'!$N35=0,"x",G59/'AW Schulen'!$N35)</f>
        <v>x</v>
      </c>
    </row>
    <row r="60" spans="1:12" ht="9" customHeight="1">
      <c r="A60" s="21" t="s">
        <v>92</v>
      </c>
      <c r="B60" s="120"/>
      <c r="C60" s="151">
        <f>[51]GtS!$G$10</f>
        <v>0</v>
      </c>
      <c r="D60" s="151">
        <f>[52]GtS!$G$10</f>
        <v>0</v>
      </c>
      <c r="E60" s="151">
        <f>[53]GtS!$G$10</f>
        <v>0</v>
      </c>
      <c r="F60" s="151">
        <f>[54]GtS!$G$10</f>
        <v>0</v>
      </c>
      <c r="G60" s="152">
        <f>[55]GtS!$G$10</f>
        <v>0</v>
      </c>
      <c r="H60" s="155" t="str">
        <f>IF('AW Schulen'!$B36=0,"x",C60/'AW Schulen'!$B36)</f>
        <v>x</v>
      </c>
      <c r="I60" s="155" t="str">
        <f>IF('AW Schulen'!$E36=0,"x",D60/'AW Schulen'!$E36)</f>
        <v>x</v>
      </c>
      <c r="J60" s="155" t="str">
        <f>IF('AW Schulen'!$H36=0,"x",E60/'AW Schulen'!$H36)</f>
        <v>x</v>
      </c>
      <c r="K60" s="155" t="str">
        <f>IF('AW Schulen'!$K36=0,"x",F60/'AW Schulen'!$K36)</f>
        <v>x</v>
      </c>
      <c r="L60" s="156" t="str">
        <f>IF('AW Schulen'!$N36=0,"x",G60/'AW Schulen'!$N36)</f>
        <v>x</v>
      </c>
    </row>
    <row r="61" spans="1:12" ht="9" customHeight="1">
      <c r="A61" s="21" t="s">
        <v>93</v>
      </c>
      <c r="B61" s="120"/>
      <c r="C61" s="151">
        <f>[76]GtS!$G$10</f>
        <v>0</v>
      </c>
      <c r="D61" s="151">
        <f>[77]GtS!$G$10</f>
        <v>0</v>
      </c>
      <c r="E61" s="151">
        <f>[78]GtS!$G$10</f>
        <v>0</v>
      </c>
      <c r="F61" s="151">
        <f>[79]GtS!$G$10</f>
        <v>0</v>
      </c>
      <c r="G61" s="152">
        <f>[80]GtS!$G$10</f>
        <v>0</v>
      </c>
      <c r="H61" s="155" t="str">
        <f>IF('AW Schulen'!$B37=0,"x",C61/'AW Schulen'!$B37)</f>
        <v>x</v>
      </c>
      <c r="I61" s="155" t="str">
        <f>IF('AW Schulen'!$E37=0,"x",D61/'AW Schulen'!$E37)</f>
        <v>x</v>
      </c>
      <c r="J61" s="155" t="str">
        <f>IF('AW Schulen'!$H37=0,"x",E61/'AW Schulen'!$H37)</f>
        <v>x</v>
      </c>
      <c r="K61" s="155" t="str">
        <f>IF('AW Schulen'!$K37=0,"x",F61/'AW Schulen'!$K37)</f>
        <v>x</v>
      </c>
      <c r="L61" s="156" t="str">
        <f>IF('AW Schulen'!$N37=0,"x",G61/'AW Schulen'!$N37)</f>
        <v>x</v>
      </c>
    </row>
    <row r="62" spans="1:12" ht="9" customHeight="1">
      <c r="A62" s="21" t="s">
        <v>94</v>
      </c>
      <c r="B62" s="120"/>
      <c r="C62" s="151">
        <f>[56]GtS!$G$10</f>
        <v>0</v>
      </c>
      <c r="D62" s="151">
        <f>[57]GtS!$G$10</f>
        <v>0</v>
      </c>
      <c r="E62" s="151">
        <f>[58]GtS!$G$10</f>
        <v>0</v>
      </c>
      <c r="F62" s="151">
        <f>[59]GtS!$G$10</f>
        <v>0</v>
      </c>
      <c r="G62" s="152">
        <f>[60]GtS!$G$10</f>
        <v>0</v>
      </c>
      <c r="H62" s="155" t="str">
        <f>IF('AW Schulen'!$B38=0,"x",C62/'AW Schulen'!$B38)</f>
        <v>x</v>
      </c>
      <c r="I62" s="155" t="str">
        <f>IF('AW Schulen'!$E38=0,"x",D62/'AW Schulen'!$E38)</f>
        <v>x</v>
      </c>
      <c r="J62" s="155" t="str">
        <f>IF('AW Schulen'!$H38=0,"x",E62/'AW Schulen'!$H38)</f>
        <v>x</v>
      </c>
      <c r="K62" s="155" t="str">
        <f>IF('AW Schulen'!$K38=0,"x",F62/'AW Schulen'!$K38)</f>
        <v>x</v>
      </c>
      <c r="L62" s="156" t="str">
        <f>IF('AW Schulen'!$N38=0,"x",G62/'AW Schulen'!$N38)</f>
        <v>x</v>
      </c>
    </row>
    <row r="63" spans="1:12" ht="9" customHeight="1">
      <c r="A63" s="21" t="s">
        <v>95</v>
      </c>
      <c r="B63" s="120"/>
      <c r="C63" s="151">
        <f>[61]GtS!$G$10</f>
        <v>0</v>
      </c>
      <c r="D63" s="151">
        <f>[62]GtS!$G$10</f>
        <v>0</v>
      </c>
      <c r="E63" s="151">
        <f>[63]GtS!$G$10</f>
        <v>0</v>
      </c>
      <c r="F63" s="151">
        <f>[64]GtS!$G$10</f>
        <v>0</v>
      </c>
      <c r="G63" s="152">
        <f>[65]GtS!$G$10</f>
        <v>0</v>
      </c>
      <c r="H63" s="155" t="str">
        <f>IF('AW Schulen'!$B39=0,"x",C63/'AW Schulen'!$B39)</f>
        <v>x</v>
      </c>
      <c r="I63" s="155" t="str">
        <f>IF('AW Schulen'!$E39=0,"x",D63/'AW Schulen'!$E39)</f>
        <v>x</v>
      </c>
      <c r="J63" s="155" t="str">
        <f>IF('AW Schulen'!$H39=0,"x",E63/'AW Schulen'!$H39)</f>
        <v>x</v>
      </c>
      <c r="K63" s="155" t="str">
        <f>IF('AW Schulen'!$K39=0,"x",F63/'AW Schulen'!$K39)</f>
        <v>x</v>
      </c>
      <c r="L63" s="156" t="str">
        <f>IF('AW Schulen'!$N39=0,"x",G63/'AW Schulen'!$N39)</f>
        <v>x</v>
      </c>
    </row>
    <row r="64" spans="1:12" ht="8.65" customHeight="1">
      <c r="A64" s="21" t="s">
        <v>96</v>
      </c>
      <c r="B64" s="120"/>
      <c r="C64" s="23">
        <f t="shared" ref="C64:E64" si="37">SUM(C48:C63)</f>
        <v>22</v>
      </c>
      <c r="D64" s="23">
        <f t="shared" si="37"/>
        <v>19</v>
      </c>
      <c r="E64" s="23">
        <f t="shared" si="37"/>
        <v>18</v>
      </c>
      <c r="F64" s="23">
        <f t="shared" ref="F64:G64" si="38">SUM(F48:F63)</f>
        <v>26</v>
      </c>
      <c r="G64" s="34">
        <f t="shared" si="38"/>
        <v>124</v>
      </c>
      <c r="H64" s="155">
        <f>IF('AW Schulen'!$B40=0,"x",C64/'AW Schulen'!$B40)</f>
        <v>2.3835319609967497E-2</v>
      </c>
      <c r="I64" s="155">
        <f>IF('AW Schulen'!$E40=0,"x",D64/'AW Schulen'!$E40)</f>
        <v>2.0585048754062838E-2</v>
      </c>
      <c r="J64" s="155">
        <f>IF('AW Schulen'!$H40=0,"x",E64/'AW Schulen'!$H40)</f>
        <v>1.9396551724137932E-2</v>
      </c>
      <c r="K64" s="155">
        <f>IF('AW Schulen'!$K40=0,"x",F64/'AW Schulen'!$K40)</f>
        <v>2.8199566160520606E-2</v>
      </c>
      <c r="L64" s="156">
        <f>IF('AW Schulen'!$N40=0,"x",G64/'AW Schulen'!$N40)</f>
        <v>0.13434452871072589</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[1]GtS!$H$10</f>
        <v>1</v>
      </c>
      <c r="D66" s="23">
        <f>[2]GtS!$H$10</f>
        <v>1</v>
      </c>
      <c r="E66" s="23">
        <f>[3]GtS!$H$10</f>
        <v>1</v>
      </c>
      <c r="F66" s="23">
        <f>[4]GtS!$H$10</f>
        <v>1</v>
      </c>
      <c r="G66" s="34">
        <f>[5]GtS!$H$10</f>
        <v>1</v>
      </c>
      <c r="H66" s="155">
        <f>IF('AW Schulen'!$B24=0,"x",C66/'AW Schulen'!$B24)</f>
        <v>1</v>
      </c>
      <c r="I66" s="155">
        <f>IF('AW Schulen'!$E24=0,"x",D66/'AW Schulen'!$E24)</f>
        <v>1</v>
      </c>
      <c r="J66" s="155">
        <f>IF('AW Schulen'!$H24=0,"x",E66/'AW Schulen'!$H24)</f>
        <v>1</v>
      </c>
      <c r="K66" s="155">
        <f>IF('AW Schulen'!$K24=0,"x",F66/'AW Schulen'!$K24)</f>
        <v>1</v>
      </c>
      <c r="L66" s="156">
        <f>IF('AW Schulen'!$N24=0,"x",G66/'AW Schulen'!$N24)</f>
        <v>1</v>
      </c>
    </row>
    <row r="67" spans="1:12" ht="10.15" customHeight="1">
      <c r="A67" s="224" t="s">
        <v>81</v>
      </c>
      <c r="B67" s="120"/>
      <c r="C67" s="23">
        <f>[6]GtS!$H$10</f>
        <v>0</v>
      </c>
      <c r="D67" s="23">
        <f>[7]GtS!$H$10</f>
        <v>0</v>
      </c>
      <c r="E67" s="23">
        <f>[8]GtS!$H$10</f>
        <v>0</v>
      </c>
      <c r="F67" s="23" t="str">
        <f>[9]GtS!$H$10</f>
        <v xml:space="preserve">                                      -   </v>
      </c>
      <c r="G67" s="34">
        <f>[10]GtS!$H$10</f>
        <v>0</v>
      </c>
      <c r="H67" s="155">
        <f>IF('AW Schulen'!$B25=0,"x",C67/'AW Schulen'!$B25)</f>
        <v>0</v>
      </c>
      <c r="I67" s="155">
        <f>IF('AW Schulen'!$E25=0,"x",D67/'AW Schulen'!$E25)</f>
        <v>0</v>
      </c>
      <c r="J67" s="155">
        <f>IF('AW Schulen'!$H25=0,"x",E67/'AW Schulen'!$H25)</f>
        <v>0</v>
      </c>
      <c r="K67" s="155" t="e">
        <f>IF('AW Schulen'!$K25=0,"x",F67/'AW Schulen'!$K25)</f>
        <v>#VALUE!</v>
      </c>
      <c r="L67" s="156">
        <f>IF('AW Schulen'!$N25=0,"x",G67/'AW Schulen'!$N25)</f>
        <v>0</v>
      </c>
    </row>
    <row r="68" spans="1:12" ht="10.15" customHeight="1">
      <c r="A68" s="224" t="s">
        <v>82</v>
      </c>
      <c r="B68" s="120"/>
      <c r="C68" s="23">
        <f>[11]GtS!$H$10</f>
        <v>293</v>
      </c>
      <c r="D68" s="23">
        <f>[12]GtS!$H$10</f>
        <v>296</v>
      </c>
      <c r="E68" s="23">
        <f>[13]GtS!$H$10</f>
        <v>289</v>
      </c>
      <c r="F68" s="23">
        <f>[14]GtS!$H$10</f>
        <v>301</v>
      </c>
      <c r="G68" s="34">
        <f>[15]GtS!$H$10</f>
        <v>292</v>
      </c>
      <c r="H68" s="155">
        <f>IF('AW Schulen'!$B26=0,"x",C68/'AW Schulen'!$B26)</f>
        <v>0.81843575418994419</v>
      </c>
      <c r="I68" s="155">
        <f>IF('AW Schulen'!$E26=0,"x",D68/'AW Schulen'!$E26)</f>
        <v>0.82451253481894149</v>
      </c>
      <c r="J68" s="155">
        <f>IF('AW Schulen'!$H26=0,"x",E68/'AW Schulen'!$H26)</f>
        <v>0.78319783197831983</v>
      </c>
      <c r="K68" s="155">
        <f>IF('AW Schulen'!$K26=0,"x",F68/'AW Schulen'!$K26)</f>
        <v>0.8246575342465754</v>
      </c>
      <c r="L68" s="156">
        <f>IF('AW Schulen'!$N26=0,"x",G68/'AW Schulen'!$N26)</f>
        <v>0.79347826086956519</v>
      </c>
    </row>
    <row r="69" spans="1:12" ht="9" customHeight="1">
      <c r="A69" s="21" t="s">
        <v>83</v>
      </c>
      <c r="B69" s="120"/>
      <c r="C69" s="23">
        <f>[16]GtS!$H$10</f>
        <v>195</v>
      </c>
      <c r="D69" s="23">
        <f>[17]GtS!$H$10</f>
        <v>198</v>
      </c>
      <c r="E69" s="23">
        <f>[18]GtS!$H$10</f>
        <v>199</v>
      </c>
      <c r="F69" s="23">
        <f>[19]GtS!$H$10</f>
        <v>196</v>
      </c>
      <c r="G69" s="34">
        <f>[20]GtS!$H$10</f>
        <v>95</v>
      </c>
      <c r="H69" s="155">
        <f>IF('AW Schulen'!$B27=0,"x",C69/'AW Schulen'!$B27)</f>
        <v>0.44318181818181818</v>
      </c>
      <c r="I69" s="155">
        <f>IF('AW Schulen'!$E27=0,"x",D69/'AW Schulen'!$E27)</f>
        <v>0.45205479452054792</v>
      </c>
      <c r="J69" s="155">
        <f>IF('AW Schulen'!$H27=0,"x",E69/'AW Schulen'!$H27)</f>
        <v>0.45642201834862384</v>
      </c>
      <c r="K69" s="155">
        <f>IF('AW Schulen'!$K27=0,"x",F69/'AW Schulen'!$K27)</f>
        <v>0.45161290322580644</v>
      </c>
      <c r="L69" s="156">
        <f>IF('AW Schulen'!$N27=0,"x",G69/'AW Schulen'!$N27)</f>
        <v>0.21939953810623555</v>
      </c>
    </row>
    <row r="70" spans="1:12" ht="9" customHeight="1">
      <c r="A70" s="21" t="s">
        <v>84</v>
      </c>
      <c r="B70" s="120"/>
      <c r="C70" s="151">
        <f>[21]GtS!$H$10</f>
        <v>0</v>
      </c>
      <c r="D70" s="151">
        <f>[22]GtS!$H$10</f>
        <v>0</v>
      </c>
      <c r="E70" s="151">
        <f>[23]GtS!$H$10</f>
        <v>0</v>
      </c>
      <c r="F70" s="151">
        <f>[24]GtS!$H$10</f>
        <v>0</v>
      </c>
      <c r="G70" s="152">
        <f>[25]GtS!$H$10</f>
        <v>0</v>
      </c>
      <c r="H70" s="155" t="str">
        <f>IF('AW Schulen'!$B28=0,"x",C70/'AW Schulen'!$B28)</f>
        <v>x</v>
      </c>
      <c r="I70" s="155" t="str">
        <f>IF('AW Schulen'!$E28=0,"x",D70/'AW Schulen'!$E28)</f>
        <v>x</v>
      </c>
      <c r="J70" s="155" t="str">
        <f>IF('AW Schulen'!$H28=0,"x",E70/'AW Schulen'!$H28)</f>
        <v>x</v>
      </c>
      <c r="K70" s="155" t="str">
        <f>IF('AW Schulen'!$K28=0,"x",F70/'AW Schulen'!$K28)</f>
        <v>x</v>
      </c>
      <c r="L70" s="156" t="str">
        <f>IF('AW Schulen'!$N28=0,"x",G70/'AW Schulen'!$N28)</f>
        <v>x</v>
      </c>
    </row>
    <row r="71" spans="1:12" ht="9" customHeight="1">
      <c r="A71" s="21" t="s">
        <v>85</v>
      </c>
      <c r="B71" s="120"/>
      <c r="C71" s="23">
        <f>[26]GtS!$H$10</f>
        <v>0</v>
      </c>
      <c r="D71" s="23">
        <f>[27]GtS!$H$10</f>
        <v>1</v>
      </c>
      <c r="E71" s="23">
        <f>[28]GtS!$H$10</f>
        <v>1</v>
      </c>
      <c r="F71" s="23">
        <f>[29]GtS!$H$10</f>
        <v>1</v>
      </c>
      <c r="G71" s="34">
        <f>[30]GtS!$H$10</f>
        <v>0</v>
      </c>
      <c r="H71" s="155">
        <f>IF('AW Schulen'!$B29=0,"x",C71/'AW Schulen'!$B29)</f>
        <v>0</v>
      </c>
      <c r="I71" s="155">
        <f>IF('AW Schulen'!$E29=0,"x",D71/'AW Schulen'!$E29)</f>
        <v>0.25</v>
      </c>
      <c r="J71" s="155">
        <f>IF('AW Schulen'!$H29=0,"x",E71/'AW Schulen'!$H29)</f>
        <v>0.25</v>
      </c>
      <c r="K71" s="155">
        <f>IF('AW Schulen'!$K29=0,"x",F71/'AW Schulen'!$K29)</f>
        <v>0.25</v>
      </c>
      <c r="L71" s="156">
        <f>IF('AW Schulen'!$N29=0,"x",G71/'AW Schulen'!$N29)</f>
        <v>0</v>
      </c>
    </row>
    <row r="72" spans="1:12" ht="9" customHeight="1">
      <c r="A72" s="21" t="s">
        <v>86</v>
      </c>
      <c r="B72" s="120"/>
      <c r="C72" s="23">
        <f>[66]GtS!$H$10</f>
        <v>106</v>
      </c>
      <c r="D72" s="23">
        <f>[67]GtS!$H$10</f>
        <v>110</v>
      </c>
      <c r="E72" s="23">
        <f>[68]GtS!$H$10</f>
        <v>107</v>
      </c>
      <c r="F72" s="23">
        <f>[69]GtS!$H$10</f>
        <v>108</v>
      </c>
      <c r="G72" s="34">
        <f>[70]GtS!$H$10</f>
        <v>108</v>
      </c>
      <c r="H72" s="155">
        <f>IF('AW Schulen'!$B30=0,"x",C72/'AW Schulen'!$B30)</f>
        <v>0.89830508474576276</v>
      </c>
      <c r="I72" s="155">
        <f>IF('AW Schulen'!$E30=0,"x",D72/'AW Schulen'!$E30)</f>
        <v>0.91666666666666663</v>
      </c>
      <c r="J72" s="155">
        <f>IF('AW Schulen'!$H30=0,"x",E72/'AW Schulen'!$H30)</f>
        <v>0.9145299145299145</v>
      </c>
      <c r="K72" s="155">
        <f>IF('AW Schulen'!$K30=0,"x",F72/'AW Schulen'!$K30)</f>
        <v>0.92307692307692313</v>
      </c>
      <c r="L72" s="156">
        <f>IF('AW Schulen'!$N30=0,"x",G72/'AW Schulen'!$N30)</f>
        <v>0.93103448275862066</v>
      </c>
    </row>
    <row r="73" spans="1:12" ht="9" customHeight="1">
      <c r="A73" s="21" t="s">
        <v>87</v>
      </c>
      <c r="B73" s="120"/>
      <c r="C73" s="151">
        <f>[31]GtS!$H$10</f>
        <v>0</v>
      </c>
      <c r="D73" s="151">
        <f>[32]GtS!$H$10</f>
        <v>0</v>
      </c>
      <c r="E73" s="151">
        <f>[33]GtS!$H$10</f>
        <v>0</v>
      </c>
      <c r="F73" s="151">
        <f>[34]GtS!$H$10</f>
        <v>0</v>
      </c>
      <c r="G73" s="152">
        <f>[35]GtS!$H$10</f>
        <v>0</v>
      </c>
      <c r="H73" s="155" t="str">
        <f>IF('AW Schulen'!$B31=0,"x",C73/'AW Schulen'!$B31)</f>
        <v>x</v>
      </c>
      <c r="I73" s="155" t="str">
        <f>IF('AW Schulen'!$E31=0,"x",D73/'AW Schulen'!$E31)</f>
        <v>x</v>
      </c>
      <c r="J73" s="155" t="str">
        <f>IF('AW Schulen'!$H31=0,"x",E73/'AW Schulen'!$H31)</f>
        <v>x</v>
      </c>
      <c r="K73" s="155" t="str">
        <f>IF('AW Schulen'!$K31=0,"x",F73/'AW Schulen'!$K31)</f>
        <v>x</v>
      </c>
      <c r="L73" s="156" t="str">
        <f>IF('AW Schulen'!$N31=0,"x",G73/'AW Schulen'!$N31)</f>
        <v>x</v>
      </c>
    </row>
    <row r="74" spans="1:12" ht="9" customHeight="1">
      <c r="A74" s="21" t="s">
        <v>88</v>
      </c>
      <c r="B74" s="120"/>
      <c r="C74" s="151">
        <f>[71]GtS!$H$10</f>
        <v>0</v>
      </c>
      <c r="D74" s="151">
        <f>[72]GtS!$H$10</f>
        <v>0</v>
      </c>
      <c r="E74" s="151">
        <f>[73]GtS!$H$10</f>
        <v>0</v>
      </c>
      <c r="F74" s="151">
        <f>[74]GtS!$H$10</f>
        <v>0</v>
      </c>
      <c r="G74" s="152">
        <f>[75]GtS!$H$10</f>
        <v>0</v>
      </c>
      <c r="H74" s="155" t="str">
        <f>IF('AW Schulen'!$B32=0,"x",C74/'AW Schulen'!$B32)</f>
        <v>x</v>
      </c>
      <c r="I74" s="155" t="str">
        <f>IF('AW Schulen'!$E32=0,"x",D74/'AW Schulen'!$E32)</f>
        <v>x</v>
      </c>
      <c r="J74" s="155" t="str">
        <f>IF('AW Schulen'!$H32=0,"x",E74/'AW Schulen'!$H32)</f>
        <v>x</v>
      </c>
      <c r="K74" s="155" t="str">
        <f>IF('AW Schulen'!$K32=0,"x",F74/'AW Schulen'!$K32)</f>
        <v>x</v>
      </c>
      <c r="L74" s="156" t="str">
        <f>IF('AW Schulen'!$N32=0,"x",G74/'AW Schulen'!$N32)</f>
        <v>x</v>
      </c>
    </row>
    <row r="75" spans="1:12" ht="9" customHeight="1">
      <c r="A75" s="21" t="s">
        <v>89</v>
      </c>
      <c r="B75" s="120"/>
      <c r="C75" s="151">
        <f>[36]GtS!$H$10</f>
        <v>0</v>
      </c>
      <c r="D75" s="151">
        <f>[37]GtS!$H$10</f>
        <v>0</v>
      </c>
      <c r="E75" s="151">
        <f>[38]GtS!$H$10</f>
        <v>0</v>
      </c>
      <c r="F75" s="151">
        <f>[39]GtS!$H$10</f>
        <v>0</v>
      </c>
      <c r="G75" s="152">
        <f>[40]GtS!$H$10</f>
        <v>0</v>
      </c>
      <c r="H75" s="155" t="str">
        <f>IF('AW Schulen'!$B33=0,"x",C75/'AW Schulen'!$B33)</f>
        <v>x</v>
      </c>
      <c r="I75" s="155" t="str">
        <f>IF('AW Schulen'!$E33=0,"x",D75/'AW Schulen'!$E33)</f>
        <v>x</v>
      </c>
      <c r="J75" s="155" t="str">
        <f>IF('AW Schulen'!$H33=0,"x",E75/'AW Schulen'!$H33)</f>
        <v>x</v>
      </c>
      <c r="K75" s="155" t="str">
        <f>IF('AW Schulen'!$K33=0,"x",F75/'AW Schulen'!$K33)</f>
        <v>x</v>
      </c>
      <c r="L75" s="156" t="str">
        <f>IF('AW Schulen'!$N33=0,"x",G75/'AW Schulen'!$N33)</f>
        <v>x</v>
      </c>
    </row>
    <row r="76" spans="1:12" ht="9" customHeight="1">
      <c r="A76" s="21" t="s">
        <v>90</v>
      </c>
      <c r="B76" s="120"/>
      <c r="C76" s="151">
        <f>[41]GtS!$H$10</f>
        <v>0</v>
      </c>
      <c r="D76" s="151">
        <f>[42]GtS!$H$10</f>
        <v>0</v>
      </c>
      <c r="E76" s="151">
        <f>[43]GtS!$H$10</f>
        <v>0</v>
      </c>
      <c r="F76" s="151">
        <f>[44]GtS!$H$10</f>
        <v>0</v>
      </c>
      <c r="G76" s="152">
        <f>[45]GtS!$H$10</f>
        <v>0</v>
      </c>
      <c r="H76" s="155" t="str">
        <f>IF('AW Schulen'!$B34=0,"x",C76/'AW Schulen'!$B34)</f>
        <v>x</v>
      </c>
      <c r="I76" s="155" t="str">
        <f>IF('AW Schulen'!$E34=0,"x",D76/'AW Schulen'!$E34)</f>
        <v>x</v>
      </c>
      <c r="J76" s="155" t="str">
        <f>IF('AW Schulen'!$H34=0,"x",E76/'AW Schulen'!$H34)</f>
        <v>x</v>
      </c>
      <c r="K76" s="155" t="str">
        <f>IF('AW Schulen'!$K34=0,"x",F76/'AW Schulen'!$K34)</f>
        <v>x</v>
      </c>
      <c r="L76" s="156" t="str">
        <f>IF('AW Schulen'!$N34=0,"x",G76/'AW Schulen'!$N34)</f>
        <v>x</v>
      </c>
    </row>
    <row r="77" spans="1:12" ht="9" customHeight="1">
      <c r="A77" s="21" t="s">
        <v>91</v>
      </c>
      <c r="B77" s="120"/>
      <c r="C77" s="151">
        <f>[46]GtS!$H$10</f>
        <v>0</v>
      </c>
      <c r="D77" s="151">
        <f>[47]GtS!$H$10</f>
        <v>0</v>
      </c>
      <c r="E77" s="151">
        <f>[48]GtS!$H$10</f>
        <v>0</v>
      </c>
      <c r="F77" s="151">
        <f>[49]GtS!$H$10</f>
        <v>0</v>
      </c>
      <c r="G77" s="152">
        <f>[50]GtS!$H$10</f>
        <v>0</v>
      </c>
      <c r="H77" s="155" t="str">
        <f>IF('AW Schulen'!$B35=0,"x",C77/'AW Schulen'!$B35)</f>
        <v>x</v>
      </c>
      <c r="I77" s="155" t="str">
        <f>IF('AW Schulen'!$E35=0,"x",D77/'AW Schulen'!$E35)</f>
        <v>x</v>
      </c>
      <c r="J77" s="155" t="str">
        <f>IF('AW Schulen'!$H35=0,"x",E77/'AW Schulen'!$H35)</f>
        <v>x</v>
      </c>
      <c r="K77" s="155" t="str">
        <f>IF('AW Schulen'!$K35=0,"x",F77/'AW Schulen'!$K35)</f>
        <v>x</v>
      </c>
      <c r="L77" s="156" t="str">
        <f>IF('AW Schulen'!$N35=0,"x",G77/'AW Schulen'!$N35)</f>
        <v>x</v>
      </c>
    </row>
    <row r="78" spans="1:12" ht="9" customHeight="1">
      <c r="A78" s="21" t="s">
        <v>92</v>
      </c>
      <c r="B78" s="120"/>
      <c r="C78" s="151">
        <f>[51]GtS!$H$10</f>
        <v>0</v>
      </c>
      <c r="D78" s="151">
        <f>[52]GtS!$H$10</f>
        <v>0</v>
      </c>
      <c r="E78" s="151">
        <f>[53]GtS!$H$10</f>
        <v>0</v>
      </c>
      <c r="F78" s="151">
        <f>[54]GtS!$H$10</f>
        <v>0</v>
      </c>
      <c r="G78" s="152">
        <f>[55]GtS!$H$10</f>
        <v>0</v>
      </c>
      <c r="H78" s="155" t="str">
        <f>IF('AW Schulen'!$B36=0,"x",C78/'AW Schulen'!$B36)</f>
        <v>x</v>
      </c>
      <c r="I78" s="155" t="str">
        <f>IF('AW Schulen'!$E36=0,"x",D78/'AW Schulen'!$E36)</f>
        <v>x</v>
      </c>
      <c r="J78" s="155" t="str">
        <f>IF('AW Schulen'!$H36=0,"x",E78/'AW Schulen'!$H36)</f>
        <v>x</v>
      </c>
      <c r="K78" s="155" t="str">
        <f>IF('AW Schulen'!$K36=0,"x",F78/'AW Schulen'!$K36)</f>
        <v>x</v>
      </c>
      <c r="L78" s="156" t="str">
        <f>IF('AW Schulen'!$N36=0,"x",G78/'AW Schulen'!$N36)</f>
        <v>x</v>
      </c>
    </row>
    <row r="79" spans="1:12" ht="9" customHeight="1">
      <c r="A79" s="21" t="s">
        <v>93</v>
      </c>
      <c r="B79" s="120"/>
      <c r="C79" s="151">
        <f>[76]GtS!$H$10</f>
        <v>0</v>
      </c>
      <c r="D79" s="151">
        <f>[77]GtS!$H$10</f>
        <v>0</v>
      </c>
      <c r="E79" s="151">
        <f>[78]GtS!$H$10</f>
        <v>0</v>
      </c>
      <c r="F79" s="151">
        <f>[79]GtS!$H$10</f>
        <v>0</v>
      </c>
      <c r="G79" s="152">
        <f>[80]GtS!$H$10</f>
        <v>0</v>
      </c>
      <c r="H79" s="155" t="str">
        <f>IF('AW Schulen'!$B37=0,"x",C79/'AW Schulen'!$B37)</f>
        <v>x</v>
      </c>
      <c r="I79" s="155" t="str">
        <f>IF('AW Schulen'!$E37=0,"x",D79/'AW Schulen'!$E37)</f>
        <v>x</v>
      </c>
      <c r="J79" s="155" t="str">
        <f>IF('AW Schulen'!$H37=0,"x",E79/'AW Schulen'!$H37)</f>
        <v>x</v>
      </c>
      <c r="K79" s="155" t="str">
        <f>IF('AW Schulen'!$K37=0,"x",F79/'AW Schulen'!$K37)</f>
        <v>x</v>
      </c>
      <c r="L79" s="156" t="str">
        <f>IF('AW Schulen'!$N37=0,"x",G79/'AW Schulen'!$N37)</f>
        <v>x</v>
      </c>
    </row>
    <row r="80" spans="1:12" ht="9" customHeight="1">
      <c r="A80" s="21" t="s">
        <v>94</v>
      </c>
      <c r="B80" s="120"/>
      <c r="C80" s="151">
        <f>[56]GtS!$H$10</f>
        <v>0</v>
      </c>
      <c r="D80" s="151">
        <f>[57]GtS!$H$10</f>
        <v>0</v>
      </c>
      <c r="E80" s="151">
        <f>[58]GtS!$H$10</f>
        <v>0</v>
      </c>
      <c r="F80" s="151">
        <f>[59]GtS!$H$10</f>
        <v>0</v>
      </c>
      <c r="G80" s="152">
        <f>[60]GtS!$H$10</f>
        <v>0</v>
      </c>
      <c r="H80" s="155" t="str">
        <f>IF('AW Schulen'!$B38=0,"x",C80/'AW Schulen'!$B38)</f>
        <v>x</v>
      </c>
      <c r="I80" s="155" t="str">
        <f>IF('AW Schulen'!$E38=0,"x",D80/'AW Schulen'!$E38)</f>
        <v>x</v>
      </c>
      <c r="J80" s="155" t="str">
        <f>IF('AW Schulen'!$H38=0,"x",E80/'AW Schulen'!$H38)</f>
        <v>x</v>
      </c>
      <c r="K80" s="155" t="str">
        <f>IF('AW Schulen'!$K38=0,"x",F80/'AW Schulen'!$K38)</f>
        <v>x</v>
      </c>
      <c r="L80" s="156" t="str">
        <f>IF('AW Schulen'!$N38=0,"x",G80/'AW Schulen'!$N38)</f>
        <v>x</v>
      </c>
    </row>
    <row r="81" spans="1:12" ht="9" customHeight="1">
      <c r="A81" s="21" t="s">
        <v>95</v>
      </c>
      <c r="B81" s="120"/>
      <c r="C81" s="151">
        <f>[61]GtS!$H$10</f>
        <v>0</v>
      </c>
      <c r="D81" s="151">
        <f>[62]GtS!$H$10</f>
        <v>0</v>
      </c>
      <c r="E81" s="151">
        <f>[63]GtS!$H$10</f>
        <v>0</v>
      </c>
      <c r="F81" s="151">
        <f>[64]GtS!$H$10</f>
        <v>0</v>
      </c>
      <c r="G81" s="152">
        <f>[65]GtS!$H$10</f>
        <v>0</v>
      </c>
      <c r="H81" s="155" t="str">
        <f>IF('AW Schulen'!$B39=0,"x",C81/'AW Schulen'!$B39)</f>
        <v>x</v>
      </c>
      <c r="I81" s="155" t="str">
        <f>IF('AW Schulen'!$E39=0,"x",D81/'AW Schulen'!$E39)</f>
        <v>x</v>
      </c>
      <c r="J81" s="155" t="str">
        <f>IF('AW Schulen'!$H39=0,"x",E81/'AW Schulen'!$H39)</f>
        <v>x</v>
      </c>
      <c r="K81" s="155" t="str">
        <f>IF('AW Schulen'!$K39=0,"x",F81/'AW Schulen'!$K39)</f>
        <v>x</v>
      </c>
      <c r="L81" s="156" t="str">
        <f>IF('AW Schulen'!$N39=0,"x",G81/'AW Schulen'!$N39)</f>
        <v>x</v>
      </c>
    </row>
    <row r="82" spans="1:12" ht="9" customHeight="1">
      <c r="A82" s="24" t="s">
        <v>96</v>
      </c>
      <c r="B82" s="121"/>
      <c r="C82" s="26">
        <f t="shared" ref="C82:E82" si="39">SUM(C66:C81)</f>
        <v>595</v>
      </c>
      <c r="D82" s="26">
        <f t="shared" si="39"/>
        <v>606</v>
      </c>
      <c r="E82" s="26">
        <f t="shared" si="39"/>
        <v>597</v>
      </c>
      <c r="F82" s="26">
        <f t="shared" ref="F82:G82" si="40">SUM(F66:F81)</f>
        <v>607</v>
      </c>
      <c r="G82" s="47">
        <f t="shared" si="40"/>
        <v>496</v>
      </c>
      <c r="H82" s="157">
        <f>IF('AW Schulen'!$B40=0,"x",C82/'AW Schulen'!$B40)</f>
        <v>0.64463705308775732</v>
      </c>
      <c r="I82" s="157">
        <f>IF('AW Schulen'!$E40=0,"x",D82/'AW Schulen'!$E40)</f>
        <v>0.65655471289274103</v>
      </c>
      <c r="J82" s="157">
        <f>IF('AW Schulen'!$H40=0,"x",E82/'AW Schulen'!$H40)</f>
        <v>0.64331896551724133</v>
      </c>
      <c r="K82" s="157">
        <f>IF('AW Schulen'!$K40=0,"x",F82/'AW Schulen'!$K40)</f>
        <v>0.65835140997830799</v>
      </c>
      <c r="L82" s="158">
        <f>IF('AW Schulen'!$N40=0,"x",G82/'AW Schulen'!$N40)</f>
        <v>0.53737811484290354</v>
      </c>
    </row>
    <row r="83" spans="1:12" ht="18.75" customHeight="1">
      <c r="A83" s="396" t="s">
        <v>312</v>
      </c>
      <c r="B83" s="396"/>
      <c r="C83" s="396"/>
      <c r="D83" s="396"/>
      <c r="E83" s="396"/>
      <c r="F83" s="396"/>
      <c r="G83" s="396"/>
      <c r="H83" s="396"/>
      <c r="I83" s="396"/>
      <c r="J83" s="396"/>
      <c r="K83" s="396"/>
      <c r="L83" s="396"/>
    </row>
    <row r="84" spans="1:12" ht="10.15" customHeight="1">
      <c r="A84" s="214" t="s">
        <v>101</v>
      </c>
    </row>
  </sheetData>
  <mergeCells count="8">
    <mergeCell ref="A65:L65"/>
    <mergeCell ref="A83:L83"/>
    <mergeCell ref="A1:L1"/>
    <mergeCell ref="H9:L9"/>
    <mergeCell ref="C9:G9"/>
    <mergeCell ref="A11:L11"/>
    <mergeCell ref="A47:L47"/>
    <mergeCell ref="A29:L29"/>
  </mergeCells>
  <phoneticPr fontId="18" type="noConversion"/>
  <conditionalFormatting sqref="N25">
    <cfRule type="cellIs" dxfId="54"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L86"/>
  <sheetViews>
    <sheetView zoomScaleNormal="100" zoomScaleSheetLayoutView="115" workbookViewId="0">
      <selection activeCell="C12" sqref="C12"/>
    </sheetView>
  </sheetViews>
  <sheetFormatPr baseColWidth="10" defaultRowHeight="12.75"/>
  <cols>
    <col min="2" max="2" width="11.7109375" customWidth="1"/>
    <col min="4" max="4" width="11.5703125" customWidth="1"/>
    <col min="8" max="8" width="15.28515625" customWidth="1"/>
    <col min="9" max="9" width="23.42578125" customWidth="1"/>
  </cols>
  <sheetData>
    <row r="1" spans="1:12" ht="33">
      <c r="A1" s="366" t="s">
        <v>113</v>
      </c>
      <c r="B1" s="366"/>
      <c r="C1" s="367"/>
      <c r="D1" s="367"/>
      <c r="E1" s="367"/>
      <c r="F1" s="367"/>
      <c r="G1" s="367"/>
      <c r="H1" s="367"/>
      <c r="I1" s="367"/>
      <c r="J1" s="367"/>
      <c r="K1" s="367"/>
      <c r="L1" s="367"/>
    </row>
    <row r="2" spans="1:12">
      <c r="A2" s="59"/>
      <c r="B2" s="59"/>
      <c r="C2" s="59"/>
      <c r="D2" s="59"/>
      <c r="E2" s="59"/>
      <c r="F2" s="59"/>
      <c r="G2" s="59"/>
    </row>
    <row r="3" spans="1:12">
      <c r="A3" s="59"/>
      <c r="B3" s="59"/>
      <c r="C3" s="59"/>
      <c r="D3" s="59"/>
      <c r="E3" s="59"/>
      <c r="F3" s="59"/>
      <c r="G3" s="59"/>
    </row>
    <row r="4" spans="1:12">
      <c r="A4" s="59"/>
      <c r="B4" s="59"/>
      <c r="C4" s="128"/>
      <c r="D4" s="128"/>
      <c r="E4" s="128"/>
      <c r="F4" s="128"/>
      <c r="G4" s="128"/>
      <c r="H4" s="128"/>
      <c r="I4" s="221"/>
      <c r="J4" s="128"/>
      <c r="K4" s="128"/>
      <c r="L4" s="128"/>
    </row>
    <row r="5" spans="1:12" ht="12.4" customHeight="1">
      <c r="A5" s="304" t="s">
        <v>245</v>
      </c>
      <c r="B5" s="304"/>
      <c r="C5" s="304"/>
      <c r="D5" s="304"/>
      <c r="E5" s="304"/>
      <c r="F5" s="304"/>
      <c r="G5" s="304"/>
      <c r="H5" s="304"/>
      <c r="I5" s="304"/>
    </row>
    <row r="6" spans="1:12">
      <c r="A6" s="59"/>
      <c r="B6" s="59"/>
      <c r="C6" s="59"/>
      <c r="D6" s="59"/>
      <c r="E6" s="59"/>
      <c r="F6" s="59"/>
      <c r="G6" s="59"/>
    </row>
    <row r="8" spans="1:12" ht="13.5" thickBot="1">
      <c r="A8" s="62" t="s">
        <v>77</v>
      </c>
      <c r="B8" s="62"/>
      <c r="C8" s="368" t="s">
        <v>112</v>
      </c>
      <c r="D8" s="368"/>
      <c r="E8" s="368"/>
      <c r="F8" s="368"/>
      <c r="G8" s="368"/>
      <c r="H8" s="60"/>
      <c r="I8" s="60"/>
    </row>
    <row r="10" spans="1:12" ht="43.5" customHeight="1">
      <c r="A10" s="263" t="s">
        <v>140</v>
      </c>
      <c r="C10" s="371" t="s">
        <v>300</v>
      </c>
      <c r="D10" s="371"/>
      <c r="E10" s="371"/>
      <c r="F10" s="371"/>
      <c r="G10" s="371"/>
      <c r="H10" s="371"/>
      <c r="I10" s="371"/>
    </row>
    <row r="11" spans="1:12" ht="39" customHeight="1">
      <c r="C11" s="372" t="s">
        <v>313</v>
      </c>
      <c r="D11" s="372"/>
      <c r="E11" s="372"/>
      <c r="F11" s="372"/>
      <c r="G11" s="372"/>
      <c r="H11" s="372"/>
      <c r="I11" s="372"/>
    </row>
    <row r="12" spans="1:12" s="230" customFormat="1" ht="12.75" customHeight="1">
      <c r="C12" s="333"/>
      <c r="D12" s="333"/>
      <c r="E12" s="333"/>
      <c r="F12" s="333"/>
      <c r="G12" s="333"/>
      <c r="H12" s="333"/>
      <c r="I12" s="333"/>
    </row>
    <row r="13" spans="1:12">
      <c r="A13" s="204" t="s">
        <v>180</v>
      </c>
      <c r="C13" s="371" t="s">
        <v>249</v>
      </c>
      <c r="D13" s="371"/>
      <c r="E13" s="371"/>
      <c r="F13" s="371"/>
      <c r="G13" s="371"/>
      <c r="H13" s="371"/>
      <c r="I13" s="371"/>
    </row>
    <row r="14" spans="1:12" s="329" customFormat="1" ht="28.5" customHeight="1">
      <c r="A14" s="330"/>
      <c r="C14" s="373" t="s">
        <v>289</v>
      </c>
      <c r="D14" s="371"/>
      <c r="E14" s="371"/>
      <c r="F14" s="371"/>
      <c r="G14" s="371"/>
      <c r="H14" s="371"/>
      <c r="I14" s="371"/>
    </row>
    <row r="15" spans="1:12">
      <c r="C15" s="334" t="s">
        <v>171</v>
      </c>
      <c r="D15" s="334"/>
      <c r="E15" s="334"/>
      <c r="F15" s="334"/>
      <c r="G15" s="334"/>
      <c r="H15" s="334"/>
      <c r="I15" s="334"/>
    </row>
    <row r="16" spans="1:12" ht="42" customHeight="1">
      <c r="A16" s="369" t="s">
        <v>192</v>
      </c>
      <c r="B16" s="369"/>
      <c r="C16" s="370" t="s">
        <v>170</v>
      </c>
      <c r="D16" s="370"/>
      <c r="E16" s="370"/>
      <c r="F16" s="370"/>
      <c r="G16" s="370"/>
      <c r="H16" s="370"/>
      <c r="I16" s="370"/>
    </row>
    <row r="17" spans="1:12" ht="39" customHeight="1">
      <c r="C17" s="374" t="s">
        <v>167</v>
      </c>
      <c r="D17" s="374"/>
      <c r="E17" s="374"/>
      <c r="F17" s="374"/>
      <c r="G17" s="374"/>
      <c r="H17" s="374"/>
      <c r="I17" s="374"/>
    </row>
    <row r="18" spans="1:12">
      <c r="C18" s="334"/>
      <c r="D18" s="334"/>
      <c r="E18" s="334"/>
      <c r="F18" s="334"/>
      <c r="G18" s="334"/>
      <c r="H18" s="334"/>
      <c r="I18" s="334"/>
    </row>
    <row r="19" spans="1:12">
      <c r="A19" t="s">
        <v>177</v>
      </c>
      <c r="C19" s="334" t="s">
        <v>181</v>
      </c>
      <c r="D19" s="334"/>
      <c r="E19" s="334"/>
      <c r="F19" s="334"/>
      <c r="G19" s="334"/>
      <c r="H19" s="334"/>
      <c r="I19" s="334"/>
    </row>
    <row r="20" spans="1:12">
      <c r="A20" s="334"/>
      <c r="B20" s="334"/>
      <c r="C20" s="334"/>
      <c r="D20" s="334"/>
      <c r="E20" s="334"/>
      <c r="F20" s="334"/>
      <c r="G20" s="334"/>
      <c r="H20" s="334"/>
      <c r="I20" s="334"/>
    </row>
    <row r="21" spans="1:12" ht="30.75" customHeight="1">
      <c r="A21" s="335" t="s">
        <v>144</v>
      </c>
      <c r="B21" s="334"/>
      <c r="C21" s="370" t="s">
        <v>219</v>
      </c>
      <c r="D21" s="370"/>
      <c r="E21" s="370"/>
      <c r="F21" s="370"/>
      <c r="G21" s="370"/>
      <c r="H21" s="370"/>
      <c r="I21" s="370"/>
    </row>
    <row r="22" spans="1:12">
      <c r="A22" t="s">
        <v>307</v>
      </c>
      <c r="C22" s="334" t="s">
        <v>306</v>
      </c>
      <c r="D22" s="334"/>
      <c r="E22" s="334"/>
      <c r="F22" s="334"/>
      <c r="G22" s="334"/>
      <c r="H22" s="334"/>
      <c r="I22" s="334"/>
    </row>
    <row r="23" spans="1:12" s="360" customFormat="1">
      <c r="C23" s="334"/>
      <c r="D23" s="334"/>
      <c r="E23" s="334"/>
      <c r="F23" s="334"/>
      <c r="G23" s="334"/>
      <c r="H23" s="334"/>
      <c r="I23" s="334"/>
    </row>
    <row r="24" spans="1:12" ht="27.75" customHeight="1">
      <c r="A24" s="204" t="s">
        <v>115</v>
      </c>
      <c r="C24" s="370" t="s">
        <v>146</v>
      </c>
      <c r="D24" s="370"/>
      <c r="E24" s="370"/>
      <c r="F24" s="370"/>
      <c r="G24" s="370"/>
      <c r="H24" s="370"/>
      <c r="I24" s="370"/>
    </row>
    <row r="25" spans="1:12" ht="14.25" customHeight="1">
      <c r="C25" s="371" t="s">
        <v>290</v>
      </c>
      <c r="D25" s="371"/>
      <c r="E25" s="371"/>
      <c r="F25" s="371"/>
      <c r="G25" s="371"/>
      <c r="H25" s="371"/>
      <c r="I25" s="371"/>
    </row>
    <row r="26" spans="1:12" s="243" customFormat="1" ht="14.25" customHeight="1">
      <c r="C26" s="371"/>
      <c r="D26" s="371"/>
      <c r="E26" s="371"/>
      <c r="F26" s="371"/>
      <c r="G26" s="371"/>
      <c r="H26" s="371"/>
      <c r="I26" s="371"/>
    </row>
    <row r="27" spans="1:12" s="358" customFormat="1" ht="120" customHeight="1">
      <c r="A27" s="359" t="s">
        <v>298</v>
      </c>
      <c r="C27" s="371" t="s">
        <v>299</v>
      </c>
      <c r="D27" s="371"/>
      <c r="E27" s="371"/>
      <c r="F27" s="371"/>
      <c r="G27" s="371"/>
      <c r="H27" s="371"/>
      <c r="I27" s="371"/>
    </row>
    <row r="28" spans="1:12" s="243" customFormat="1" ht="14.25" customHeight="1">
      <c r="C28" s="335"/>
      <c r="D28" s="334"/>
      <c r="E28" s="334"/>
      <c r="F28" s="334"/>
      <c r="G28" s="334"/>
      <c r="H28" s="334"/>
      <c r="I28" s="334"/>
    </row>
    <row r="29" spans="1:12" s="233" customFormat="1" ht="45.75" customHeight="1">
      <c r="A29" s="234" t="s">
        <v>193</v>
      </c>
      <c r="C29" s="372" t="s">
        <v>262</v>
      </c>
      <c r="D29" s="372"/>
      <c r="E29" s="372"/>
      <c r="F29" s="372"/>
      <c r="G29" s="372"/>
      <c r="H29" s="372"/>
      <c r="I29" s="372"/>
      <c r="J29" s="244"/>
      <c r="K29" s="244"/>
      <c r="L29" s="244"/>
    </row>
    <row r="30" spans="1:12" s="233" customFormat="1">
      <c r="C30" s="334"/>
      <c r="D30" s="334"/>
      <c r="E30" s="334"/>
      <c r="F30" s="334"/>
      <c r="G30" s="334"/>
      <c r="H30" s="334"/>
      <c r="I30" s="334"/>
    </row>
    <row r="31" spans="1:12" s="230" customFormat="1">
      <c r="C31" s="231"/>
      <c r="D31" s="231"/>
      <c r="E31" s="231"/>
      <c r="F31" s="231"/>
      <c r="G31" s="231"/>
      <c r="H31" s="231"/>
      <c r="I31" s="231"/>
    </row>
    <row r="32" spans="1:12">
      <c r="A32" s="61" t="s">
        <v>247</v>
      </c>
      <c r="B32" s="61"/>
      <c r="C32" s="61"/>
      <c r="D32" s="61"/>
      <c r="E32" s="61"/>
      <c r="F32" s="61"/>
      <c r="G32" s="61"/>
      <c r="H32" s="61"/>
      <c r="I32" s="61"/>
    </row>
    <row r="66" spans="1:1" ht="8.65" customHeight="1"/>
    <row r="67" spans="1:1" ht="12.6" customHeight="1"/>
    <row r="68" spans="1:1" ht="10.15" customHeight="1">
      <c r="A68" s="221"/>
    </row>
    <row r="69" spans="1:1" ht="10.15" customHeight="1">
      <c r="A69" s="221"/>
    </row>
    <row r="70" spans="1:1" ht="10.15" customHeight="1">
      <c r="A70" s="221"/>
    </row>
    <row r="85" spans="1:1" ht="10.5" customHeight="1"/>
    <row r="86" spans="1:1" ht="10.15" customHeight="1">
      <c r="A86" s="221"/>
    </row>
  </sheetData>
  <mergeCells count="14">
    <mergeCell ref="C21:I21"/>
    <mergeCell ref="C29:I29"/>
    <mergeCell ref="C24:I24"/>
    <mergeCell ref="C17:I17"/>
    <mergeCell ref="C25:I26"/>
    <mergeCell ref="C27:I27"/>
    <mergeCell ref="A1:L1"/>
    <mergeCell ref="C8:G8"/>
    <mergeCell ref="A16:B16"/>
    <mergeCell ref="C16:I16"/>
    <mergeCell ref="C13:I13"/>
    <mergeCell ref="C11:I11"/>
    <mergeCell ref="C10:I10"/>
    <mergeCell ref="C14:I14"/>
  </mergeCells>
  <phoneticPr fontId="18" type="noConversion"/>
  <pageMargins left="0.78740157480314965" right="0.78740157480314965" top="0.98425196850393704" bottom="0.98425196850393704" header="0.51181102362204722" footer="0.51181102362204722"/>
  <pageSetup paperSize="9" scale="7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M84"/>
  <sheetViews>
    <sheetView view="pageBreakPreview" topLeftCell="A7" zoomScale="194" zoomScaleNormal="140" zoomScaleSheetLayoutView="194"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'2.2.2'!A1:G1+1</f>
        <v>17</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2.6" customHeight="1">
      <c r="A5" s="13" t="s">
        <v>22</v>
      </c>
      <c r="B5" s="39" t="s">
        <v>11</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SUM(C30+C48+C66)</f>
        <v>423</v>
      </c>
      <c r="D12" s="42">
        <f>SUM(D30+D48+D66)</f>
        <v>429</v>
      </c>
      <c r="E12" s="42">
        <f>SUM(E30+E48+E66)</f>
        <v>427</v>
      </c>
      <c r="F12" s="42">
        <f>SUM(F30+F48+F66)</f>
        <v>416</v>
      </c>
      <c r="G12" s="44">
        <f>SUM(G30+G48+G66)</f>
        <v>380</v>
      </c>
      <c r="H12" s="153">
        <f>IF('AW Schulen'!$B42=0,"x",C12/'AW Schulen'!$B42)</f>
        <v>0.49071925754060325</v>
      </c>
      <c r="I12" s="153">
        <f>IF('AW Schulen'!$E42=0,"x",D12/'AW Schulen'!$E42)</f>
        <v>0.52063106796116509</v>
      </c>
      <c r="J12" s="153">
        <f>IF('AW Schulen'!$H42=0,"x",E12/'AW Schulen'!$H42)</f>
        <v>0.54603580562659848</v>
      </c>
      <c r="K12" s="153">
        <f>IF('AW Schulen'!$K42=0,"x",F12/'AW Schulen'!$K42)</f>
        <v>0.55689424364123163</v>
      </c>
      <c r="L12" s="154">
        <f>IF('AW Schulen'!$N42=0,"x",G12/'AW Schulen'!$N42)</f>
        <v>0.55718475073313778</v>
      </c>
    </row>
    <row r="13" spans="1:13" ht="9" customHeight="1">
      <c r="A13" s="21" t="s">
        <v>81</v>
      </c>
      <c r="B13" s="120"/>
      <c r="C13" s="42">
        <f t="shared" ref="C13:C28" si="0">SUM(C31+C49+C67)</f>
        <v>705</v>
      </c>
      <c r="D13" s="42">
        <f t="shared" ref="D13:E13" si="1">SUM(D31+D49+D67)</f>
        <v>726</v>
      </c>
      <c r="E13" s="42">
        <f t="shared" si="1"/>
        <v>720</v>
      </c>
      <c r="F13" s="42">
        <f t="shared" ref="F13:G13" si="2">SUM(F31+F49+F67)</f>
        <v>718</v>
      </c>
      <c r="G13" s="44">
        <f t="shared" si="2"/>
        <v>740</v>
      </c>
      <c r="H13" s="153">
        <f>IF('AW Schulen'!$B43=0,"x",C13/'AW Schulen'!$B43)</f>
        <v>0.76133909287257018</v>
      </c>
      <c r="I13" s="153">
        <f>IF('AW Schulen'!$E43=0,"x",D13/'AW Schulen'!$E43)</f>
        <v>0.79257641921397382</v>
      </c>
      <c r="J13" s="153">
        <f>IF('AW Schulen'!$H43=0,"x",E13/'AW Schulen'!$H43)</f>
        <v>0.80267558528428096</v>
      </c>
      <c r="K13" s="153">
        <f>IF('AW Schulen'!$K43=0,"x",F13/'AW Schulen'!$K43)</f>
        <v>0.80855855855855852</v>
      </c>
      <c r="L13" s="154">
        <f>IF('AW Schulen'!$N43=0,"x",G13/'AW Schulen'!$N43)</f>
        <v>0.83052749719416386</v>
      </c>
    </row>
    <row r="14" spans="1:13" ht="9" customHeight="1">
      <c r="A14" s="21" t="s">
        <v>82</v>
      </c>
      <c r="B14" s="120"/>
      <c r="C14" s="149">
        <f t="shared" si="0"/>
        <v>0</v>
      </c>
      <c r="D14" s="149">
        <f t="shared" ref="D14:E14" si="3">SUM(D32+D50+D68)</f>
        <v>0</v>
      </c>
      <c r="E14" s="149">
        <f t="shared" si="3"/>
        <v>0</v>
      </c>
      <c r="F14" s="149">
        <f t="shared" ref="F14:G14" si="4">SUM(F32+F50+F68)</f>
        <v>0</v>
      </c>
      <c r="G14" s="150">
        <f t="shared" si="4"/>
        <v>0</v>
      </c>
      <c r="H14" s="153" t="str">
        <f>IF('AW Schulen'!$B44=0,"x",C14/'AW Schulen'!$B44)</f>
        <v>x</v>
      </c>
      <c r="I14" s="153" t="str">
        <f>IF('AW Schulen'!$E44=0,"x",D14/'AW Schulen'!$E44)</f>
        <v>x</v>
      </c>
      <c r="J14" s="153" t="str">
        <f>IF('AW Schulen'!$H44=0,"x",E14/'AW Schulen'!$H44)</f>
        <v>x</v>
      </c>
      <c r="K14" s="153" t="str">
        <f>IF('AW Schulen'!$K44=0,"x",F14/'AW Schulen'!$K44)</f>
        <v>x</v>
      </c>
      <c r="L14" s="154" t="str">
        <f>IF('AW Schulen'!$N44=0,"x",G14/'AW Schulen'!$N44)</f>
        <v>x</v>
      </c>
    </row>
    <row r="15" spans="1:13" ht="9" customHeight="1">
      <c r="A15" s="21" t="s">
        <v>83</v>
      </c>
      <c r="B15" s="120"/>
      <c r="C15" s="149">
        <f t="shared" si="0"/>
        <v>0</v>
      </c>
      <c r="D15" s="149">
        <f t="shared" ref="D15:E15" si="5">SUM(D33+D51+D69)</f>
        <v>0</v>
      </c>
      <c r="E15" s="149">
        <f t="shared" si="5"/>
        <v>0</v>
      </c>
      <c r="F15" s="149">
        <f t="shared" ref="F15:G15" si="6">SUM(F33+F51+F69)</f>
        <v>0</v>
      </c>
      <c r="G15" s="150">
        <f t="shared" si="6"/>
        <v>0</v>
      </c>
      <c r="H15" s="153" t="str">
        <f>IF('AW Schulen'!$B45=0,"x",C15/'AW Schulen'!$B45)</f>
        <v>x</v>
      </c>
      <c r="I15" s="153" t="str">
        <f>IF('AW Schulen'!$E45=0,"x",D15/'AW Schulen'!$E45)</f>
        <v>x</v>
      </c>
      <c r="J15" s="153" t="str">
        <f>IF('AW Schulen'!$H45=0,"x",E15/'AW Schulen'!$H45)</f>
        <v>x</v>
      </c>
      <c r="K15" s="153" t="str">
        <f>IF('AW Schulen'!$K45=0,"x",F15/'AW Schulen'!$K45)</f>
        <v>x</v>
      </c>
      <c r="L15" s="154" t="str">
        <f>IF('AW Schulen'!$N45=0,"x",G15/'AW Schulen'!$N45)</f>
        <v>x</v>
      </c>
    </row>
    <row r="16" spans="1:13" ht="9" customHeight="1">
      <c r="A16" s="21" t="s">
        <v>84</v>
      </c>
      <c r="B16" s="120"/>
      <c r="C16" s="149">
        <f t="shared" si="0"/>
        <v>0</v>
      </c>
      <c r="D16" s="149">
        <f t="shared" ref="D16:E16" si="7">SUM(D34+D52+D70)</f>
        <v>0</v>
      </c>
      <c r="E16" s="149">
        <f t="shared" si="7"/>
        <v>0</v>
      </c>
      <c r="F16" s="149">
        <f t="shared" ref="F16:G16" si="8">SUM(F34+F52+F70)</f>
        <v>0</v>
      </c>
      <c r="G16" s="150">
        <f t="shared" si="8"/>
        <v>0</v>
      </c>
      <c r="H16" s="153" t="str">
        <f>IF('AW Schulen'!$B46=0,"x",C16/'AW Schulen'!$B46)</f>
        <v>x</v>
      </c>
      <c r="I16" s="153" t="str">
        <f>IF('AW Schulen'!$E46=0,"x",D16/'AW Schulen'!$E46)</f>
        <v>x</v>
      </c>
      <c r="J16" s="153" t="str">
        <f>IF('AW Schulen'!$H46=0,"x",E16/'AW Schulen'!$H46)</f>
        <v>x</v>
      </c>
      <c r="K16" s="153" t="str">
        <f>IF('AW Schulen'!$K46=0,"x",F16/'AW Schulen'!$K46)</f>
        <v>x</v>
      </c>
      <c r="L16" s="154" t="str">
        <f>IF('AW Schulen'!$N46=0,"x",G16/'AW Schulen'!$N46)</f>
        <v>x</v>
      </c>
    </row>
    <row r="17" spans="1:12" ht="9" customHeight="1">
      <c r="A17" s="21" t="s">
        <v>85</v>
      </c>
      <c r="B17" s="120"/>
      <c r="C17" s="149">
        <f t="shared" si="0"/>
        <v>0</v>
      </c>
      <c r="D17" s="149">
        <f t="shared" ref="D17:E17" si="9">SUM(D35+D53+D71)</f>
        <v>0</v>
      </c>
      <c r="E17" s="149">
        <f t="shared" si="9"/>
        <v>0</v>
      </c>
      <c r="F17" s="149">
        <f t="shared" ref="F17:G17" si="10">SUM(F35+F53+F71)</f>
        <v>0</v>
      </c>
      <c r="G17" s="150">
        <f t="shared" si="10"/>
        <v>0</v>
      </c>
      <c r="H17" s="153" t="str">
        <f>IF('AW Schulen'!$B47=0,"x",C17/'AW Schulen'!$B47)</f>
        <v>x</v>
      </c>
      <c r="I17" s="153" t="str">
        <f>IF('AW Schulen'!$E47=0,"x",D17/'AW Schulen'!$E47)</f>
        <v>x</v>
      </c>
      <c r="J17" s="153" t="str">
        <f>IF('AW Schulen'!$H47=0,"x",E17/'AW Schulen'!$H47)</f>
        <v>x</v>
      </c>
      <c r="K17" s="153" t="str">
        <f>IF('AW Schulen'!$K47=0,"x",F17/'AW Schulen'!$K47)</f>
        <v>x</v>
      </c>
      <c r="L17" s="154" t="str">
        <f>IF('AW Schulen'!$N47=0,"x",G17/'AW Schulen'!$N47)</f>
        <v>x</v>
      </c>
    </row>
    <row r="18" spans="1:12" ht="9" customHeight="1">
      <c r="A18" s="21" t="s">
        <v>86</v>
      </c>
      <c r="B18" s="120"/>
      <c r="C18" s="42">
        <f t="shared" si="0"/>
        <v>224</v>
      </c>
      <c r="D18" s="42">
        <f t="shared" ref="D18:E18" si="11">SUM(D36+D54+D72)</f>
        <v>225</v>
      </c>
      <c r="E18" s="42">
        <f t="shared" si="11"/>
        <v>219</v>
      </c>
      <c r="F18" s="42">
        <f t="shared" ref="F18:G18" si="12">SUM(F36+F54+F72)</f>
        <v>205</v>
      </c>
      <c r="G18" s="44">
        <f t="shared" si="12"/>
        <v>201</v>
      </c>
      <c r="H18" s="153">
        <f>IF('AW Schulen'!$B48=0,"x",C18/'AW Schulen'!$B48)</f>
        <v>0.89243027888446214</v>
      </c>
      <c r="I18" s="153">
        <f>IF('AW Schulen'!$E48=0,"x",D18/'AW Schulen'!$E48)</f>
        <v>0.91836734693877553</v>
      </c>
      <c r="J18" s="153">
        <f>IF('AW Schulen'!$H48=0,"x",E18/'AW Schulen'!$H48)</f>
        <v>0.92405063291139244</v>
      </c>
      <c r="K18" s="153">
        <f>IF('AW Schulen'!$K48=0,"x",F18/'AW Schulen'!$K48)</f>
        <v>0.93181818181818177</v>
      </c>
      <c r="L18" s="154">
        <f>IF('AW Schulen'!$N48=0,"x",G18/'AW Schulen'!$N48)</f>
        <v>0.94366197183098588</v>
      </c>
    </row>
    <row r="19" spans="1:12" ht="9" customHeight="1">
      <c r="A19" s="21" t="s">
        <v>87</v>
      </c>
      <c r="B19" s="120"/>
      <c r="C19" s="149">
        <f t="shared" si="0"/>
        <v>0</v>
      </c>
      <c r="D19" s="149">
        <f t="shared" ref="D19:E19" si="13">SUM(D37+D55+D73)</f>
        <v>0</v>
      </c>
      <c r="E19" s="149">
        <f t="shared" si="13"/>
        <v>0</v>
      </c>
      <c r="F19" s="149">
        <f t="shared" ref="F19:G19" si="14">SUM(F37+F55+F73)</f>
        <v>0</v>
      </c>
      <c r="G19" s="150">
        <f t="shared" si="14"/>
        <v>0</v>
      </c>
      <c r="H19" s="153" t="str">
        <f>IF('AW Schulen'!$B49=0,"x",C19/'AW Schulen'!$B49)</f>
        <v>x</v>
      </c>
      <c r="I19" s="153" t="str">
        <f>IF('AW Schulen'!$E49=0,"x",D19/'AW Schulen'!$E49)</f>
        <v>x</v>
      </c>
      <c r="J19" s="153" t="str">
        <f>IF('AW Schulen'!$H49=0,"x",E19/'AW Schulen'!$H49)</f>
        <v>x</v>
      </c>
      <c r="K19" s="153" t="str">
        <f>IF('AW Schulen'!$K49=0,"x",F19/'AW Schulen'!$K49)</f>
        <v>x</v>
      </c>
      <c r="L19" s="154" t="str">
        <f>IF('AW Schulen'!$N49=0,"x",G19/'AW Schulen'!$N49)</f>
        <v>x</v>
      </c>
    </row>
    <row r="20" spans="1:12" ht="9" customHeight="1">
      <c r="A20" s="21" t="s">
        <v>88</v>
      </c>
      <c r="B20" s="120"/>
      <c r="C20" s="42">
        <f t="shared" si="0"/>
        <v>375</v>
      </c>
      <c r="D20" s="42">
        <f t="shared" ref="D20:E20" si="15">SUM(D38+D56+D74)</f>
        <v>374</v>
      </c>
      <c r="E20" s="42">
        <f t="shared" si="15"/>
        <v>359</v>
      </c>
      <c r="F20" s="42">
        <f t="shared" ref="F20:G20" si="16">SUM(F38+F56+F74)</f>
        <v>325</v>
      </c>
      <c r="G20" s="44">
        <f t="shared" si="16"/>
        <v>224</v>
      </c>
      <c r="H20" s="153">
        <f>IF('AW Schulen'!$B50=0,"x",C20/'AW Schulen'!$B50)</f>
        <v>0.80128205128205132</v>
      </c>
      <c r="I20" s="153">
        <f>IF('AW Schulen'!$E50=0,"x",D20/'AW Schulen'!$E50)</f>
        <v>0.80952380952380953</v>
      </c>
      <c r="J20" s="153">
        <f>IF('AW Schulen'!$H50=0,"x",E20/'AW Schulen'!$H50)</f>
        <v>0.80855855855855852</v>
      </c>
      <c r="K20" s="153">
        <f>IF('AW Schulen'!$K50=0,"x",F20/'AW Schulen'!$K50)</f>
        <v>0.80645161290322576</v>
      </c>
      <c r="L20" s="154">
        <f>IF('AW Schulen'!$N50=0,"x",G20/'AW Schulen'!$N50)</f>
        <v>0.83582089552238803</v>
      </c>
    </row>
    <row r="21" spans="1:12" ht="9" customHeight="1">
      <c r="A21" s="21" t="s">
        <v>89</v>
      </c>
      <c r="B21" s="120"/>
      <c r="C21" s="42">
        <f t="shared" si="0"/>
        <v>308</v>
      </c>
      <c r="D21" s="42">
        <f t="shared" ref="D21:E21" si="17">SUM(D39+D57+D75)</f>
        <v>296</v>
      </c>
      <c r="E21" s="42">
        <f t="shared" si="17"/>
        <v>285</v>
      </c>
      <c r="F21" s="42">
        <f t="shared" ref="F21:G21" si="18">SUM(F39+F57+F75)</f>
        <v>264</v>
      </c>
      <c r="G21" s="44">
        <f t="shared" si="18"/>
        <v>232</v>
      </c>
      <c r="H21" s="153">
        <f>IF('AW Schulen'!$B51=0,"x",C21/'AW Schulen'!$B51)</f>
        <v>0.54225352112676062</v>
      </c>
      <c r="I21" s="153">
        <f>IF('AW Schulen'!$E51=0,"x",D21/'AW Schulen'!$E51)</f>
        <v>0.56166982922201136</v>
      </c>
      <c r="J21" s="153">
        <f>IF('AW Schulen'!$H51=0,"x",E21/'AW Schulen'!$H51)</f>
        <v>0.58762886597938147</v>
      </c>
      <c r="K21" s="153">
        <f>IF('AW Schulen'!$K51=0,"x",F21/'AW Schulen'!$K51)</f>
        <v>0.5892857142857143</v>
      </c>
      <c r="L21" s="154">
        <f>IF('AW Schulen'!$N51=0,"x",G21/'AW Schulen'!$N51)</f>
        <v>0.58734177215189876</v>
      </c>
    </row>
    <row r="22" spans="1:12" ht="9" customHeight="1">
      <c r="A22" s="21" t="s">
        <v>90</v>
      </c>
      <c r="B22" s="120"/>
      <c r="C22" s="42">
        <f t="shared" si="0"/>
        <v>12</v>
      </c>
      <c r="D22" s="149">
        <f t="shared" ref="D22:E22" si="19">SUM(D40+D58+D76)</f>
        <v>0</v>
      </c>
      <c r="E22" s="149">
        <f t="shared" si="19"/>
        <v>0</v>
      </c>
      <c r="F22" s="149">
        <f t="shared" ref="F22:G22" si="20">SUM(F40+F58+F76)</f>
        <v>0</v>
      </c>
      <c r="G22" s="150">
        <f t="shared" si="20"/>
        <v>0</v>
      </c>
      <c r="H22" s="153">
        <f>IF('AW Schulen'!$B52=0,"x",C22/'AW Schulen'!$B52)</f>
        <v>0.6</v>
      </c>
      <c r="I22" s="153" t="str">
        <f>IF('AW Schulen'!$E52=0,"x",D22/'AW Schulen'!$E52)</f>
        <v>x</v>
      </c>
      <c r="J22" s="153" t="str">
        <f>IF('AW Schulen'!$H52=0,"x",E22/'AW Schulen'!$H52)</f>
        <v>x</v>
      </c>
      <c r="K22" s="153" t="str">
        <f>IF('AW Schulen'!$K52=0,"x",F22/'AW Schulen'!$K52)</f>
        <v>x</v>
      </c>
      <c r="L22" s="154" t="str">
        <f>IF('AW Schulen'!$N52=0,"x",G22/'AW Schulen'!$N52)</f>
        <v>x</v>
      </c>
    </row>
    <row r="23" spans="1:12" ht="9" customHeight="1">
      <c r="A23" s="21" t="s">
        <v>91</v>
      </c>
      <c r="B23" s="120"/>
      <c r="C23" s="149">
        <f t="shared" si="0"/>
        <v>0</v>
      </c>
      <c r="D23" s="149">
        <f t="shared" ref="D23:E23" si="21">SUM(D41+D59+D77)</f>
        <v>0</v>
      </c>
      <c r="E23" s="149">
        <f t="shared" si="21"/>
        <v>0</v>
      </c>
      <c r="F23" s="149">
        <f t="shared" ref="F23:G23" si="22">SUM(F41+F59+F77)</f>
        <v>0</v>
      </c>
      <c r="G23" s="150">
        <f t="shared" si="22"/>
        <v>0</v>
      </c>
      <c r="H23" s="153" t="str">
        <f>IF('AW Schulen'!$B53=0,"x",C23/'AW Schulen'!$B53)</f>
        <v>x</v>
      </c>
      <c r="I23" s="153" t="str">
        <f>IF('AW Schulen'!$E53=0,"x",D23/'AW Schulen'!$E53)</f>
        <v>x</v>
      </c>
      <c r="J23" s="153" t="str">
        <f>IF('AW Schulen'!$H53=0,"x",E23/'AW Schulen'!$H53)</f>
        <v>x</v>
      </c>
      <c r="K23" s="153" t="str">
        <f>IF('AW Schulen'!$K53=0,"x",F23/'AW Schulen'!$K53)</f>
        <v>x</v>
      </c>
      <c r="L23" s="154" t="str">
        <f>IF('AW Schulen'!$N53=0,"x",G23/'AW Schulen'!$N53)</f>
        <v>x</v>
      </c>
    </row>
    <row r="24" spans="1:12" ht="9" customHeight="1">
      <c r="A24" s="21" t="s">
        <v>92</v>
      </c>
      <c r="B24" s="120"/>
      <c r="C24" s="149">
        <f t="shared" si="0"/>
        <v>0</v>
      </c>
      <c r="D24" s="149">
        <f t="shared" ref="D24:E24" si="23">SUM(D42+D60+D78)</f>
        <v>0</v>
      </c>
      <c r="E24" s="149">
        <f t="shared" si="23"/>
        <v>0</v>
      </c>
      <c r="F24" s="149">
        <f t="shared" ref="F24:G24" si="24">SUM(F42+F60+F78)</f>
        <v>0</v>
      </c>
      <c r="G24" s="150">
        <f t="shared" si="24"/>
        <v>0</v>
      </c>
      <c r="H24" s="153" t="str">
        <f>IF('AW Schulen'!$B54=0,"x",C24/'AW Schulen'!$B54)</f>
        <v>x</v>
      </c>
      <c r="I24" s="153" t="str">
        <f>IF('AW Schulen'!$E54=0,"x",D24/'AW Schulen'!$E54)</f>
        <v>x</v>
      </c>
      <c r="J24" s="153" t="str">
        <f>IF('AW Schulen'!$H54=0,"x",E24/'AW Schulen'!$H54)</f>
        <v>x</v>
      </c>
      <c r="K24" s="153" t="str">
        <f>IF('AW Schulen'!$K54=0,"x",F24/'AW Schulen'!$K54)</f>
        <v>x</v>
      </c>
      <c r="L24" s="154" t="str">
        <f>IF('AW Schulen'!$N54=0,"x",G24/'AW Schulen'!$N54)</f>
        <v>x</v>
      </c>
    </row>
    <row r="25" spans="1:12" ht="9" customHeight="1">
      <c r="A25" s="21" t="s">
        <v>93</v>
      </c>
      <c r="B25" s="120"/>
      <c r="C25" s="149">
        <f t="shared" si="0"/>
        <v>0</v>
      </c>
      <c r="D25" s="149">
        <f t="shared" ref="D25:E25" si="25">SUM(D43+D61+D79)</f>
        <v>0</v>
      </c>
      <c r="E25" s="149">
        <f t="shared" si="25"/>
        <v>0</v>
      </c>
      <c r="F25" s="149">
        <f t="shared" ref="F25:G25" si="26">SUM(F43+F61+F79)</f>
        <v>0</v>
      </c>
      <c r="G25" s="150">
        <f t="shared" si="26"/>
        <v>0</v>
      </c>
      <c r="H25" s="153" t="str">
        <f>IF('AW Schulen'!$B55=0,"x",C25/'AW Schulen'!$B55)</f>
        <v>x</v>
      </c>
      <c r="I25" s="153" t="str">
        <f>IF('AW Schulen'!$E55=0,"x",D25/'AW Schulen'!$E55)</f>
        <v>x</v>
      </c>
      <c r="J25" s="153" t="str">
        <f>IF('AW Schulen'!$H55=0,"x",E25/'AW Schulen'!$H55)</f>
        <v>x</v>
      </c>
      <c r="K25" s="153" t="str">
        <f>IF('AW Schulen'!$K55=0,"x",F25/'AW Schulen'!$K55)</f>
        <v>x</v>
      </c>
      <c r="L25" s="154" t="str">
        <f>IF('AW Schulen'!$N55=0,"x",G25/'AW Schulen'!$N55)</f>
        <v>x</v>
      </c>
    </row>
    <row r="26" spans="1:12" ht="9" customHeight="1">
      <c r="A26" s="21" t="s">
        <v>141</v>
      </c>
      <c r="B26" s="120"/>
      <c r="C26" s="42">
        <f t="shared" si="0"/>
        <v>78</v>
      </c>
      <c r="D26" s="42">
        <f t="shared" ref="D26:E26" si="27">SUM(D44+D62+D80)</f>
        <v>27</v>
      </c>
      <c r="E26" s="42">
        <f t="shared" si="27"/>
        <v>6</v>
      </c>
      <c r="F26" s="149">
        <f t="shared" ref="F26:G26" si="28">SUM(F44+F62+F80)</f>
        <v>0</v>
      </c>
      <c r="G26" s="150">
        <f t="shared" si="28"/>
        <v>0</v>
      </c>
      <c r="H26" s="153">
        <f>IF('AW Schulen'!$B56=0,"x",C26/'AW Schulen'!$B56)</f>
        <v>0.84782608695652173</v>
      </c>
      <c r="I26" s="153">
        <f>IF('AW Schulen'!$E56=0,"x",D26/'AW Schulen'!$E56)</f>
        <v>0.87096774193548387</v>
      </c>
      <c r="J26" s="153">
        <f>IF('AW Schulen'!$H56=0,"x",E26/'AW Schulen'!$H56)</f>
        <v>0.8571428571428571</v>
      </c>
      <c r="K26" s="153" t="str">
        <f>IF('AW Schulen'!$K56=0,"x",F26/'AW Schulen'!$K56)</f>
        <v>x</v>
      </c>
      <c r="L26" s="154" t="str">
        <f>IF('AW Schulen'!$N56=0,"x",G26/'AW Schulen'!$N56)</f>
        <v>x</v>
      </c>
    </row>
    <row r="27" spans="1:12" ht="9" customHeight="1">
      <c r="A27" s="21" t="s">
        <v>95</v>
      </c>
      <c r="B27" s="120"/>
      <c r="C27" s="149">
        <f t="shared" si="0"/>
        <v>0</v>
      </c>
      <c r="D27" s="149">
        <f t="shared" ref="D27:E27" si="29">SUM(D45+D63+D81)</f>
        <v>0</v>
      </c>
      <c r="E27" s="149">
        <f t="shared" si="29"/>
        <v>0</v>
      </c>
      <c r="F27" s="149">
        <f t="shared" ref="F27:G27" si="30">SUM(F45+F63+F81)</f>
        <v>0</v>
      </c>
      <c r="G27" s="150">
        <f t="shared" si="30"/>
        <v>0</v>
      </c>
      <c r="H27" s="153" t="str">
        <f>IF('AW Schulen'!$B57=0,"x",C27/'AW Schulen'!$B57)</f>
        <v>x</v>
      </c>
      <c r="I27" s="153" t="str">
        <f>IF('AW Schulen'!$E57=0,"x",D27/'AW Schulen'!$E57)</f>
        <v>x</v>
      </c>
      <c r="J27" s="153" t="str">
        <f>IF('AW Schulen'!$H57=0,"x",E27/'AW Schulen'!$H57)</f>
        <v>x</v>
      </c>
      <c r="K27" s="153" t="str">
        <f>IF('AW Schulen'!$K57=0,"x",F27/'AW Schulen'!$K57)</f>
        <v>x</v>
      </c>
      <c r="L27" s="154" t="str">
        <f>IF('AW Schulen'!$N57=0,"x",G27/'AW Schulen'!$N57)</f>
        <v>x</v>
      </c>
    </row>
    <row r="28" spans="1:12" ht="9" customHeight="1">
      <c r="A28" s="21" t="s">
        <v>96</v>
      </c>
      <c r="B28" s="120"/>
      <c r="C28" s="42">
        <f t="shared" si="0"/>
        <v>2125</v>
      </c>
      <c r="D28" s="42">
        <f t="shared" ref="D28:E28" si="31">SUM(D46+D64+D82)</f>
        <v>2077</v>
      </c>
      <c r="E28" s="42">
        <f t="shared" si="31"/>
        <v>2016</v>
      </c>
      <c r="F28" s="42">
        <f t="shared" ref="F28:G28" si="32">SUM(F46+F64+F82)</f>
        <v>1928</v>
      </c>
      <c r="G28" s="44">
        <f t="shared" si="32"/>
        <v>1777</v>
      </c>
      <c r="H28" s="153">
        <f>IF('AW Schulen'!$B58=0,"x",C28/'AW Schulen'!$B58)</f>
        <v>0.66677125823658612</v>
      </c>
      <c r="I28" s="153">
        <f>IF('AW Schulen'!$E58=0,"x",D28/'AW Schulen'!$E58)</f>
        <v>0.69118136439267885</v>
      </c>
      <c r="J28" s="153">
        <f>IF('AW Schulen'!$H58=0,"x",E28/'AW Schulen'!$H58)</f>
        <v>0.70687237026647964</v>
      </c>
      <c r="K28" s="153">
        <f>IF('AW Schulen'!$K58=0,"x",F28/'AW Schulen'!$K58)</f>
        <v>0.71249076127124911</v>
      </c>
      <c r="L28" s="154">
        <f>IF('AW Schulen'!$N58=0,"x",G28/'AW Schulen'!$N58)</f>
        <v>0.72560228664761128</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[1]GtS!$F$11</f>
        <v>140</v>
      </c>
      <c r="D30" s="23">
        <f>[2]GtS!$F$11</f>
        <v>139</v>
      </c>
      <c r="E30" s="23">
        <f>[3]GtS!$F$11</f>
        <v>135</v>
      </c>
      <c r="F30" s="23">
        <f>[4]GtS!$F$11</f>
        <v>135</v>
      </c>
      <c r="G30" s="34">
        <f>[5]GtS!$F$11</f>
        <v>129</v>
      </c>
      <c r="H30" s="155">
        <f>IF('AW Schulen'!$B42=0,"x",C30/'AW Schulen'!$B42)</f>
        <v>0.16241299303944315</v>
      </c>
      <c r="I30" s="155">
        <f>IF('AW Schulen'!$E42=0,"x",D30/'AW Schulen'!$E42)</f>
        <v>0.16868932038834952</v>
      </c>
      <c r="J30" s="155">
        <f>IF('AW Schulen'!$H42=0,"x",E30/'AW Schulen'!$H42)</f>
        <v>0.17263427109974425</v>
      </c>
      <c r="K30" s="155">
        <f>IF('AW Schulen'!$K42=0,"x",F30/'AW Schulen'!$K42)</f>
        <v>0.18072289156626506</v>
      </c>
      <c r="L30" s="156">
        <f>IF('AW Schulen'!$N42=0,"x",G30/'AW Schulen'!$N42)</f>
        <v>0.18914956011730205</v>
      </c>
    </row>
    <row r="31" spans="1:12" ht="9" customHeight="1">
      <c r="A31" s="21" t="s">
        <v>81</v>
      </c>
      <c r="B31" s="120"/>
      <c r="C31" s="23">
        <f>[6]GtS!$F$11</f>
        <v>5</v>
      </c>
      <c r="D31" s="23">
        <f>[7]GtS!$F$11</f>
        <v>10</v>
      </c>
      <c r="E31" s="23">
        <f>[8]GtS!$F$11</f>
        <v>13</v>
      </c>
      <c r="F31" s="23">
        <f>[9]GtS!$F$11</f>
        <v>15</v>
      </c>
      <c r="G31" s="34">
        <f>[10]GtS!$F$11</f>
        <v>21</v>
      </c>
      <c r="H31" s="155">
        <f>IF('AW Schulen'!$B43=0,"x",C31/'AW Schulen'!$B43)</f>
        <v>5.3995680345572351E-3</v>
      </c>
      <c r="I31" s="155">
        <f>IF('AW Schulen'!$E43=0,"x",D31/'AW Schulen'!$E43)</f>
        <v>1.0917030567685589E-2</v>
      </c>
      <c r="J31" s="155">
        <f>IF('AW Schulen'!$H43=0,"x",E31/'AW Schulen'!$H43)</f>
        <v>1.4492753623188406E-2</v>
      </c>
      <c r="K31" s="155">
        <f>IF('AW Schulen'!$K43=0,"x",F31/'AW Schulen'!$K43)</f>
        <v>1.6891891891891893E-2</v>
      </c>
      <c r="L31" s="156">
        <f>IF('AW Schulen'!$N43=0,"x",G31/'AW Schulen'!$N43)</f>
        <v>2.3569023569023569E-2</v>
      </c>
    </row>
    <row r="32" spans="1:12" ht="9" customHeight="1">
      <c r="A32" s="21" t="s">
        <v>82</v>
      </c>
      <c r="B32" s="120"/>
      <c r="C32" s="151">
        <f>[11]GtS!$F$11</f>
        <v>0</v>
      </c>
      <c r="D32" s="151">
        <f>[12]GtS!$F$11</f>
        <v>0</v>
      </c>
      <c r="E32" s="151">
        <f>[13]GtS!$F$11</f>
        <v>0</v>
      </c>
      <c r="F32" s="151">
        <f>[14]GtS!$F$11</f>
        <v>0</v>
      </c>
      <c r="G32" s="152">
        <f>[15]GtS!$F$11</f>
        <v>0</v>
      </c>
      <c r="H32" s="155" t="str">
        <f>IF('AW Schulen'!$B44=0,"x",C32/'AW Schulen'!$B44)</f>
        <v>x</v>
      </c>
      <c r="I32" s="155" t="str">
        <f>IF('AW Schulen'!$E44=0,"x",D32/'AW Schulen'!$E44)</f>
        <v>x</v>
      </c>
      <c r="J32" s="155" t="str">
        <f>IF('AW Schulen'!$H44=0,"x",E32/'AW Schulen'!$H44)</f>
        <v>x</v>
      </c>
      <c r="K32" s="155" t="str">
        <f>IF('AW Schulen'!$K44=0,"x",F32/'AW Schulen'!$K44)</f>
        <v>x</v>
      </c>
      <c r="L32" s="156" t="str">
        <f>IF('AW Schulen'!$N44=0,"x",G32/'AW Schulen'!$N44)</f>
        <v>x</v>
      </c>
    </row>
    <row r="33" spans="1:12" ht="9" customHeight="1">
      <c r="A33" s="21" t="s">
        <v>83</v>
      </c>
      <c r="B33" s="120"/>
      <c r="C33" s="151">
        <f>[16]GtS!$F$11</f>
        <v>0</v>
      </c>
      <c r="D33" s="151">
        <f>[17]GtS!$F$11</f>
        <v>0</v>
      </c>
      <c r="E33" s="151">
        <f>[18]GtS!$F$11</f>
        <v>0</v>
      </c>
      <c r="F33" s="151">
        <f>[19]GtS!$F$11</f>
        <v>0</v>
      </c>
      <c r="G33" s="152">
        <f>[20]GtS!$F$11</f>
        <v>0</v>
      </c>
      <c r="H33" s="155" t="str">
        <f>IF('AW Schulen'!$B45=0,"x",C33/'AW Schulen'!$B45)</f>
        <v>x</v>
      </c>
      <c r="I33" s="155" t="str">
        <f>IF('AW Schulen'!$E45=0,"x",D33/'AW Schulen'!$E45)</f>
        <v>x</v>
      </c>
      <c r="J33" s="155" t="str">
        <f>IF('AW Schulen'!$H45=0,"x",E33/'AW Schulen'!$H45)</f>
        <v>x</v>
      </c>
      <c r="K33" s="155" t="str">
        <f>IF('AW Schulen'!$K45=0,"x",F33/'AW Schulen'!$K45)</f>
        <v>x</v>
      </c>
      <c r="L33" s="156" t="str">
        <f>IF('AW Schulen'!$N45=0,"x",G33/'AW Schulen'!$N45)</f>
        <v>x</v>
      </c>
    </row>
    <row r="34" spans="1:12" ht="9" customHeight="1">
      <c r="A34" s="21" t="s">
        <v>84</v>
      </c>
      <c r="B34" s="120"/>
      <c r="C34" s="151">
        <f>[21]GtS!$F$11</f>
        <v>0</v>
      </c>
      <c r="D34" s="151">
        <f>[22]GtS!$F$11</f>
        <v>0</v>
      </c>
      <c r="E34" s="151">
        <f>[23]GtS!$F$11</f>
        <v>0</v>
      </c>
      <c r="F34" s="151">
        <f>[24]GtS!$F$11</f>
        <v>0</v>
      </c>
      <c r="G34" s="152">
        <f>[25]GtS!$F$11</f>
        <v>0</v>
      </c>
      <c r="H34" s="155" t="str">
        <f>IF('AW Schulen'!$B46=0,"x",C34/'AW Schulen'!$B46)</f>
        <v>x</v>
      </c>
      <c r="I34" s="155" t="str">
        <f>IF('AW Schulen'!$E46=0,"x",D34/'AW Schulen'!$E46)</f>
        <v>x</v>
      </c>
      <c r="J34" s="155" t="str">
        <f>IF('AW Schulen'!$H46=0,"x",E34/'AW Schulen'!$H46)</f>
        <v>x</v>
      </c>
      <c r="K34" s="155" t="str">
        <f>IF('AW Schulen'!$K46=0,"x",F34/'AW Schulen'!$K46)</f>
        <v>x</v>
      </c>
      <c r="L34" s="156" t="str">
        <f>IF('AW Schulen'!$N46=0,"x",G34/'AW Schulen'!$N46)</f>
        <v>x</v>
      </c>
    </row>
    <row r="35" spans="1:12" ht="9" customHeight="1">
      <c r="A35" s="21" t="s">
        <v>85</v>
      </c>
      <c r="B35" s="120"/>
      <c r="C35" s="151">
        <f>[26]GtS!$F$11</f>
        <v>0</v>
      </c>
      <c r="D35" s="151">
        <f>[27]GtS!$F$11</f>
        <v>0</v>
      </c>
      <c r="E35" s="151">
        <f>[28]GtS!$F$11</f>
        <v>0</v>
      </c>
      <c r="F35" s="151">
        <f>[29]GtS!$F$11</f>
        <v>0</v>
      </c>
      <c r="G35" s="152">
        <f>[30]GtS!$F$11</f>
        <v>0</v>
      </c>
      <c r="H35" s="155" t="str">
        <f>IF('AW Schulen'!$B47=0,"x",C35/'AW Schulen'!$B47)</f>
        <v>x</v>
      </c>
      <c r="I35" s="155" t="str">
        <f>IF('AW Schulen'!$E47=0,"x",D35/'AW Schulen'!$E47)</f>
        <v>x</v>
      </c>
      <c r="J35" s="155" t="str">
        <f>IF('AW Schulen'!$H47=0,"x",E35/'AW Schulen'!$H47)</f>
        <v>x</v>
      </c>
      <c r="K35" s="155" t="str">
        <f>IF('AW Schulen'!$K47=0,"x",F35/'AW Schulen'!$K47)</f>
        <v>x</v>
      </c>
      <c r="L35" s="156" t="str">
        <f>IF('AW Schulen'!$N47=0,"x",G35/'AW Schulen'!$N47)</f>
        <v>x</v>
      </c>
    </row>
    <row r="36" spans="1:12" ht="9" customHeight="1">
      <c r="A36" s="21" t="s">
        <v>86</v>
      </c>
      <c r="B36" s="120"/>
      <c r="C36" s="23">
        <f>[66]GtS!$F$11</f>
        <v>6</v>
      </c>
      <c r="D36" s="23">
        <f>[67]GtS!$F$11</f>
        <v>6</v>
      </c>
      <c r="E36" s="23">
        <f>[68]GtS!$F$11</f>
        <v>6</v>
      </c>
      <c r="F36" s="23">
        <f>[69]GtS!$F$11</f>
        <v>7</v>
      </c>
      <c r="G36" s="34">
        <f>[70]GtS!$F$11</f>
        <v>8</v>
      </c>
      <c r="H36" s="155">
        <f>IF('AW Schulen'!$B48=0,"x",C36/'AW Schulen'!$B48)</f>
        <v>2.3904382470119521E-2</v>
      </c>
      <c r="I36" s="155">
        <f>IF('AW Schulen'!$E48=0,"x",D36/'AW Schulen'!$E48)</f>
        <v>2.4489795918367346E-2</v>
      </c>
      <c r="J36" s="155">
        <f>IF('AW Schulen'!$H48=0,"x",E36/'AW Schulen'!$H48)</f>
        <v>2.5316455696202531E-2</v>
      </c>
      <c r="K36" s="155">
        <f>IF('AW Schulen'!$K48=0,"x",F36/'AW Schulen'!$K48)</f>
        <v>3.1818181818181815E-2</v>
      </c>
      <c r="L36" s="156">
        <f>IF('AW Schulen'!$N48=0,"x",G36/'AW Schulen'!$N48)</f>
        <v>3.7558685446009391E-2</v>
      </c>
    </row>
    <row r="37" spans="1:12" ht="9" customHeight="1">
      <c r="A37" s="21" t="s">
        <v>87</v>
      </c>
      <c r="B37" s="120"/>
      <c r="C37" s="151">
        <f>[31]GtS!$F$11</f>
        <v>0</v>
      </c>
      <c r="D37" s="151">
        <f>[32]GtS!$F$11</f>
        <v>0</v>
      </c>
      <c r="E37" s="151">
        <f>[33]GtS!$F$11</f>
        <v>0</v>
      </c>
      <c r="F37" s="151">
        <f>[34]GtS!$F$11</f>
        <v>0</v>
      </c>
      <c r="G37" s="152">
        <f>[35]GtS!$F$11</f>
        <v>0</v>
      </c>
      <c r="H37" s="155" t="str">
        <f>IF('AW Schulen'!$B49=0,"x",C37/'AW Schulen'!$B49)</f>
        <v>x</v>
      </c>
      <c r="I37" s="155" t="str">
        <f>IF('AW Schulen'!$E49=0,"x",D37/'AW Schulen'!$E49)</f>
        <v>x</v>
      </c>
      <c r="J37" s="155" t="str">
        <f>IF('AW Schulen'!$H49=0,"x",E37/'AW Schulen'!$H49)</f>
        <v>x</v>
      </c>
      <c r="K37" s="155" t="str">
        <f>IF('AW Schulen'!$K49=0,"x",F37/'AW Schulen'!$K49)</f>
        <v>x</v>
      </c>
      <c r="L37" s="156" t="str">
        <f>IF('AW Schulen'!$N49=0,"x",G37/'AW Schulen'!$N49)</f>
        <v>x</v>
      </c>
    </row>
    <row r="38" spans="1:12" ht="9" customHeight="1">
      <c r="A38" s="21" t="s">
        <v>88</v>
      </c>
      <c r="B38" s="120"/>
      <c r="C38" s="23">
        <f>[71]GtS!$F$11</f>
        <v>20</v>
      </c>
      <c r="D38" s="23">
        <f>[72]GtS!$F$11</f>
        <v>23</v>
      </c>
      <c r="E38" s="23">
        <f>[73]GtS!$F$11</f>
        <v>14</v>
      </c>
      <c r="F38" s="23">
        <f>[74]GtS!$F$11</f>
        <v>8</v>
      </c>
      <c r="G38" s="34">
        <f>[75]GtS!$F$11</f>
        <v>8</v>
      </c>
      <c r="H38" s="155">
        <f>IF('AW Schulen'!$B50=0,"x",C38/'AW Schulen'!$B50)</f>
        <v>4.2735042735042736E-2</v>
      </c>
      <c r="I38" s="155">
        <f>IF('AW Schulen'!$E50=0,"x",D38/'AW Schulen'!$E50)</f>
        <v>4.9783549783549784E-2</v>
      </c>
      <c r="J38" s="155">
        <f>IF('AW Schulen'!$H50=0,"x",E38/'AW Schulen'!$H50)</f>
        <v>3.1531531531531529E-2</v>
      </c>
      <c r="K38" s="155">
        <f>IF('AW Schulen'!$K50=0,"x",F38/'AW Schulen'!$K50)</f>
        <v>1.9851116625310174E-2</v>
      </c>
      <c r="L38" s="156">
        <f>IF('AW Schulen'!$N50=0,"x",G38/'AW Schulen'!$N50)</f>
        <v>2.9850746268656716E-2</v>
      </c>
    </row>
    <row r="39" spans="1:12" ht="9" customHeight="1">
      <c r="A39" s="21" t="s">
        <v>89</v>
      </c>
      <c r="B39" s="120"/>
      <c r="C39" s="23">
        <f>[36]GtS!$F$11</f>
        <v>308</v>
      </c>
      <c r="D39" s="23">
        <f>[37]GtS!$F$11</f>
        <v>296</v>
      </c>
      <c r="E39" s="23">
        <f>[38]GtS!$F$11</f>
        <v>285</v>
      </c>
      <c r="F39" s="23">
        <f>[39]GtS!$F$11</f>
        <v>264</v>
      </c>
      <c r="G39" s="34">
        <f>[40]GtS!$F$11</f>
        <v>232</v>
      </c>
      <c r="H39" s="155">
        <f>IF('AW Schulen'!$B51=0,"x",C39/'AW Schulen'!$B51)</f>
        <v>0.54225352112676062</v>
      </c>
      <c r="I39" s="155">
        <f>IF('AW Schulen'!$E51=0,"x",D39/'AW Schulen'!$E51)</f>
        <v>0.56166982922201136</v>
      </c>
      <c r="J39" s="155">
        <f>IF('AW Schulen'!$H51=0,"x",E39/'AW Schulen'!$H51)</f>
        <v>0.58762886597938147</v>
      </c>
      <c r="K39" s="155">
        <f>IF('AW Schulen'!$K51=0,"x",F39/'AW Schulen'!$K51)</f>
        <v>0.5892857142857143</v>
      </c>
      <c r="L39" s="156">
        <f>IF('AW Schulen'!$N51=0,"x",G39/'AW Schulen'!$N51)</f>
        <v>0.58734177215189876</v>
      </c>
    </row>
    <row r="40" spans="1:12" ht="9" customHeight="1">
      <c r="A40" s="21" t="s">
        <v>90</v>
      </c>
      <c r="B40" s="120"/>
      <c r="C40" s="23">
        <f>[41]GtS!$F$11</f>
        <v>1</v>
      </c>
      <c r="D40" s="151">
        <f>[42]GtS!$F$11</f>
        <v>0</v>
      </c>
      <c r="E40" s="151">
        <f>[43]GtS!$F$11</f>
        <v>0</v>
      </c>
      <c r="F40" s="151">
        <f>[44]GtS!$F$11</f>
        <v>0</v>
      </c>
      <c r="G40" s="152">
        <f>[45]GtS!$F$11</f>
        <v>0</v>
      </c>
      <c r="H40" s="155">
        <f>IF('AW Schulen'!$B52=0,"x",C40/'AW Schulen'!$B52)</f>
        <v>0.05</v>
      </c>
      <c r="I40" s="155" t="str">
        <f>IF('AW Schulen'!$E52=0,"x",D40/'AW Schulen'!$E52)</f>
        <v>x</v>
      </c>
      <c r="J40" s="155" t="str">
        <f>IF('AW Schulen'!$H52=0,"x",E40/'AW Schulen'!$H52)</f>
        <v>x</v>
      </c>
      <c r="K40" s="155" t="str">
        <f>IF('AW Schulen'!$K52=0,"x",F40/'AW Schulen'!$K52)</f>
        <v>x</v>
      </c>
      <c r="L40" s="156" t="str">
        <f>IF('AW Schulen'!$N52=0,"x",G40/'AW Schulen'!$N52)</f>
        <v>x</v>
      </c>
    </row>
    <row r="41" spans="1:12" ht="9" customHeight="1">
      <c r="A41" s="21" t="s">
        <v>91</v>
      </c>
      <c r="B41" s="120"/>
      <c r="C41" s="151">
        <f>[46]GtS!$F$11</f>
        <v>0</v>
      </c>
      <c r="D41" s="151">
        <f>[47]GtS!$F$11</f>
        <v>0</v>
      </c>
      <c r="E41" s="151">
        <f>[48]GtS!$F$11</f>
        <v>0</v>
      </c>
      <c r="F41" s="151">
        <f>[49]GtS!$F$11</f>
        <v>0</v>
      </c>
      <c r="G41" s="152">
        <f>[50]GtS!$F$11</f>
        <v>0</v>
      </c>
      <c r="H41" s="155" t="str">
        <f>IF('AW Schulen'!$B53=0,"x",C41/'AW Schulen'!$B53)</f>
        <v>x</v>
      </c>
      <c r="I41" s="155" t="str">
        <f>IF('AW Schulen'!$E53=0,"x",D41/'AW Schulen'!$E53)</f>
        <v>x</v>
      </c>
      <c r="J41" s="155" t="str">
        <f>IF('AW Schulen'!$H53=0,"x",E41/'AW Schulen'!$H53)</f>
        <v>x</v>
      </c>
      <c r="K41" s="155" t="str">
        <f>IF('AW Schulen'!$K53=0,"x",F41/'AW Schulen'!$K53)</f>
        <v>x</v>
      </c>
      <c r="L41" s="156" t="str">
        <f>IF('AW Schulen'!$N53=0,"x",G41/'AW Schulen'!$N53)</f>
        <v>x</v>
      </c>
    </row>
    <row r="42" spans="1:12" ht="9" customHeight="1">
      <c r="A42" s="21" t="s">
        <v>92</v>
      </c>
      <c r="B42" s="120"/>
      <c r="C42" s="151">
        <f>[51]GtS!$F$11</f>
        <v>0</v>
      </c>
      <c r="D42" s="151">
        <f>[52]GtS!$F$11</f>
        <v>0</v>
      </c>
      <c r="E42" s="151">
        <f>[53]GtS!$F$11</f>
        <v>0</v>
      </c>
      <c r="F42" s="151">
        <f>[54]GtS!$F$11</f>
        <v>0</v>
      </c>
      <c r="G42" s="152">
        <f>[55]GtS!$F$11</f>
        <v>0</v>
      </c>
      <c r="H42" s="155" t="str">
        <f>IF('AW Schulen'!$B54=0,"x",C42/'AW Schulen'!$B54)</f>
        <v>x</v>
      </c>
      <c r="I42" s="155" t="str">
        <f>IF('AW Schulen'!$E54=0,"x",D42/'AW Schulen'!$E54)</f>
        <v>x</v>
      </c>
      <c r="J42" s="155" t="str">
        <f>IF('AW Schulen'!$H54=0,"x",E42/'AW Schulen'!$H54)</f>
        <v>x</v>
      </c>
      <c r="K42" s="155" t="str">
        <f>IF('AW Schulen'!$K54=0,"x",F42/'AW Schulen'!$K54)</f>
        <v>x</v>
      </c>
      <c r="L42" s="156" t="str">
        <f>IF('AW Schulen'!$N54=0,"x",G42/'AW Schulen'!$N54)</f>
        <v>x</v>
      </c>
    </row>
    <row r="43" spans="1:12" ht="9" customHeight="1">
      <c r="A43" s="21" t="s">
        <v>93</v>
      </c>
      <c r="B43" s="120"/>
      <c r="C43" s="151">
        <f>[76]GtS!$F$11</f>
        <v>0</v>
      </c>
      <c r="D43" s="151">
        <f>[77]GtS!$F$11</f>
        <v>0</v>
      </c>
      <c r="E43" s="151">
        <f>[78]GtS!$F$11</f>
        <v>0</v>
      </c>
      <c r="F43" s="151">
        <f>[79]GtS!$F$11</f>
        <v>0</v>
      </c>
      <c r="G43" s="152">
        <f>[80]GtS!$F$11</f>
        <v>0</v>
      </c>
      <c r="H43" s="155" t="str">
        <f>IF('AW Schulen'!$B55=0,"x",C43/'AW Schulen'!$B55)</f>
        <v>x</v>
      </c>
      <c r="I43" s="155" t="str">
        <f>IF('AW Schulen'!$E55=0,"x",D43/'AW Schulen'!$E55)</f>
        <v>x</v>
      </c>
      <c r="J43" s="155" t="str">
        <f>IF('AW Schulen'!$H55=0,"x",E43/'AW Schulen'!$H55)</f>
        <v>x</v>
      </c>
      <c r="K43" s="155" t="str">
        <f>IF('AW Schulen'!$K55=0,"x",F43/'AW Schulen'!$K55)</f>
        <v>x</v>
      </c>
      <c r="L43" s="156" t="str">
        <f>IF('AW Schulen'!$N55=0,"x",G43/'AW Schulen'!$N55)</f>
        <v>x</v>
      </c>
    </row>
    <row r="44" spans="1:12" ht="9" customHeight="1">
      <c r="A44" s="21" t="s">
        <v>94</v>
      </c>
      <c r="B44" s="120"/>
      <c r="C44" s="23">
        <f>[56]GtS!$F$11</f>
        <v>4</v>
      </c>
      <c r="D44" s="23">
        <f>[57]GtS!$F$11</f>
        <v>1</v>
      </c>
      <c r="E44" s="23">
        <f>[58]GtS!$F$11</f>
        <v>0</v>
      </c>
      <c r="F44" s="151">
        <f>[59]GtS!$F$11</f>
        <v>0</v>
      </c>
      <c r="G44" s="152">
        <f>[60]GtS!$F$11</f>
        <v>0</v>
      </c>
      <c r="H44" s="155">
        <f>IF('AW Schulen'!$B56=0,"x",C44/'AW Schulen'!$B56)</f>
        <v>4.3478260869565216E-2</v>
      </c>
      <c r="I44" s="155">
        <f>IF('AW Schulen'!$E56=0,"x",D44/'AW Schulen'!$E56)</f>
        <v>3.2258064516129031E-2</v>
      </c>
      <c r="J44" s="155">
        <f>IF('AW Schulen'!$H56=0,"x",E44/'AW Schulen'!$H56)</f>
        <v>0</v>
      </c>
      <c r="K44" s="155" t="str">
        <f>IF('AW Schulen'!$K56=0,"x",F44/'AW Schulen'!$K56)</f>
        <v>x</v>
      </c>
      <c r="L44" s="156" t="str">
        <f>IF('AW Schulen'!$N56=0,"x",G44/'AW Schulen'!$N56)</f>
        <v>x</v>
      </c>
    </row>
    <row r="45" spans="1:12" ht="9" customHeight="1">
      <c r="A45" s="21" t="s">
        <v>95</v>
      </c>
      <c r="B45" s="120"/>
      <c r="C45" s="151">
        <f>[61]GtS!$F$11</f>
        <v>0</v>
      </c>
      <c r="D45" s="151">
        <f>[62]GtS!$F$11</f>
        <v>0</v>
      </c>
      <c r="E45" s="151">
        <f>[63]GtS!$F$11</f>
        <v>0</v>
      </c>
      <c r="F45" s="151">
        <f>[64]GtS!$F$11</f>
        <v>0</v>
      </c>
      <c r="G45" s="152">
        <f>[65]GtS!$F$11</f>
        <v>0</v>
      </c>
      <c r="H45" s="155" t="str">
        <f>IF('AW Schulen'!$B57=0,"x",C45/'AW Schulen'!$B57)</f>
        <v>x</v>
      </c>
      <c r="I45" s="155" t="str">
        <f>IF('AW Schulen'!$E57=0,"x",D45/'AW Schulen'!$E57)</f>
        <v>x</v>
      </c>
      <c r="J45" s="155" t="str">
        <f>IF('AW Schulen'!$H57=0,"x",E45/'AW Schulen'!$H57)</f>
        <v>x</v>
      </c>
      <c r="K45" s="155" t="str">
        <f>IF('AW Schulen'!$K57=0,"x",F45/'AW Schulen'!$K57)</f>
        <v>x</v>
      </c>
      <c r="L45" s="156" t="str">
        <f>IF('AW Schulen'!$N57=0,"x",G45/'AW Schulen'!$N57)</f>
        <v>x</v>
      </c>
    </row>
    <row r="46" spans="1:12" ht="9" customHeight="1">
      <c r="A46" s="21" t="s">
        <v>96</v>
      </c>
      <c r="B46" s="120"/>
      <c r="C46" s="23">
        <f t="shared" ref="C46:E46" si="33">SUM(C30:C45)</f>
        <v>484</v>
      </c>
      <c r="D46" s="23">
        <f t="shared" si="33"/>
        <v>475</v>
      </c>
      <c r="E46" s="23">
        <f t="shared" si="33"/>
        <v>453</v>
      </c>
      <c r="F46" s="23">
        <f t="shared" ref="F46:G46" si="34">SUM(F30:F45)</f>
        <v>429</v>
      </c>
      <c r="G46" s="34">
        <f t="shared" si="34"/>
        <v>398</v>
      </c>
      <c r="H46" s="155">
        <f>IF('AW Schulen'!$B58=0,"x",C46/'AW Schulen'!$B58)</f>
        <v>0.15186695952306245</v>
      </c>
      <c r="I46" s="155">
        <f>IF('AW Schulen'!$E58=0,"x",D46/'AW Schulen'!$E58)</f>
        <v>0.15806988352745424</v>
      </c>
      <c r="J46" s="155">
        <f>IF('AW Schulen'!$H58=0,"x",E46/'AW Schulen'!$H58)</f>
        <v>0.158835904628331</v>
      </c>
      <c r="K46" s="155">
        <f>IF('AW Schulen'!$K58=0,"x",F46/'AW Schulen'!$K58)</f>
        <v>0.15853658536585366</v>
      </c>
      <c r="L46" s="156">
        <f>IF('AW Schulen'!$N58=0,"x",G46/'AW Schulen'!$N58)</f>
        <v>0.16251531237239689</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[1]GtS!$G$11</f>
        <v>117</v>
      </c>
      <c r="D48" s="23">
        <f>[2]GtS!$G$11</f>
        <v>119</v>
      </c>
      <c r="E48" s="23">
        <f>[3]GtS!$G$11</f>
        <v>115</v>
      </c>
      <c r="F48" s="23">
        <f>[4]GtS!$G$11</f>
        <v>110</v>
      </c>
      <c r="G48" s="34">
        <f>[5]GtS!$G$11</f>
        <v>94</v>
      </c>
      <c r="H48" s="155">
        <f>IF('AW Schulen'!$B42=0,"x",C48/'AW Schulen'!$B42)</f>
        <v>0.1357308584686775</v>
      </c>
      <c r="I48" s="155">
        <f>IF('AW Schulen'!$E42=0,"x",D48/'AW Schulen'!$E42)</f>
        <v>0.14441747572815533</v>
      </c>
      <c r="J48" s="155">
        <f>IF('AW Schulen'!$H42=0,"x",E48/'AW Schulen'!$H42)</f>
        <v>0.14705882352941177</v>
      </c>
      <c r="K48" s="155">
        <f>IF('AW Schulen'!$K42=0,"x",F48/'AW Schulen'!$K42)</f>
        <v>0.14725568942436412</v>
      </c>
      <c r="L48" s="156">
        <f>IF('AW Schulen'!$N42=0,"x",G48/'AW Schulen'!$N42)</f>
        <v>0.1378299120234604</v>
      </c>
    </row>
    <row r="49" spans="1:12" ht="9" customHeight="1">
      <c r="A49" s="21" t="s">
        <v>81</v>
      </c>
      <c r="B49" s="120"/>
      <c r="C49" s="23">
        <f>[6]GtS!$G$11</f>
        <v>380</v>
      </c>
      <c r="D49" s="23">
        <f>[7]GtS!$G$11</f>
        <v>387</v>
      </c>
      <c r="E49" s="23">
        <f>[8]GtS!$G$11</f>
        <v>376</v>
      </c>
      <c r="F49" s="23">
        <f>[9]GtS!$G$11</f>
        <v>371</v>
      </c>
      <c r="G49" s="34">
        <f>[10]GtS!$G$11</f>
        <v>364</v>
      </c>
      <c r="H49" s="155">
        <f>IF('AW Schulen'!$B43=0,"x",C49/'AW Schulen'!$B43)</f>
        <v>0.41036717062634992</v>
      </c>
      <c r="I49" s="155">
        <f>IF('AW Schulen'!$E43=0,"x",D49/'AW Schulen'!$E43)</f>
        <v>0.42248908296943233</v>
      </c>
      <c r="J49" s="155">
        <f>IF('AW Schulen'!$H43=0,"x",E49/'AW Schulen'!$H43)</f>
        <v>0.41917502787068006</v>
      </c>
      <c r="K49" s="155">
        <f>IF('AW Schulen'!$K43=0,"x",F49/'AW Schulen'!$K43)</f>
        <v>0.4177927927927928</v>
      </c>
      <c r="L49" s="156">
        <f>IF('AW Schulen'!$N43=0,"x",G49/'AW Schulen'!$N43)</f>
        <v>0.40852974186307517</v>
      </c>
    </row>
    <row r="50" spans="1:12" ht="9" customHeight="1">
      <c r="A50" s="21" t="s">
        <v>82</v>
      </c>
      <c r="B50" s="120"/>
      <c r="C50" s="151">
        <f>[11]GtS!$G$11</f>
        <v>0</v>
      </c>
      <c r="D50" s="151">
        <f>[12]GtS!$G$11</f>
        <v>0</v>
      </c>
      <c r="E50" s="151">
        <f>[13]GtS!$G$11</f>
        <v>0</v>
      </c>
      <c r="F50" s="151">
        <f>[14]GtS!$G$11</f>
        <v>0</v>
      </c>
      <c r="G50" s="152">
        <f>[15]GtS!$G$11</f>
        <v>0</v>
      </c>
      <c r="H50" s="155" t="str">
        <f>IF('AW Schulen'!$B44=0,"x",C50/'AW Schulen'!$B44)</f>
        <v>x</v>
      </c>
      <c r="I50" s="155" t="str">
        <f>IF('AW Schulen'!$E44=0,"x",D50/'AW Schulen'!$E44)</f>
        <v>x</v>
      </c>
      <c r="J50" s="155" t="str">
        <f>IF('AW Schulen'!$H44=0,"x",E50/'AW Schulen'!$H44)</f>
        <v>x</v>
      </c>
      <c r="K50" s="155" t="str">
        <f>IF('AW Schulen'!$K44=0,"x",F50/'AW Schulen'!$K44)</f>
        <v>x</v>
      </c>
      <c r="L50" s="156" t="str">
        <f>IF('AW Schulen'!$N44=0,"x",G50/'AW Schulen'!$N44)</f>
        <v>x</v>
      </c>
    </row>
    <row r="51" spans="1:12" ht="9" customHeight="1">
      <c r="A51" s="21" t="s">
        <v>83</v>
      </c>
      <c r="B51" s="120"/>
      <c r="C51" s="151">
        <f>[16]GtS!$G$11</f>
        <v>0</v>
      </c>
      <c r="D51" s="151">
        <f>[17]GtS!$G$11</f>
        <v>0</v>
      </c>
      <c r="E51" s="151">
        <f>[18]GtS!$G$11</f>
        <v>0</v>
      </c>
      <c r="F51" s="151">
        <f>[19]GtS!$G$11</f>
        <v>0</v>
      </c>
      <c r="G51" s="152">
        <f>[20]GtS!$G$11</f>
        <v>0</v>
      </c>
      <c r="H51" s="155" t="str">
        <f>IF('AW Schulen'!$B45=0,"x",C51/'AW Schulen'!$B45)</f>
        <v>x</v>
      </c>
      <c r="I51" s="155" t="str">
        <f>IF('AW Schulen'!$E45=0,"x",D51/'AW Schulen'!$E45)</f>
        <v>x</v>
      </c>
      <c r="J51" s="155" t="str">
        <f>IF('AW Schulen'!$H45=0,"x",E51/'AW Schulen'!$H45)</f>
        <v>x</v>
      </c>
      <c r="K51" s="155" t="str">
        <f>IF('AW Schulen'!$K45=0,"x",F51/'AW Schulen'!$K45)</f>
        <v>x</v>
      </c>
      <c r="L51" s="156" t="str">
        <f>IF('AW Schulen'!$N45=0,"x",G51/'AW Schulen'!$N45)</f>
        <v>x</v>
      </c>
    </row>
    <row r="52" spans="1:12" ht="9" customHeight="1">
      <c r="A52" s="21" t="s">
        <v>84</v>
      </c>
      <c r="B52" s="120"/>
      <c r="C52" s="151">
        <f>[21]GtS!$G$11</f>
        <v>0</v>
      </c>
      <c r="D52" s="151">
        <f>[22]GtS!$G$11</f>
        <v>0</v>
      </c>
      <c r="E52" s="151">
        <f>[23]GtS!$G$11</f>
        <v>0</v>
      </c>
      <c r="F52" s="151">
        <f>[24]GtS!$G$11</f>
        <v>0</v>
      </c>
      <c r="G52" s="152">
        <f>[25]GtS!$G$11</f>
        <v>0</v>
      </c>
      <c r="H52" s="155" t="str">
        <f>IF('AW Schulen'!$B46=0,"x",C52/'AW Schulen'!$B46)</f>
        <v>x</v>
      </c>
      <c r="I52" s="155" t="str">
        <f>IF('AW Schulen'!$E46=0,"x",D52/'AW Schulen'!$E46)</f>
        <v>x</v>
      </c>
      <c r="J52" s="155" t="str">
        <f>IF('AW Schulen'!$H46=0,"x",E52/'AW Schulen'!$H46)</f>
        <v>x</v>
      </c>
      <c r="K52" s="155" t="str">
        <f>IF('AW Schulen'!$K46=0,"x",F52/'AW Schulen'!$K46)</f>
        <v>x</v>
      </c>
      <c r="L52" s="156" t="str">
        <f>IF('AW Schulen'!$N46=0,"x",G52/'AW Schulen'!$N46)</f>
        <v>x</v>
      </c>
    </row>
    <row r="53" spans="1:12" ht="9" customHeight="1">
      <c r="A53" s="21" t="s">
        <v>85</v>
      </c>
      <c r="B53" s="120"/>
      <c r="C53" s="151">
        <f>[26]GtS!$G$11</f>
        <v>0</v>
      </c>
      <c r="D53" s="151">
        <f>[27]GtS!$G$11</f>
        <v>0</v>
      </c>
      <c r="E53" s="151">
        <f>[28]GtS!$G$11</f>
        <v>0</v>
      </c>
      <c r="F53" s="151">
        <f>[29]GtS!$G$11</f>
        <v>0</v>
      </c>
      <c r="G53" s="152">
        <f>[30]GtS!$G$11</f>
        <v>0</v>
      </c>
      <c r="H53" s="155" t="str">
        <f>IF('AW Schulen'!$B47=0,"x",C53/'AW Schulen'!$B47)</f>
        <v>x</v>
      </c>
      <c r="I53" s="155" t="str">
        <f>IF('AW Schulen'!$E47=0,"x",D53/'AW Schulen'!$E47)</f>
        <v>x</v>
      </c>
      <c r="J53" s="155" t="str">
        <f>IF('AW Schulen'!$H47=0,"x",E53/'AW Schulen'!$H47)</f>
        <v>x</v>
      </c>
      <c r="K53" s="155" t="str">
        <f>IF('AW Schulen'!$K47=0,"x",F53/'AW Schulen'!$K47)</f>
        <v>x</v>
      </c>
      <c r="L53" s="156" t="str">
        <f>IF('AW Schulen'!$N47=0,"x",G53/'AW Schulen'!$N47)</f>
        <v>x</v>
      </c>
    </row>
    <row r="54" spans="1:12" ht="9" customHeight="1">
      <c r="A54" s="21" t="s">
        <v>86</v>
      </c>
      <c r="B54" s="120"/>
      <c r="C54" s="23">
        <f>[66]GtS!$G$11</f>
        <v>0</v>
      </c>
      <c r="D54" s="23">
        <f>[67]GtS!$G$11</f>
        <v>0</v>
      </c>
      <c r="E54" s="23">
        <f>[68]GtS!$G$11</f>
        <v>0</v>
      </c>
      <c r="F54" s="23">
        <f>[69]GtS!$G$11</f>
        <v>0</v>
      </c>
      <c r="G54" s="34">
        <f>[70]GtS!$G$11</f>
        <v>0</v>
      </c>
      <c r="H54" s="155">
        <f>IF('AW Schulen'!$B48=0,"x",C54/'AW Schulen'!$B48)</f>
        <v>0</v>
      </c>
      <c r="I54" s="155">
        <f>IF('AW Schulen'!$E48=0,"x",D54/'AW Schulen'!$E48)</f>
        <v>0</v>
      </c>
      <c r="J54" s="155">
        <f>IF('AW Schulen'!$H48=0,"x",E54/'AW Schulen'!$H48)</f>
        <v>0</v>
      </c>
      <c r="K54" s="155">
        <f>IF('AW Schulen'!$K48=0,"x",F54/'AW Schulen'!$K48)</f>
        <v>0</v>
      </c>
      <c r="L54" s="156">
        <f>IF('AW Schulen'!$N48=0,"x",G54/'AW Schulen'!$N48)</f>
        <v>0</v>
      </c>
    </row>
    <row r="55" spans="1:12" ht="9" customHeight="1">
      <c r="A55" s="21" t="s">
        <v>87</v>
      </c>
      <c r="B55" s="120"/>
      <c r="C55" s="151">
        <f>[31]GtS!$G$11</f>
        <v>0</v>
      </c>
      <c r="D55" s="151">
        <f>[32]GtS!$G$11</f>
        <v>0</v>
      </c>
      <c r="E55" s="151">
        <f>[33]GtS!$G$11</f>
        <v>0</v>
      </c>
      <c r="F55" s="151">
        <f>[34]GtS!$G$11</f>
        <v>0</v>
      </c>
      <c r="G55" s="152">
        <f>[35]GtS!$G$11</f>
        <v>0</v>
      </c>
      <c r="H55" s="155" t="str">
        <f>IF('AW Schulen'!$B49=0,"x",C55/'AW Schulen'!$B49)</f>
        <v>x</v>
      </c>
      <c r="I55" s="155" t="str">
        <f>IF('AW Schulen'!$E49=0,"x",D55/'AW Schulen'!$E49)</f>
        <v>x</v>
      </c>
      <c r="J55" s="155" t="str">
        <f>IF('AW Schulen'!$H49=0,"x",E55/'AW Schulen'!$H49)</f>
        <v>x</v>
      </c>
      <c r="K55" s="155" t="str">
        <f>IF('AW Schulen'!$K49=0,"x",F55/'AW Schulen'!$K49)</f>
        <v>x</v>
      </c>
      <c r="L55" s="156" t="str">
        <f>IF('AW Schulen'!$N49=0,"x",G55/'AW Schulen'!$N49)</f>
        <v>x</v>
      </c>
    </row>
    <row r="56" spans="1:12" ht="9" customHeight="1">
      <c r="A56" s="21" t="s">
        <v>88</v>
      </c>
      <c r="B56" s="120"/>
      <c r="C56" s="23">
        <f>[71]GtS!$G$11</f>
        <v>74</v>
      </c>
      <c r="D56" s="23">
        <f>[72]GtS!$G$11</f>
        <v>71</v>
      </c>
      <c r="E56" s="23">
        <f>[73]GtS!$G$11</f>
        <v>84</v>
      </c>
      <c r="F56" s="23">
        <f>[74]GtS!$G$11</f>
        <v>93</v>
      </c>
      <c r="G56" s="34">
        <f>[75]GtS!$G$11</f>
        <v>58</v>
      </c>
      <c r="H56" s="155">
        <f>IF('AW Schulen'!$B50=0,"x",C56/'AW Schulen'!$B50)</f>
        <v>0.15811965811965811</v>
      </c>
      <c r="I56" s="155">
        <f>IF('AW Schulen'!$E50=0,"x",D56/'AW Schulen'!$E50)</f>
        <v>0.15367965367965367</v>
      </c>
      <c r="J56" s="155">
        <f>IF('AW Schulen'!$H50=0,"x",E56/'AW Schulen'!$H50)</f>
        <v>0.1891891891891892</v>
      </c>
      <c r="K56" s="155">
        <f>IF('AW Schulen'!$K50=0,"x",F56/'AW Schulen'!$K50)</f>
        <v>0.23076923076923078</v>
      </c>
      <c r="L56" s="156">
        <f>IF('AW Schulen'!$N50=0,"x",G56/'AW Schulen'!$N50)</f>
        <v>0.21641791044776118</v>
      </c>
    </row>
    <row r="57" spans="1:12" ht="9" customHeight="1">
      <c r="A57" s="21" t="s">
        <v>89</v>
      </c>
      <c r="B57" s="120"/>
      <c r="C57" s="23">
        <f>[36]GtS!$G$11</f>
        <v>0</v>
      </c>
      <c r="D57" s="23">
        <f>[37]GtS!$G$11</f>
        <v>0</v>
      </c>
      <c r="E57" s="23">
        <f>[38]GtS!$G$11</f>
        <v>0</v>
      </c>
      <c r="F57" s="23">
        <f>[39]GtS!$G$11</f>
        <v>0</v>
      </c>
      <c r="G57" s="34">
        <f>[40]GtS!$G$11</f>
        <v>0</v>
      </c>
      <c r="H57" s="155">
        <f>IF('AW Schulen'!$B51=0,"x",C57/'AW Schulen'!$B51)</f>
        <v>0</v>
      </c>
      <c r="I57" s="155">
        <f>IF('AW Schulen'!$E51=0,"x",D57/'AW Schulen'!$E51)</f>
        <v>0</v>
      </c>
      <c r="J57" s="155">
        <f>IF('AW Schulen'!$H51=0,"x",E57/'AW Schulen'!$H51)</f>
        <v>0</v>
      </c>
      <c r="K57" s="155">
        <f>IF('AW Schulen'!$K51=0,"x",F57/'AW Schulen'!$K51)</f>
        <v>0</v>
      </c>
      <c r="L57" s="156">
        <f>IF('AW Schulen'!$N51=0,"x",G57/'AW Schulen'!$N51)</f>
        <v>0</v>
      </c>
    </row>
    <row r="58" spans="1:12" ht="9" customHeight="1">
      <c r="A58" s="21" t="s">
        <v>90</v>
      </c>
      <c r="B58" s="120"/>
      <c r="C58" s="23">
        <f>[41]GtS!$G$11</f>
        <v>11</v>
      </c>
      <c r="D58" s="151">
        <f>[42]GtS!$G$11</f>
        <v>0</v>
      </c>
      <c r="E58" s="151">
        <f>[43]GtS!$G$11</f>
        <v>0</v>
      </c>
      <c r="F58" s="151">
        <f>[44]GtS!$G$11</f>
        <v>0</v>
      </c>
      <c r="G58" s="152">
        <f>[45]GtS!$G$11</f>
        <v>0</v>
      </c>
      <c r="H58" s="155">
        <f>IF('AW Schulen'!$B52=0,"x",C58/'AW Schulen'!$B52)</f>
        <v>0.55000000000000004</v>
      </c>
      <c r="I58" s="155" t="str">
        <f>IF('AW Schulen'!$E52=0,"x",D58/'AW Schulen'!$E52)</f>
        <v>x</v>
      </c>
      <c r="J58" s="155" t="str">
        <f>IF('AW Schulen'!$H52=0,"x",E58/'AW Schulen'!$H52)</f>
        <v>x</v>
      </c>
      <c r="K58" s="155" t="str">
        <f>IF('AW Schulen'!$K52=0,"x",F58/'AW Schulen'!$K52)</f>
        <v>x</v>
      </c>
      <c r="L58" s="156" t="str">
        <f>IF('AW Schulen'!$N52=0,"x",G58/'AW Schulen'!$N52)</f>
        <v>x</v>
      </c>
    </row>
    <row r="59" spans="1:12" ht="9" customHeight="1">
      <c r="A59" s="21" t="s">
        <v>91</v>
      </c>
      <c r="B59" s="120"/>
      <c r="C59" s="151">
        <f>[46]GtS!$G$11</f>
        <v>0</v>
      </c>
      <c r="D59" s="151">
        <f>[47]GtS!$G$11</f>
        <v>0</v>
      </c>
      <c r="E59" s="151">
        <f>[48]GtS!$G$11</f>
        <v>0</v>
      </c>
      <c r="F59" s="151">
        <f>[49]GtS!$G$11</f>
        <v>0</v>
      </c>
      <c r="G59" s="152">
        <f>[50]GtS!$G$11</f>
        <v>0</v>
      </c>
      <c r="H59" s="155" t="str">
        <f>IF('AW Schulen'!$B53=0,"x",C59/'AW Schulen'!$B53)</f>
        <v>x</v>
      </c>
      <c r="I59" s="155" t="str">
        <f>IF('AW Schulen'!$E53=0,"x",D59/'AW Schulen'!$E53)</f>
        <v>x</v>
      </c>
      <c r="J59" s="155" t="str">
        <f>IF('AW Schulen'!$H53=0,"x",E59/'AW Schulen'!$H53)</f>
        <v>x</v>
      </c>
      <c r="K59" s="155" t="str">
        <f>IF('AW Schulen'!$K53=0,"x",F59/'AW Schulen'!$K53)</f>
        <v>x</v>
      </c>
      <c r="L59" s="156" t="str">
        <f>IF('AW Schulen'!$N53=0,"x",G59/'AW Schulen'!$N53)</f>
        <v>x</v>
      </c>
    </row>
    <row r="60" spans="1:12" ht="9" customHeight="1">
      <c r="A60" s="21" t="s">
        <v>92</v>
      </c>
      <c r="B60" s="120"/>
      <c r="C60" s="151">
        <f>[51]GtS!$G$11</f>
        <v>0</v>
      </c>
      <c r="D60" s="151">
        <f>[52]GtS!$G$11</f>
        <v>0</v>
      </c>
      <c r="E60" s="151">
        <f>[53]GtS!$G$11</f>
        <v>0</v>
      </c>
      <c r="F60" s="151">
        <f>[54]GtS!$G$11</f>
        <v>0</v>
      </c>
      <c r="G60" s="152">
        <f>[55]GtS!$G$11</f>
        <v>0</v>
      </c>
      <c r="H60" s="155" t="str">
        <f>IF('AW Schulen'!$B54=0,"x",C60/'AW Schulen'!$B54)</f>
        <v>x</v>
      </c>
      <c r="I60" s="155" t="str">
        <f>IF('AW Schulen'!$E54=0,"x",D60/'AW Schulen'!$E54)</f>
        <v>x</v>
      </c>
      <c r="J60" s="155" t="str">
        <f>IF('AW Schulen'!$H54=0,"x",E60/'AW Schulen'!$H54)</f>
        <v>x</v>
      </c>
      <c r="K60" s="155" t="str">
        <f>IF('AW Schulen'!$K54=0,"x",F60/'AW Schulen'!$K54)</f>
        <v>x</v>
      </c>
      <c r="L60" s="156" t="str">
        <f>IF('AW Schulen'!$N54=0,"x",G60/'AW Schulen'!$N54)</f>
        <v>x</v>
      </c>
    </row>
    <row r="61" spans="1:12" ht="9" customHeight="1">
      <c r="A61" s="21" t="s">
        <v>93</v>
      </c>
      <c r="B61" s="120"/>
      <c r="C61" s="151">
        <f>[76]GtS!$G$11</f>
        <v>0</v>
      </c>
      <c r="D61" s="151">
        <f>[77]GtS!$G$11</f>
        <v>0</v>
      </c>
      <c r="E61" s="151">
        <f>[78]GtS!$G$11</f>
        <v>0</v>
      </c>
      <c r="F61" s="151">
        <f>[79]GtS!$G$11</f>
        <v>0</v>
      </c>
      <c r="G61" s="152">
        <f>[80]GtS!$G$11</f>
        <v>0</v>
      </c>
      <c r="H61" s="155" t="str">
        <f>IF('AW Schulen'!$B55=0,"x",C61/'AW Schulen'!$B55)</f>
        <v>x</v>
      </c>
      <c r="I61" s="155" t="str">
        <f>IF('AW Schulen'!$E55=0,"x",D61/'AW Schulen'!$E55)</f>
        <v>x</v>
      </c>
      <c r="J61" s="155" t="str">
        <f>IF('AW Schulen'!$H55=0,"x",E61/'AW Schulen'!$H55)</f>
        <v>x</v>
      </c>
      <c r="K61" s="155" t="str">
        <f>IF('AW Schulen'!$K55=0,"x",F61/'AW Schulen'!$K55)</f>
        <v>x</v>
      </c>
      <c r="L61" s="156" t="str">
        <f>IF('AW Schulen'!$N55=0,"x",G61/'AW Schulen'!$N55)</f>
        <v>x</v>
      </c>
    </row>
    <row r="62" spans="1:12" ht="9" customHeight="1">
      <c r="A62" s="21" t="s">
        <v>94</v>
      </c>
      <c r="B62" s="120"/>
      <c r="C62" s="23">
        <f>[56]GtS!$G$11</f>
        <v>0</v>
      </c>
      <c r="D62" s="23">
        <f>[57]GtS!$G$11</f>
        <v>0</v>
      </c>
      <c r="E62" s="23">
        <f>[58]GtS!$G$11</f>
        <v>0</v>
      </c>
      <c r="F62" s="151">
        <f>[59]GtS!$G$11</f>
        <v>0</v>
      </c>
      <c r="G62" s="152">
        <f>[60]GtS!$G$11</f>
        <v>0</v>
      </c>
      <c r="H62" s="155">
        <f>IF('AW Schulen'!$B56=0,"x",C62/'AW Schulen'!$B56)</f>
        <v>0</v>
      </c>
      <c r="I62" s="155">
        <f>IF('AW Schulen'!$E56=0,"x",D62/'AW Schulen'!$E56)</f>
        <v>0</v>
      </c>
      <c r="J62" s="155">
        <f>IF('AW Schulen'!$H56=0,"x",E62/'AW Schulen'!$H56)</f>
        <v>0</v>
      </c>
      <c r="K62" s="155" t="str">
        <f>IF('AW Schulen'!$K56=0,"x",F62/'AW Schulen'!$K56)</f>
        <v>x</v>
      </c>
      <c r="L62" s="156" t="str">
        <f>IF('AW Schulen'!$N56=0,"x",G62/'AW Schulen'!$N56)</f>
        <v>x</v>
      </c>
    </row>
    <row r="63" spans="1:12" ht="9" customHeight="1">
      <c r="A63" s="21" t="s">
        <v>95</v>
      </c>
      <c r="B63" s="120"/>
      <c r="C63" s="151">
        <f>[61]GtS!$G$11</f>
        <v>0</v>
      </c>
      <c r="D63" s="151">
        <f>[62]GtS!$G$11</f>
        <v>0</v>
      </c>
      <c r="E63" s="151">
        <f>[63]GtS!$G$11</f>
        <v>0</v>
      </c>
      <c r="F63" s="151">
        <f>[64]GtS!$G$11</f>
        <v>0</v>
      </c>
      <c r="G63" s="152">
        <f>[65]GtS!$G$11</f>
        <v>0</v>
      </c>
      <c r="H63" s="155" t="str">
        <f>IF('AW Schulen'!$B57=0,"x",C63/'AW Schulen'!$B57)</f>
        <v>x</v>
      </c>
      <c r="I63" s="155" t="str">
        <f>IF('AW Schulen'!$E57=0,"x",D63/'AW Schulen'!$E57)</f>
        <v>x</v>
      </c>
      <c r="J63" s="155" t="str">
        <f>IF('AW Schulen'!$H57=0,"x",E63/'AW Schulen'!$H57)</f>
        <v>x</v>
      </c>
      <c r="K63" s="155" t="str">
        <f>IF('AW Schulen'!$K57=0,"x",F63/'AW Schulen'!$K57)</f>
        <v>x</v>
      </c>
      <c r="L63" s="156" t="str">
        <f>IF('AW Schulen'!$N57=0,"x",G63/'AW Schulen'!$N57)</f>
        <v>x</v>
      </c>
    </row>
    <row r="64" spans="1:12" ht="8.65" customHeight="1">
      <c r="A64" s="21" t="s">
        <v>96</v>
      </c>
      <c r="B64" s="120"/>
      <c r="C64" s="23">
        <f t="shared" ref="C64:E64" si="35">SUM(C48:C63)</f>
        <v>582</v>
      </c>
      <c r="D64" s="23">
        <f t="shared" si="35"/>
        <v>577</v>
      </c>
      <c r="E64" s="23">
        <f t="shared" si="35"/>
        <v>575</v>
      </c>
      <c r="F64" s="23">
        <f t="shared" ref="F64:G64" si="36">SUM(F48:F63)</f>
        <v>574</v>
      </c>
      <c r="G64" s="34">
        <f t="shared" si="36"/>
        <v>516</v>
      </c>
      <c r="H64" s="155">
        <f>IF('AW Schulen'!$B58=0,"x",C64/'AW Schulen'!$B58)</f>
        <v>0.18261688107938501</v>
      </c>
      <c r="I64" s="155">
        <f>IF('AW Schulen'!$E58=0,"x",D64/'AW Schulen'!$E58)</f>
        <v>0.19201331114808654</v>
      </c>
      <c r="J64" s="155">
        <f>IF('AW Schulen'!$H58=0,"x",E64/'AW Schulen'!$H58)</f>
        <v>0.20161290322580644</v>
      </c>
      <c r="K64" s="155">
        <f>IF('AW Schulen'!$K58=0,"x",F64/'AW Schulen'!$K58)</f>
        <v>0.21212121212121213</v>
      </c>
      <c r="L64" s="156">
        <f>IF('AW Schulen'!$N58=0,"x",G64/'AW Schulen'!$N58)</f>
        <v>0.21069824418129848</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[1]GtS!$H$11</f>
        <v>166</v>
      </c>
      <c r="D66" s="23">
        <f>[2]GtS!$H$11</f>
        <v>171</v>
      </c>
      <c r="E66" s="23">
        <f>[3]GtS!$H$11</f>
        <v>177</v>
      </c>
      <c r="F66" s="23">
        <f>[4]GtS!$H$11</f>
        <v>171</v>
      </c>
      <c r="G66" s="34">
        <f>[5]GtS!$H$11</f>
        <v>157</v>
      </c>
      <c r="H66" s="155">
        <f>IF('AW Schulen'!$B42=0,"x",C66/'AW Schulen'!$B42)</f>
        <v>0.1925754060324826</v>
      </c>
      <c r="I66" s="155">
        <f>IF('AW Schulen'!$E42=0,"x",D66/'AW Schulen'!$E42)</f>
        <v>0.20752427184466019</v>
      </c>
      <c r="J66" s="155">
        <f>IF('AW Schulen'!$H42=0,"x",E66/'AW Schulen'!$H42)</f>
        <v>0.22634271099744246</v>
      </c>
      <c r="K66" s="155">
        <f>IF('AW Schulen'!$K42=0,"x",F66/'AW Schulen'!$K42)</f>
        <v>0.2289156626506024</v>
      </c>
      <c r="L66" s="156">
        <f>IF('AW Schulen'!$N42=0,"x",G66/'AW Schulen'!$N42)</f>
        <v>0.23020527859237536</v>
      </c>
    </row>
    <row r="67" spans="1:12" ht="10.15" customHeight="1">
      <c r="A67" s="224" t="s">
        <v>81</v>
      </c>
      <c r="B67" s="120"/>
      <c r="C67" s="23">
        <f>[6]GtS!$H$11</f>
        <v>320</v>
      </c>
      <c r="D67" s="23">
        <f>[7]GtS!$H$11</f>
        <v>329</v>
      </c>
      <c r="E67" s="23">
        <f>[8]GtS!$H$11</f>
        <v>331</v>
      </c>
      <c r="F67" s="23">
        <f>[9]GtS!$H$11</f>
        <v>332</v>
      </c>
      <c r="G67" s="34">
        <f>[10]GtS!$H$11</f>
        <v>355</v>
      </c>
      <c r="H67" s="155">
        <f>IF('AW Schulen'!$B43=0,"x",C67/'AW Schulen'!$B43)</f>
        <v>0.34557235421166305</v>
      </c>
      <c r="I67" s="155">
        <f>IF('AW Schulen'!$E43=0,"x",D67/'AW Schulen'!$E43)</f>
        <v>0.35917030567685587</v>
      </c>
      <c r="J67" s="155">
        <f>IF('AW Schulen'!$H43=0,"x",E67/'AW Schulen'!$H43)</f>
        <v>0.36900780379041248</v>
      </c>
      <c r="K67" s="155">
        <f>IF('AW Schulen'!$K43=0,"x",F67/'AW Schulen'!$K43)</f>
        <v>0.37387387387387389</v>
      </c>
      <c r="L67" s="156">
        <f>IF('AW Schulen'!$N43=0,"x",G67/'AW Schulen'!$N43)</f>
        <v>0.39842873176206511</v>
      </c>
    </row>
    <row r="68" spans="1:12" ht="10.15" customHeight="1">
      <c r="A68" s="224" t="s">
        <v>82</v>
      </c>
      <c r="B68" s="120"/>
      <c r="C68" s="151">
        <f>[11]GtS!$H$11</f>
        <v>0</v>
      </c>
      <c r="D68" s="151">
        <f>[12]GtS!$H$11</f>
        <v>0</v>
      </c>
      <c r="E68" s="151">
        <f>[13]GtS!$H$11</f>
        <v>0</v>
      </c>
      <c r="F68" s="151">
        <f>[14]GtS!$H$11</f>
        <v>0</v>
      </c>
      <c r="G68" s="152">
        <f>[15]GtS!$H$11</f>
        <v>0</v>
      </c>
      <c r="H68" s="155" t="str">
        <f>IF('AW Schulen'!$B44=0,"x",C68/'AW Schulen'!$B44)</f>
        <v>x</v>
      </c>
      <c r="I68" s="155" t="str">
        <f>IF('AW Schulen'!$E44=0,"x",D68/'AW Schulen'!$E44)</f>
        <v>x</v>
      </c>
      <c r="J68" s="155" t="str">
        <f>IF('AW Schulen'!$H44=0,"x",E68/'AW Schulen'!$H44)</f>
        <v>x</v>
      </c>
      <c r="K68" s="155" t="str">
        <f>IF('AW Schulen'!$K44=0,"x",F68/'AW Schulen'!$K44)</f>
        <v>x</v>
      </c>
      <c r="L68" s="156" t="str">
        <f>IF('AW Schulen'!$N44=0,"x",G68/'AW Schulen'!$N44)</f>
        <v>x</v>
      </c>
    </row>
    <row r="69" spans="1:12" ht="9" customHeight="1">
      <c r="A69" s="21" t="s">
        <v>83</v>
      </c>
      <c r="B69" s="120"/>
      <c r="C69" s="151">
        <f>[16]GtS!$H$11</f>
        <v>0</v>
      </c>
      <c r="D69" s="151">
        <f>[17]GtS!$H$11</f>
        <v>0</v>
      </c>
      <c r="E69" s="151">
        <f>[18]GtS!$H$11</f>
        <v>0</v>
      </c>
      <c r="F69" s="151">
        <f>[19]GtS!$H$11</f>
        <v>0</v>
      </c>
      <c r="G69" s="152">
        <f>[20]GtS!$H$11</f>
        <v>0</v>
      </c>
      <c r="H69" s="155" t="str">
        <f>IF('AW Schulen'!$B45=0,"x",C69/'AW Schulen'!$B45)</f>
        <v>x</v>
      </c>
      <c r="I69" s="155" t="str">
        <f>IF('AW Schulen'!$E45=0,"x",D69/'AW Schulen'!$E45)</f>
        <v>x</v>
      </c>
      <c r="J69" s="155" t="str">
        <f>IF('AW Schulen'!$H45=0,"x",E69/'AW Schulen'!$H45)</f>
        <v>x</v>
      </c>
      <c r="K69" s="155" t="str">
        <f>IF('AW Schulen'!$K45=0,"x",F69/'AW Schulen'!$K45)</f>
        <v>x</v>
      </c>
      <c r="L69" s="156" t="str">
        <f>IF('AW Schulen'!$N45=0,"x",G69/'AW Schulen'!$N45)</f>
        <v>x</v>
      </c>
    </row>
    <row r="70" spans="1:12" ht="9" customHeight="1">
      <c r="A70" s="21" t="s">
        <v>84</v>
      </c>
      <c r="B70" s="120"/>
      <c r="C70" s="151">
        <f>[21]GtS!$H$11</f>
        <v>0</v>
      </c>
      <c r="D70" s="151">
        <f>[22]GtS!$H$11</f>
        <v>0</v>
      </c>
      <c r="E70" s="151">
        <f>[23]GtS!$H$11</f>
        <v>0</v>
      </c>
      <c r="F70" s="151">
        <f>[24]GtS!$H$11</f>
        <v>0</v>
      </c>
      <c r="G70" s="152">
        <f>[25]GtS!$H$11</f>
        <v>0</v>
      </c>
      <c r="H70" s="155" t="str">
        <f>IF('AW Schulen'!$B46=0,"x",C70/'AW Schulen'!$B46)</f>
        <v>x</v>
      </c>
      <c r="I70" s="155" t="str">
        <f>IF('AW Schulen'!$E46=0,"x",D70/'AW Schulen'!$E46)</f>
        <v>x</v>
      </c>
      <c r="J70" s="155" t="str">
        <f>IF('AW Schulen'!$H46=0,"x",E70/'AW Schulen'!$H46)</f>
        <v>x</v>
      </c>
      <c r="K70" s="155" t="str">
        <f>IF('AW Schulen'!$K46=0,"x",F70/'AW Schulen'!$K46)</f>
        <v>x</v>
      </c>
      <c r="L70" s="156" t="str">
        <f>IF('AW Schulen'!$N46=0,"x",G70/'AW Schulen'!$N46)</f>
        <v>x</v>
      </c>
    </row>
    <row r="71" spans="1:12" ht="9" customHeight="1">
      <c r="A71" s="21" t="s">
        <v>85</v>
      </c>
      <c r="B71" s="120"/>
      <c r="C71" s="151">
        <f>[26]GtS!$H$11</f>
        <v>0</v>
      </c>
      <c r="D71" s="151">
        <f>[27]GtS!$H$11</f>
        <v>0</v>
      </c>
      <c r="E71" s="151">
        <f>[28]GtS!$H$11</f>
        <v>0</v>
      </c>
      <c r="F71" s="151">
        <f>[29]GtS!$H$11</f>
        <v>0</v>
      </c>
      <c r="G71" s="152">
        <f>[30]GtS!$H$11</f>
        <v>0</v>
      </c>
      <c r="H71" s="155" t="str">
        <f>IF('AW Schulen'!$B47=0,"x",C71/'AW Schulen'!$B47)</f>
        <v>x</v>
      </c>
      <c r="I71" s="155" t="str">
        <f>IF('AW Schulen'!$E47=0,"x",D71/'AW Schulen'!$E47)</f>
        <v>x</v>
      </c>
      <c r="J71" s="155" t="str">
        <f>IF('AW Schulen'!$H47=0,"x",E71/'AW Schulen'!$H47)</f>
        <v>x</v>
      </c>
      <c r="K71" s="155" t="str">
        <f>IF('AW Schulen'!$K47=0,"x",F71/'AW Schulen'!$K47)</f>
        <v>x</v>
      </c>
      <c r="L71" s="156" t="str">
        <f>IF('AW Schulen'!$N47=0,"x",G71/'AW Schulen'!$N47)</f>
        <v>x</v>
      </c>
    </row>
    <row r="72" spans="1:12" ht="9" customHeight="1">
      <c r="A72" s="21" t="s">
        <v>86</v>
      </c>
      <c r="B72" s="120"/>
      <c r="C72" s="23">
        <f>[66]GtS!$H$11</f>
        <v>218</v>
      </c>
      <c r="D72" s="23">
        <f>[67]GtS!$H$11</f>
        <v>219</v>
      </c>
      <c r="E72" s="23">
        <f>[68]GtS!$H$11</f>
        <v>213</v>
      </c>
      <c r="F72" s="23">
        <f>[69]GtS!$H$11</f>
        <v>198</v>
      </c>
      <c r="G72" s="34">
        <f>[70]GtS!$H$11</f>
        <v>193</v>
      </c>
      <c r="H72" s="155">
        <f>IF('AW Schulen'!$B48=0,"x",C72/'AW Schulen'!$B48)</f>
        <v>0.86852589641434264</v>
      </c>
      <c r="I72" s="155">
        <f>IF('AW Schulen'!$E48=0,"x",D72/'AW Schulen'!$E48)</f>
        <v>0.89387755102040811</v>
      </c>
      <c r="J72" s="155">
        <f>IF('AW Schulen'!$H48=0,"x",E72/'AW Schulen'!$H48)</f>
        <v>0.89873417721518989</v>
      </c>
      <c r="K72" s="155">
        <f>IF('AW Schulen'!$K48=0,"x",F72/'AW Schulen'!$K48)</f>
        <v>0.9</v>
      </c>
      <c r="L72" s="156">
        <f>IF('AW Schulen'!$N48=0,"x",G72/'AW Schulen'!$N48)</f>
        <v>0.9061032863849765</v>
      </c>
    </row>
    <row r="73" spans="1:12" ht="9" customHeight="1">
      <c r="A73" s="21" t="s">
        <v>87</v>
      </c>
      <c r="B73" s="120"/>
      <c r="C73" s="151">
        <f>[31]GtS!$H$11</f>
        <v>0</v>
      </c>
      <c r="D73" s="151">
        <f>[32]GtS!$H$11</f>
        <v>0</v>
      </c>
      <c r="E73" s="151">
        <f>[33]GtS!$H$11</f>
        <v>0</v>
      </c>
      <c r="F73" s="151">
        <f>[34]GtS!$H$11</f>
        <v>0</v>
      </c>
      <c r="G73" s="152">
        <f>[35]GtS!$H$11</f>
        <v>0</v>
      </c>
      <c r="H73" s="155" t="str">
        <f>IF('AW Schulen'!$B49=0,"x",C73/'AW Schulen'!$B49)</f>
        <v>x</v>
      </c>
      <c r="I73" s="155" t="str">
        <f>IF('AW Schulen'!$E49=0,"x",D73/'AW Schulen'!$E49)</f>
        <v>x</v>
      </c>
      <c r="J73" s="155" t="str">
        <f>IF('AW Schulen'!$H49=0,"x",E73/'AW Schulen'!$H49)</f>
        <v>x</v>
      </c>
      <c r="K73" s="155" t="str">
        <f>IF('AW Schulen'!$K49=0,"x",F73/'AW Schulen'!$K49)</f>
        <v>x</v>
      </c>
      <c r="L73" s="156" t="str">
        <f>IF('AW Schulen'!$N49=0,"x",G73/'AW Schulen'!$N49)</f>
        <v>x</v>
      </c>
    </row>
    <row r="74" spans="1:12" ht="9" customHeight="1">
      <c r="A74" s="21" t="s">
        <v>88</v>
      </c>
      <c r="B74" s="120"/>
      <c r="C74" s="23">
        <f>[71]GtS!$H$11</f>
        <v>281</v>
      </c>
      <c r="D74" s="23">
        <f>[72]GtS!$H$11</f>
        <v>280</v>
      </c>
      <c r="E74" s="23">
        <f>[73]GtS!$H$11</f>
        <v>261</v>
      </c>
      <c r="F74" s="23">
        <f>[74]GtS!$H$11</f>
        <v>224</v>
      </c>
      <c r="G74" s="34">
        <f>[75]GtS!$H$11</f>
        <v>158</v>
      </c>
      <c r="H74" s="155">
        <f>IF('AW Schulen'!$B50=0,"x",C74/'AW Schulen'!$B50)</f>
        <v>0.6004273504273504</v>
      </c>
      <c r="I74" s="155">
        <f>IF('AW Schulen'!$E50=0,"x",D74/'AW Schulen'!$E50)</f>
        <v>0.60606060606060608</v>
      </c>
      <c r="J74" s="155">
        <f>IF('AW Schulen'!$H50=0,"x",E74/'AW Schulen'!$H50)</f>
        <v>0.58783783783783783</v>
      </c>
      <c r="K74" s="155">
        <f>IF('AW Schulen'!$K50=0,"x",F74/'AW Schulen'!$K50)</f>
        <v>0.55583126550868489</v>
      </c>
      <c r="L74" s="156">
        <f>IF('AW Schulen'!$N50=0,"x",G74/'AW Schulen'!$N50)</f>
        <v>0.58955223880597019</v>
      </c>
    </row>
    <row r="75" spans="1:12" ht="9" customHeight="1">
      <c r="A75" s="21" t="s">
        <v>89</v>
      </c>
      <c r="B75" s="120"/>
      <c r="C75" s="23">
        <f>[36]GtS!$H$11</f>
        <v>0</v>
      </c>
      <c r="D75" s="23">
        <f>[37]GtS!$H$11</f>
        <v>0</v>
      </c>
      <c r="E75" s="23">
        <f>[38]GtS!$H$11</f>
        <v>0</v>
      </c>
      <c r="F75" s="23">
        <f>[39]GtS!$H$11</f>
        <v>0</v>
      </c>
      <c r="G75" s="34">
        <f>[40]GtS!$H$11</f>
        <v>0</v>
      </c>
      <c r="H75" s="155">
        <f>IF('AW Schulen'!$B51=0,"x",C75/'AW Schulen'!$B51)</f>
        <v>0</v>
      </c>
      <c r="I75" s="155">
        <f>IF('AW Schulen'!$E51=0,"x",D75/'AW Schulen'!$E51)</f>
        <v>0</v>
      </c>
      <c r="J75" s="155">
        <f>IF('AW Schulen'!$H51=0,"x",E75/'AW Schulen'!$H51)</f>
        <v>0</v>
      </c>
      <c r="K75" s="155">
        <f>IF('AW Schulen'!$K51=0,"x",F75/'AW Schulen'!$K51)</f>
        <v>0</v>
      </c>
      <c r="L75" s="156">
        <f>IF('AW Schulen'!$N51=0,"x",G75/'AW Schulen'!$N51)</f>
        <v>0</v>
      </c>
    </row>
    <row r="76" spans="1:12" ht="9" customHeight="1">
      <c r="A76" s="21" t="s">
        <v>90</v>
      </c>
      <c r="B76" s="120"/>
      <c r="C76" s="23">
        <f>[41]GtS!$H$11</f>
        <v>0</v>
      </c>
      <c r="D76" s="151">
        <f>[42]GtS!$H$11</f>
        <v>0</v>
      </c>
      <c r="E76" s="151">
        <f>[43]GtS!$H$11</f>
        <v>0</v>
      </c>
      <c r="F76" s="151">
        <f>[44]GtS!$H$11</f>
        <v>0</v>
      </c>
      <c r="G76" s="152">
        <f>[45]GtS!$H$11</f>
        <v>0</v>
      </c>
      <c r="H76" s="155">
        <f>IF('AW Schulen'!$B52=0,"x",C76/'AW Schulen'!$B52)</f>
        <v>0</v>
      </c>
      <c r="I76" s="155" t="str">
        <f>IF('AW Schulen'!$E52=0,"x",D76/'AW Schulen'!$E52)</f>
        <v>x</v>
      </c>
      <c r="J76" s="155" t="str">
        <f>IF('AW Schulen'!$H52=0,"x",E76/'AW Schulen'!$H52)</f>
        <v>x</v>
      </c>
      <c r="K76" s="155" t="str">
        <f>IF('AW Schulen'!$K52=0,"x",F76/'AW Schulen'!$K52)</f>
        <v>x</v>
      </c>
      <c r="L76" s="156" t="str">
        <f>IF('AW Schulen'!$N52=0,"x",G76/'AW Schulen'!$N52)</f>
        <v>x</v>
      </c>
    </row>
    <row r="77" spans="1:12" ht="9" customHeight="1">
      <c r="A77" s="21" t="s">
        <v>91</v>
      </c>
      <c r="B77" s="120"/>
      <c r="C77" s="151">
        <f>[46]GtS!$H$11</f>
        <v>0</v>
      </c>
      <c r="D77" s="151">
        <f>[47]GtS!$H$11</f>
        <v>0</v>
      </c>
      <c r="E77" s="151">
        <f>[48]GtS!$H$11</f>
        <v>0</v>
      </c>
      <c r="F77" s="151">
        <f>[49]GtS!$H$11</f>
        <v>0</v>
      </c>
      <c r="G77" s="152">
        <f>[50]GtS!$H$11</f>
        <v>0</v>
      </c>
      <c r="H77" s="155" t="str">
        <f>IF('AW Schulen'!$B53=0,"x",C77/'AW Schulen'!$B53)</f>
        <v>x</v>
      </c>
      <c r="I77" s="155" t="str">
        <f>IF('AW Schulen'!$E53=0,"x",D77/'AW Schulen'!$E53)</f>
        <v>x</v>
      </c>
      <c r="J77" s="155" t="str">
        <f>IF('AW Schulen'!$H53=0,"x",E77/'AW Schulen'!$H53)</f>
        <v>x</v>
      </c>
      <c r="K77" s="155" t="str">
        <f>IF('AW Schulen'!$K53=0,"x",F77/'AW Schulen'!$K53)</f>
        <v>x</v>
      </c>
      <c r="L77" s="156" t="str">
        <f>IF('AW Schulen'!$N53=0,"x",G77/'AW Schulen'!$N53)</f>
        <v>x</v>
      </c>
    </row>
    <row r="78" spans="1:12" ht="9" customHeight="1">
      <c r="A78" s="21" t="s">
        <v>92</v>
      </c>
      <c r="B78" s="120"/>
      <c r="C78" s="151">
        <f>[51]GtS!$H$11</f>
        <v>0</v>
      </c>
      <c r="D78" s="151">
        <f>[52]GtS!$H$11</f>
        <v>0</v>
      </c>
      <c r="E78" s="151">
        <f>[53]GtS!$H$11</f>
        <v>0</v>
      </c>
      <c r="F78" s="151">
        <f>[54]GtS!$H$11</f>
        <v>0</v>
      </c>
      <c r="G78" s="152">
        <f>[55]GtS!$H$11</f>
        <v>0</v>
      </c>
      <c r="H78" s="155" t="str">
        <f>IF('AW Schulen'!$B54=0,"x",C78/'AW Schulen'!$B54)</f>
        <v>x</v>
      </c>
      <c r="I78" s="155" t="str">
        <f>IF('AW Schulen'!$E54=0,"x",D78/'AW Schulen'!$E54)</f>
        <v>x</v>
      </c>
      <c r="J78" s="155" t="str">
        <f>IF('AW Schulen'!$H54=0,"x",E78/'AW Schulen'!$H54)</f>
        <v>x</v>
      </c>
      <c r="K78" s="155" t="str">
        <f>IF('AW Schulen'!$K54=0,"x",F78/'AW Schulen'!$K54)</f>
        <v>x</v>
      </c>
      <c r="L78" s="156" t="str">
        <f>IF('AW Schulen'!$N54=0,"x",G78/'AW Schulen'!$N54)</f>
        <v>x</v>
      </c>
    </row>
    <row r="79" spans="1:12" ht="9" customHeight="1">
      <c r="A79" s="21" t="s">
        <v>93</v>
      </c>
      <c r="B79" s="120"/>
      <c r="C79" s="151">
        <f>[76]GtS!$H$11</f>
        <v>0</v>
      </c>
      <c r="D79" s="151">
        <f>[77]GtS!$H$11</f>
        <v>0</v>
      </c>
      <c r="E79" s="151">
        <f>[78]GtS!$H$11</f>
        <v>0</v>
      </c>
      <c r="F79" s="151">
        <f>[79]GtS!$H$11</f>
        <v>0</v>
      </c>
      <c r="G79" s="152">
        <f>[80]GtS!$H$11</f>
        <v>0</v>
      </c>
      <c r="H79" s="155" t="str">
        <f>IF('AW Schulen'!$B55=0,"x",C79/'AW Schulen'!$B55)</f>
        <v>x</v>
      </c>
      <c r="I79" s="155" t="str">
        <f>IF('AW Schulen'!$E55=0,"x",D79/'AW Schulen'!$E55)</f>
        <v>x</v>
      </c>
      <c r="J79" s="155" t="str">
        <f>IF('AW Schulen'!$H55=0,"x",E79/'AW Schulen'!$H55)</f>
        <v>x</v>
      </c>
      <c r="K79" s="155" t="str">
        <f>IF('AW Schulen'!$K55=0,"x",F79/'AW Schulen'!$K55)</f>
        <v>x</v>
      </c>
      <c r="L79" s="156" t="str">
        <f>IF('AW Schulen'!$N55=0,"x",G79/'AW Schulen'!$N55)</f>
        <v>x</v>
      </c>
    </row>
    <row r="80" spans="1:12" ht="9" customHeight="1">
      <c r="A80" s="21" t="s">
        <v>94</v>
      </c>
      <c r="B80" s="120"/>
      <c r="C80" s="23">
        <f>[56]GtS!$H$11</f>
        <v>74</v>
      </c>
      <c r="D80" s="23">
        <f>[57]GtS!$H$11</f>
        <v>26</v>
      </c>
      <c r="E80" s="23">
        <f>[58]GtS!$H$11</f>
        <v>6</v>
      </c>
      <c r="F80" s="151">
        <f>[59]GtS!$H$11</f>
        <v>0</v>
      </c>
      <c r="G80" s="152">
        <f>[60]GtS!$H$11</f>
        <v>0</v>
      </c>
      <c r="H80" s="155">
        <f>IF('AW Schulen'!$B56=0,"x",C80/'AW Schulen'!$B56)</f>
        <v>0.80434782608695654</v>
      </c>
      <c r="I80" s="155">
        <f>IF('AW Schulen'!$E56=0,"x",D80/'AW Schulen'!$E56)</f>
        <v>0.83870967741935487</v>
      </c>
      <c r="J80" s="155">
        <f>IF('AW Schulen'!$H56=0,"x",E80/'AW Schulen'!$H56)</f>
        <v>0.8571428571428571</v>
      </c>
      <c r="K80" s="155" t="str">
        <f>IF('AW Schulen'!$K56=0,"x",F80/'AW Schulen'!$K56)</f>
        <v>x</v>
      </c>
      <c r="L80" s="156" t="str">
        <f>IF('AW Schulen'!$N56=0,"x",G80/'AW Schulen'!$N56)</f>
        <v>x</v>
      </c>
    </row>
    <row r="81" spans="1:12" ht="9" customHeight="1">
      <c r="A81" s="21" t="s">
        <v>95</v>
      </c>
      <c r="B81" s="120"/>
      <c r="C81" s="151">
        <f>[61]GtS!$H$11</f>
        <v>0</v>
      </c>
      <c r="D81" s="151">
        <f>[62]GtS!$H$11</f>
        <v>0</v>
      </c>
      <c r="E81" s="151">
        <f>[63]GtS!$H$11</f>
        <v>0</v>
      </c>
      <c r="F81" s="151">
        <f>[64]GtS!$H$11</f>
        <v>0</v>
      </c>
      <c r="G81" s="152">
        <f>[65]GtS!$H$11</f>
        <v>0</v>
      </c>
      <c r="H81" s="155" t="str">
        <f>IF('AW Schulen'!$B57=0,"x",C81/'AW Schulen'!$B57)</f>
        <v>x</v>
      </c>
      <c r="I81" s="155" t="str">
        <f>IF('AW Schulen'!$E57=0,"x",D81/'AW Schulen'!$E57)</f>
        <v>x</v>
      </c>
      <c r="J81" s="155" t="str">
        <f>IF('AW Schulen'!$H57=0,"x",E81/'AW Schulen'!$H57)</f>
        <v>x</v>
      </c>
      <c r="K81" s="155" t="str">
        <f>IF('AW Schulen'!$K57=0,"x",F81/'AW Schulen'!$K57)</f>
        <v>x</v>
      </c>
      <c r="L81" s="156" t="str">
        <f>IF('AW Schulen'!$N57=0,"x",G81/'AW Schulen'!$N57)</f>
        <v>x</v>
      </c>
    </row>
    <row r="82" spans="1:12" ht="9" customHeight="1">
      <c r="A82" s="24" t="s">
        <v>96</v>
      </c>
      <c r="B82" s="121"/>
      <c r="C82" s="26">
        <f t="shared" ref="C82:E82" si="37">SUM(C66:C81)</f>
        <v>1059</v>
      </c>
      <c r="D82" s="26">
        <f t="shared" si="37"/>
        <v>1025</v>
      </c>
      <c r="E82" s="26">
        <f t="shared" si="37"/>
        <v>988</v>
      </c>
      <c r="F82" s="26">
        <f t="shared" ref="F82:G82" si="38">SUM(F66:F81)</f>
        <v>925</v>
      </c>
      <c r="G82" s="47">
        <f t="shared" si="38"/>
        <v>863</v>
      </c>
      <c r="H82" s="157">
        <f>IF('AW Schulen'!$B58=0,"x",C82/'AW Schulen'!$B58)</f>
        <v>0.33228741763413872</v>
      </c>
      <c r="I82" s="157">
        <f>IF('AW Schulen'!$E58=0,"x",D82/'AW Schulen'!$E58)</f>
        <v>0.34109816971713808</v>
      </c>
      <c r="J82" s="157">
        <f>IF('AW Schulen'!$H58=0,"x",E82/'AW Schulen'!$H58)</f>
        <v>0.34642356241234223</v>
      </c>
      <c r="K82" s="157">
        <f>IF('AW Schulen'!$K58=0,"x",F82/'AW Schulen'!$K58)</f>
        <v>0.34183296378418332</v>
      </c>
      <c r="L82" s="158">
        <f>IF('AW Schulen'!$N58=0,"x",G82/'AW Schulen'!$N58)</f>
        <v>0.35238873009391586</v>
      </c>
    </row>
    <row r="83" spans="1:12" ht="18.75" customHeight="1">
      <c r="A83" s="396" t="s">
        <v>312</v>
      </c>
      <c r="B83" s="396"/>
      <c r="C83" s="396"/>
      <c r="D83" s="396"/>
      <c r="E83" s="396"/>
      <c r="F83" s="396"/>
      <c r="G83" s="396"/>
      <c r="H83" s="396"/>
      <c r="I83" s="396"/>
      <c r="J83" s="396"/>
      <c r="K83" s="396"/>
      <c r="L83" s="396"/>
    </row>
    <row r="84" spans="1:12" ht="10.15" customHeight="1">
      <c r="A84" s="214" t="s">
        <v>101</v>
      </c>
    </row>
  </sheetData>
  <mergeCells count="8">
    <mergeCell ref="A83:L83"/>
    <mergeCell ref="A1:L1"/>
    <mergeCell ref="A65:L65"/>
    <mergeCell ref="H9:L9"/>
    <mergeCell ref="C9:G9"/>
    <mergeCell ref="A11:L11"/>
    <mergeCell ref="A47:L47"/>
    <mergeCell ref="A29:L29"/>
  </mergeCells>
  <phoneticPr fontId="18" type="noConversion"/>
  <conditionalFormatting sqref="N25">
    <cfRule type="cellIs" dxfId="53"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4"/>
  <sheetViews>
    <sheetView view="pageBreakPreview" topLeftCell="A52" zoomScale="160" zoomScaleNormal="140" zoomScaleSheetLayoutView="16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'2.2.3'!A1:G1+1</f>
        <v>18</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2.6" customHeight="1">
      <c r="A5" s="13" t="s">
        <v>23</v>
      </c>
      <c r="B5" s="39" t="s">
        <v>13</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C28" si="0">SUM(C30+C48+C66)</f>
        <v>0</v>
      </c>
      <c r="D12" s="149">
        <f t="shared" ref="D12:E12" si="1">SUM(D30+D48+D66)</f>
        <v>0</v>
      </c>
      <c r="E12" s="149">
        <f t="shared" si="1"/>
        <v>0</v>
      </c>
      <c r="F12" s="149">
        <f t="shared" ref="F12:G12" si="2">SUM(F30+F48+F66)</f>
        <v>0</v>
      </c>
      <c r="G12" s="150">
        <f t="shared" si="2"/>
        <v>0</v>
      </c>
      <c r="H12" s="153" t="str">
        <f>IF('AW Schulen'!$B60=0,"x",C12/'AW Schulen'!$B60)</f>
        <v>x</v>
      </c>
      <c r="I12" s="153" t="str">
        <f>IF('AW Schulen'!$E60=0,"x",D12/'AW Schulen'!$E60)</f>
        <v>x</v>
      </c>
      <c r="J12" s="153" t="str">
        <f>IF('AW Schulen'!$H60=0,"x",E12/'AW Schulen'!$H60)</f>
        <v>x</v>
      </c>
      <c r="K12" s="153" t="str">
        <f>IF('AW Schulen'!$K60=0,"x",F12/'AW Schulen'!$K60)</f>
        <v>x</v>
      </c>
      <c r="L12" s="154" t="str">
        <f>IF('AW Schulen'!$N60=0,"x",G12/'AW Schulen'!$N60)</f>
        <v>x</v>
      </c>
    </row>
    <row r="13" spans="1:13" ht="9" customHeight="1">
      <c r="A13" s="21" t="s">
        <v>81</v>
      </c>
      <c r="B13" s="120"/>
      <c r="C13" s="149">
        <f t="shared" si="0"/>
        <v>0</v>
      </c>
      <c r="D13" s="149">
        <f t="shared" ref="D13:E13" si="3">SUM(D31+D49+D67)</f>
        <v>0</v>
      </c>
      <c r="E13" s="149">
        <f t="shared" si="3"/>
        <v>0</v>
      </c>
      <c r="F13" s="149" t="e">
        <f t="shared" ref="F13:G13" si="4">SUM(F31+F49+F67)</f>
        <v>#VALUE!</v>
      </c>
      <c r="G13" s="150">
        <f t="shared" si="4"/>
        <v>0</v>
      </c>
      <c r="H13" s="153" t="str">
        <f>IF('AW Schulen'!$B61=0,"x",C13/'AW Schulen'!$B61)</f>
        <v>x</v>
      </c>
      <c r="I13" s="153" t="str">
        <f>IF('AW Schulen'!$E61=0,"x",D13/'AW Schulen'!$E61)</f>
        <v>x</v>
      </c>
      <c r="J13" s="153" t="str">
        <f>IF('AW Schulen'!$H61=0,"x",E13/'AW Schulen'!$H61)</f>
        <v>x</v>
      </c>
      <c r="K13" s="153" t="e">
        <f>IF('AW Schulen'!$K61=0,"x",F13/'AW Schulen'!$K61)</f>
        <v>#VALUE!</v>
      </c>
      <c r="L13" s="154" t="str">
        <f>IF('AW Schulen'!$N61=0,"x",G13/'AW Schulen'!$N61)</f>
        <v>x</v>
      </c>
    </row>
    <row r="14" spans="1:13" ht="9" customHeight="1">
      <c r="A14" s="21" t="s">
        <v>82</v>
      </c>
      <c r="B14" s="120"/>
      <c r="C14" s="149">
        <f t="shared" si="0"/>
        <v>0</v>
      </c>
      <c r="D14" s="149">
        <f t="shared" ref="D14:E14" si="5">SUM(D32+D50+D68)</f>
        <v>0</v>
      </c>
      <c r="E14" s="149">
        <f t="shared" si="5"/>
        <v>0</v>
      </c>
      <c r="F14" s="149">
        <f t="shared" ref="F14:G14" si="6">SUM(F32+F50+F68)</f>
        <v>0</v>
      </c>
      <c r="G14" s="150">
        <f t="shared" si="6"/>
        <v>0</v>
      </c>
      <c r="H14" s="153" t="str">
        <f>IF('AW Schulen'!$B62=0,"x",C14/'AW Schulen'!$B62)</f>
        <v>x</v>
      </c>
      <c r="I14" s="153" t="str">
        <f>IF('AW Schulen'!$E62=0,"x",D14/'AW Schulen'!$E62)</f>
        <v>x</v>
      </c>
      <c r="J14" s="153" t="str">
        <f>IF('AW Schulen'!$H62=0,"x",E14/'AW Schulen'!$H62)</f>
        <v>x</v>
      </c>
      <c r="K14" s="153" t="str">
        <f>IF('AW Schulen'!$K62=0,"x",F14/'AW Schulen'!$K62)</f>
        <v>x</v>
      </c>
      <c r="L14" s="154" t="str">
        <f>IF('AW Schulen'!$N62=0,"x",G14/'AW Schulen'!$N62)</f>
        <v>x</v>
      </c>
    </row>
    <row r="15" spans="1:13" ht="9" customHeight="1">
      <c r="A15" s="21" t="s">
        <v>83</v>
      </c>
      <c r="B15" s="120"/>
      <c r="C15" s="42">
        <f t="shared" si="0"/>
        <v>93</v>
      </c>
      <c r="D15" s="42">
        <f t="shared" ref="D15:E15" si="7">SUM(D33+D51+D69)</f>
        <v>93</v>
      </c>
      <c r="E15" s="42">
        <f t="shared" si="7"/>
        <v>94</v>
      </c>
      <c r="F15" s="42">
        <f t="shared" ref="F15:G15" si="8">SUM(F33+F51+F69)</f>
        <v>94</v>
      </c>
      <c r="G15" s="44">
        <f t="shared" si="8"/>
        <v>94</v>
      </c>
      <c r="H15" s="153">
        <f>IF('AW Schulen'!$B63=0,"x",C15/'AW Schulen'!$B63)</f>
        <v>0.77500000000000002</v>
      </c>
      <c r="I15" s="153">
        <f>IF('AW Schulen'!$E63=0,"x",D15/'AW Schulen'!$E63)</f>
        <v>0.78151260504201681</v>
      </c>
      <c r="J15" s="153">
        <f>IF('AW Schulen'!$H63=0,"x",E15/'AW Schulen'!$H63)</f>
        <v>0.78991596638655459</v>
      </c>
      <c r="K15" s="153">
        <f>IF('AW Schulen'!$K63=0,"x",F15/'AW Schulen'!$K63)</f>
        <v>0.78991596638655459</v>
      </c>
      <c r="L15" s="154">
        <f>IF('AW Schulen'!$N63=0,"x",G15/'AW Schulen'!$N63)</f>
        <v>0.78991596638655459</v>
      </c>
    </row>
    <row r="16" spans="1:13" ht="9" customHeight="1">
      <c r="A16" s="21" t="s">
        <v>84</v>
      </c>
      <c r="B16" s="120"/>
      <c r="C16" s="42">
        <f t="shared" si="0"/>
        <v>5</v>
      </c>
      <c r="D16" s="42">
        <f t="shared" ref="D16:E16" si="9">SUM(D34+D52+D70)</f>
        <v>2</v>
      </c>
      <c r="E16" s="42">
        <f t="shared" si="9"/>
        <v>1</v>
      </c>
      <c r="F16" s="42">
        <f t="shared" ref="F16:G16" si="10">SUM(F34+F52+F70)</f>
        <v>5</v>
      </c>
      <c r="G16" s="44">
        <f t="shared" si="10"/>
        <v>0</v>
      </c>
      <c r="H16" s="153">
        <f>IF('AW Schulen'!$B64=0,"x",C16/'AW Schulen'!$B64)</f>
        <v>0.21739130434782608</v>
      </c>
      <c r="I16" s="153">
        <f>IF('AW Schulen'!$E64=0,"x",D16/'AW Schulen'!$E64)</f>
        <v>8.6956521739130432E-2</v>
      </c>
      <c r="J16" s="153">
        <f>IF('AW Schulen'!$H64=0,"x",E16/'AW Schulen'!$H64)</f>
        <v>5.8823529411764705E-2</v>
      </c>
      <c r="K16" s="153">
        <f>IF('AW Schulen'!$K64=0,"x",F16/'AW Schulen'!$K64)</f>
        <v>0.5</v>
      </c>
      <c r="L16" s="154" t="str">
        <f>IF('AW Schulen'!$N64=0,"x",G16/'AW Schulen'!$N64)</f>
        <v>x</v>
      </c>
    </row>
    <row r="17" spans="1:12" ht="9" customHeight="1">
      <c r="A17" s="21" t="s">
        <v>85</v>
      </c>
      <c r="B17" s="120"/>
      <c r="C17" s="42">
        <f t="shared" si="0"/>
        <v>15</v>
      </c>
      <c r="D17" s="149">
        <f t="shared" ref="D17:E17" si="11">SUM(D35+D53+D71)</f>
        <v>0</v>
      </c>
      <c r="E17" s="149">
        <f t="shared" si="11"/>
        <v>0</v>
      </c>
      <c r="F17" s="149">
        <f t="shared" ref="F17:G17" si="12">SUM(F35+F53+F71)</f>
        <v>0</v>
      </c>
      <c r="G17" s="150">
        <f t="shared" si="12"/>
        <v>0</v>
      </c>
      <c r="H17" s="153">
        <f>IF('AW Schulen'!$B65=0,"x",C17/'AW Schulen'!$B65)</f>
        <v>0.45454545454545453</v>
      </c>
      <c r="I17" s="153" t="str">
        <f>IF('AW Schulen'!$E65=0,"x",D17/'AW Schulen'!$E65)</f>
        <v>x</v>
      </c>
      <c r="J17" s="153" t="str">
        <f>IF('AW Schulen'!$H65=0,"x",E17/'AW Schulen'!$H65)</f>
        <v>x</v>
      </c>
      <c r="K17" s="153" t="str">
        <f>IF('AW Schulen'!$K65=0,"x",F17/'AW Schulen'!$K65)</f>
        <v>x</v>
      </c>
      <c r="L17" s="154" t="str">
        <f>IF('AW Schulen'!$N65=0,"x",G17/'AW Schulen'!$N65)</f>
        <v>x</v>
      </c>
    </row>
    <row r="18" spans="1:12" ht="9" customHeight="1">
      <c r="A18" s="21" t="s">
        <v>86</v>
      </c>
      <c r="B18" s="120"/>
      <c r="C18" s="149">
        <f t="shared" si="0"/>
        <v>18</v>
      </c>
      <c r="D18" s="149">
        <f t="shared" ref="D18:E18" si="13">SUM(D36+D54+D72)</f>
        <v>22</v>
      </c>
      <c r="E18" s="149">
        <f t="shared" si="13"/>
        <v>19</v>
      </c>
      <c r="F18" s="149">
        <f t="shared" ref="F18:G18" si="14">SUM(F36+F54+F72)</f>
        <v>19</v>
      </c>
      <c r="G18" s="150">
        <f t="shared" si="14"/>
        <v>19</v>
      </c>
      <c r="H18" s="153">
        <f>IF('AW Schulen'!$B66=0,"x",C18/'AW Schulen'!$B66)</f>
        <v>0.9</v>
      </c>
      <c r="I18" s="153">
        <f>IF('AW Schulen'!$E66=0,"x",D18/'AW Schulen'!$E66)</f>
        <v>1</v>
      </c>
      <c r="J18" s="153">
        <f>IF('AW Schulen'!$H66=0,"x",E18/'AW Schulen'!$H66)</f>
        <v>1</v>
      </c>
      <c r="K18" s="153">
        <f>IF('AW Schulen'!$K66=0,"x",F18/'AW Schulen'!$K66)</f>
        <v>1</v>
      </c>
      <c r="L18" s="154">
        <f>IF('AW Schulen'!$N66=0,"x",G18/'AW Schulen'!$N66)</f>
        <v>1</v>
      </c>
    </row>
    <row r="19" spans="1:12" ht="9" customHeight="1">
      <c r="A19" s="21" t="s">
        <v>87</v>
      </c>
      <c r="B19" s="120"/>
      <c r="C19" s="42">
        <f t="shared" si="0"/>
        <v>133</v>
      </c>
      <c r="D19" s="42">
        <f t="shared" ref="D19:E19" si="15">SUM(D37+D55+D73)</f>
        <v>130</v>
      </c>
      <c r="E19" s="42">
        <f t="shared" si="15"/>
        <v>127</v>
      </c>
      <c r="F19" s="42">
        <f t="shared" ref="F19:G19" si="16">SUM(F37+F55+F73)</f>
        <v>132</v>
      </c>
      <c r="G19" s="44">
        <f t="shared" si="16"/>
        <v>132</v>
      </c>
      <c r="H19" s="153">
        <f>IF('AW Schulen'!$B67=0,"x",C19/'AW Schulen'!$B67)</f>
        <v>0.86363636363636365</v>
      </c>
      <c r="I19" s="153">
        <f>IF('AW Schulen'!$E67=0,"x",D19/'AW Schulen'!$E67)</f>
        <v>0.8441558441558441</v>
      </c>
      <c r="J19" s="153">
        <f>IF('AW Schulen'!$H67=0,"x",E19/'AW Schulen'!$H67)</f>
        <v>0.8193548387096774</v>
      </c>
      <c r="K19" s="153">
        <f>IF('AW Schulen'!$K67=0,"x",F19/'AW Schulen'!$K67)</f>
        <v>0.8571428571428571</v>
      </c>
      <c r="L19" s="154">
        <f>IF('AW Schulen'!$N67=0,"x",G19/'AW Schulen'!$N67)</f>
        <v>0.85161290322580641</v>
      </c>
    </row>
    <row r="20" spans="1:12" ht="9" customHeight="1">
      <c r="A20" s="21" t="s">
        <v>185</v>
      </c>
      <c r="B20" s="120"/>
      <c r="C20" s="149">
        <f t="shared" si="0"/>
        <v>180</v>
      </c>
      <c r="D20" s="149">
        <f t="shared" ref="D20:E20" si="17">SUM(D38+D56+D74)</f>
        <v>208</v>
      </c>
      <c r="E20" s="149">
        <f t="shared" si="17"/>
        <v>245</v>
      </c>
      <c r="F20" s="149">
        <f t="shared" ref="F20:G20" si="18">SUM(F38+F56+F74)</f>
        <v>306</v>
      </c>
      <c r="G20" s="150">
        <f t="shared" si="18"/>
        <v>359</v>
      </c>
      <c r="H20" s="153">
        <f>IF('AW Schulen'!$B68=0,"x",C20/'AW Schulen'!$B68)</f>
        <v>0.87804878048780488</v>
      </c>
      <c r="I20" s="153">
        <f>IF('AW Schulen'!$E68=0,"x",D20/'AW Schulen'!$E68)</f>
        <v>0.93693693693693691</v>
      </c>
      <c r="J20" s="153">
        <f>IF('AW Schulen'!$H68=0,"x",E20/'AW Schulen'!$H68)</f>
        <v>0.953307392996109</v>
      </c>
      <c r="K20" s="153">
        <f>IF('AW Schulen'!$K68=0,"x",F20/'AW Schulen'!$K68)</f>
        <v>0.93009118541033431</v>
      </c>
      <c r="L20" s="154">
        <f>IF('AW Schulen'!$N68=0,"x",G20/'AW Schulen'!$N68)</f>
        <v>0.90886075949367084</v>
      </c>
    </row>
    <row r="21" spans="1:12" ht="9" customHeight="1">
      <c r="A21" s="21" t="s">
        <v>89</v>
      </c>
      <c r="B21" s="120"/>
      <c r="C21" s="149">
        <f t="shared" si="0"/>
        <v>51</v>
      </c>
      <c r="D21" s="149">
        <f t="shared" ref="D21:E21" si="19">SUM(D39+D57+D75)</f>
        <v>88</v>
      </c>
      <c r="E21" s="149">
        <f t="shared" si="19"/>
        <v>110</v>
      </c>
      <c r="F21" s="149">
        <f t="shared" ref="F21:G21" si="20">SUM(F39+F57+F75)</f>
        <v>115</v>
      </c>
      <c r="G21" s="150">
        <f t="shared" si="20"/>
        <v>115</v>
      </c>
      <c r="H21" s="153">
        <f>IF('AW Schulen'!$B69=0,"x",C21/'AW Schulen'!$B69)</f>
        <v>1</v>
      </c>
      <c r="I21" s="153">
        <f>IF('AW Schulen'!$E69=0,"x",D21/'AW Schulen'!$E69)</f>
        <v>1</v>
      </c>
      <c r="J21" s="153">
        <f>IF('AW Schulen'!$H69=0,"x",E21/'AW Schulen'!$H69)</f>
        <v>1</v>
      </c>
      <c r="K21" s="153">
        <f>IF('AW Schulen'!$K69=0,"x",F21/'AW Schulen'!$K69)</f>
        <v>1</v>
      </c>
      <c r="L21" s="154">
        <f>IF('AW Schulen'!$N69=0,"x",G21/'AW Schulen'!$N69)</f>
        <v>1</v>
      </c>
    </row>
    <row r="22" spans="1:12" ht="9" customHeight="1">
      <c r="A22" s="21" t="s">
        <v>90</v>
      </c>
      <c r="B22" s="120"/>
      <c r="C22" s="42">
        <f t="shared" si="0"/>
        <v>151</v>
      </c>
      <c r="D22" s="42">
        <f t="shared" ref="D22:E22" si="21">SUM(D40+D58+D76)</f>
        <v>150</v>
      </c>
      <c r="E22" s="42">
        <f t="shared" si="21"/>
        <v>147</v>
      </c>
      <c r="F22" s="42">
        <f t="shared" ref="F22:G22" si="22">SUM(F40+F58+F76)</f>
        <v>142</v>
      </c>
      <c r="G22" s="44">
        <f t="shared" si="22"/>
        <v>139</v>
      </c>
      <c r="H22" s="153">
        <f>IF('AW Schulen'!$B70=0,"x",C22/'AW Schulen'!$B70)</f>
        <v>0.77435897435897438</v>
      </c>
      <c r="I22" s="153">
        <f>IF('AW Schulen'!$E70=0,"x",D22/'AW Schulen'!$E70)</f>
        <v>0.77319587628865982</v>
      </c>
      <c r="J22" s="153">
        <f>IF('AW Schulen'!$H70=0,"x",E22/'AW Schulen'!$H70)</f>
        <v>0.77777777777777779</v>
      </c>
      <c r="K22" s="153">
        <f>IF('AW Schulen'!$K70=0,"x",F22/'AW Schulen'!$K70)</f>
        <v>0.78021978021978022</v>
      </c>
      <c r="L22" s="154">
        <f>IF('AW Schulen'!$N70=0,"x",G22/'AW Schulen'!$N70)</f>
        <v>0.77222222222222225</v>
      </c>
    </row>
    <row r="23" spans="1:12" ht="9" customHeight="1">
      <c r="A23" s="21" t="s">
        <v>91</v>
      </c>
      <c r="B23" s="120"/>
      <c r="C23" s="42">
        <f t="shared" si="0"/>
        <v>47</v>
      </c>
      <c r="D23" s="42">
        <f t="shared" ref="D23:E23" si="23">SUM(D41+D59+D77)</f>
        <v>47</v>
      </c>
      <c r="E23" s="149">
        <f t="shared" si="23"/>
        <v>0</v>
      </c>
      <c r="F23" s="149">
        <f t="shared" ref="F23:G23" si="24">SUM(F41+F59+F77)</f>
        <v>0</v>
      </c>
      <c r="G23" s="150">
        <f t="shared" si="24"/>
        <v>0</v>
      </c>
      <c r="H23" s="153">
        <f>IF('AW Schulen'!$B71=0,"x",C23/'AW Schulen'!$B71)</f>
        <v>1</v>
      </c>
      <c r="I23" s="153">
        <f>IF('AW Schulen'!$E71=0,"x",D23/'AW Schulen'!$E71)</f>
        <v>1</v>
      </c>
      <c r="J23" s="153" t="str">
        <f>IF('AW Schulen'!$H71=0,"x",E23/'AW Schulen'!$H71)</f>
        <v>x</v>
      </c>
      <c r="K23" s="153" t="str">
        <f>IF('AW Schulen'!$K71=0,"x",F23/'AW Schulen'!$K71)</f>
        <v>x</v>
      </c>
      <c r="L23" s="154" t="str">
        <f>IF('AW Schulen'!$N71=0,"x",G23/'AW Schulen'!$N71)</f>
        <v>x</v>
      </c>
    </row>
    <row r="24" spans="1:12" ht="9" customHeight="1">
      <c r="A24" s="21" t="s">
        <v>92</v>
      </c>
      <c r="B24" s="120"/>
      <c r="C24" s="42">
        <f t="shared" si="0"/>
        <v>269</v>
      </c>
      <c r="D24" s="42">
        <f t="shared" ref="D24:E24" si="25">SUM(D42+D60+D78)</f>
        <v>270</v>
      </c>
      <c r="E24" s="42">
        <f t="shared" si="25"/>
        <v>271</v>
      </c>
      <c r="F24" s="42">
        <f t="shared" ref="F24:G24" si="26">SUM(F42+F60+F78)</f>
        <v>274</v>
      </c>
      <c r="G24" s="44">
        <f t="shared" si="26"/>
        <v>273</v>
      </c>
      <c r="H24" s="153">
        <f>IF('AW Schulen'!$B72=0,"x",C24/'AW Schulen'!$B72)</f>
        <v>0.96762589928057552</v>
      </c>
      <c r="I24" s="153">
        <f>IF('AW Schulen'!$E72=0,"x",D24/'AW Schulen'!$E72)</f>
        <v>0.97122302158273377</v>
      </c>
      <c r="J24" s="153">
        <f>IF('AW Schulen'!$H72=0,"x",E24/'AW Schulen'!$H72)</f>
        <v>0.97482014388489213</v>
      </c>
      <c r="K24" s="153">
        <f>IF('AW Schulen'!$K72=0,"x",F24/'AW Schulen'!$K72)</f>
        <v>0.98207885304659504</v>
      </c>
      <c r="L24" s="154">
        <f>IF('AW Schulen'!$N72=0,"x",G24/'AW Schulen'!$N72)</f>
        <v>0.978494623655914</v>
      </c>
    </row>
    <row r="25" spans="1:12" ht="9" customHeight="1">
      <c r="A25" s="21" t="s">
        <v>93</v>
      </c>
      <c r="B25" s="120"/>
      <c r="C25" s="42">
        <f t="shared" si="0"/>
        <v>67</v>
      </c>
      <c r="D25" s="42">
        <f t="shared" ref="D25:E25" si="27">SUM(D43+D61+D79)</f>
        <v>73</v>
      </c>
      <c r="E25" s="42">
        <f t="shared" si="27"/>
        <v>70</v>
      </c>
      <c r="F25" s="42">
        <f t="shared" ref="F25:G25" si="28">SUM(F43+F61+F79)</f>
        <v>64</v>
      </c>
      <c r="G25" s="44">
        <f t="shared" si="28"/>
        <v>61</v>
      </c>
      <c r="H25" s="153">
        <f>IF('AW Schulen'!$B73=0,"x",C25/'AW Schulen'!$B73)</f>
        <v>0.44078947368421051</v>
      </c>
      <c r="I25" s="153">
        <f>IF('AW Schulen'!$E73=0,"x",D25/'AW Schulen'!$E73)</f>
        <v>0.48026315789473684</v>
      </c>
      <c r="J25" s="153">
        <f>IF('AW Schulen'!$H73=0,"x",E25/'AW Schulen'!$H73)</f>
        <v>0.51470588235294112</v>
      </c>
      <c r="K25" s="153">
        <f>IF('AW Schulen'!$K73=0,"x",F25/'AW Schulen'!$K73)</f>
        <v>0.50793650793650791</v>
      </c>
      <c r="L25" s="154">
        <f>IF('AW Schulen'!$N73=0,"x",G25/'AW Schulen'!$N73)</f>
        <v>0.50413223140495866</v>
      </c>
    </row>
    <row r="26" spans="1:12" ht="9" customHeight="1">
      <c r="A26" s="21" t="s">
        <v>94</v>
      </c>
      <c r="B26" s="120"/>
      <c r="C26" s="42">
        <f t="shared" si="0"/>
        <v>52</v>
      </c>
      <c r="D26" s="42">
        <f t="shared" ref="D26:E26" si="29">SUM(D44+D62+D80)</f>
        <v>54</v>
      </c>
      <c r="E26" s="42">
        <f t="shared" si="29"/>
        <v>54</v>
      </c>
      <c r="F26" s="42">
        <f t="shared" ref="F26:G26" si="30">SUM(F44+F62+F80)</f>
        <v>59</v>
      </c>
      <c r="G26" s="44">
        <f t="shared" si="30"/>
        <v>57</v>
      </c>
      <c r="H26" s="153">
        <f>IF('AW Schulen'!$B74=0,"x",C26/'AW Schulen'!$B74)</f>
        <v>0.68421052631578949</v>
      </c>
      <c r="I26" s="153">
        <f>IF('AW Schulen'!$E74=0,"x",D26/'AW Schulen'!$E74)</f>
        <v>0.72</v>
      </c>
      <c r="J26" s="153">
        <f>IF('AW Schulen'!$H74=0,"x",E26/'AW Schulen'!$H74)</f>
        <v>0.78260869565217395</v>
      </c>
      <c r="K26" s="153">
        <f>IF('AW Schulen'!$K74=0,"x",F26/'AW Schulen'!$K74)</f>
        <v>0.90769230769230769</v>
      </c>
      <c r="L26" s="154">
        <f>IF('AW Schulen'!$N74=0,"x",G26/'AW Schulen'!$N74)</f>
        <v>0.90476190476190477</v>
      </c>
    </row>
    <row r="27" spans="1:12" ht="9" customHeight="1">
      <c r="A27" s="21" t="s">
        <v>95</v>
      </c>
      <c r="B27" s="120"/>
      <c r="C27" s="42">
        <f t="shared" si="0"/>
        <v>90</v>
      </c>
      <c r="D27" s="42">
        <f t="shared" ref="D27:E27" si="31">SUM(D45+D63+D81)</f>
        <v>83</v>
      </c>
      <c r="E27" s="42">
        <f t="shared" si="31"/>
        <v>80</v>
      </c>
      <c r="F27" s="42">
        <f t="shared" ref="F27:G27" si="32">SUM(F45+F63+F81)</f>
        <v>76</v>
      </c>
      <c r="G27" s="44">
        <f t="shared" si="32"/>
        <v>66</v>
      </c>
      <c r="H27" s="153">
        <f>IF('AW Schulen'!$B75=0,"x",C27/'AW Schulen'!$B75)</f>
        <v>0.40909090909090912</v>
      </c>
      <c r="I27" s="153">
        <f>IF('AW Schulen'!$E75=0,"x",D27/'AW Schulen'!$E75)</f>
        <v>0.38604651162790699</v>
      </c>
      <c r="J27" s="153">
        <f>IF('AW Schulen'!$H75=0,"x",E27/'AW Schulen'!$H75)</f>
        <v>0.38277511961722488</v>
      </c>
      <c r="K27" s="153">
        <f>IF('AW Schulen'!$K75=0,"x",F27/'AW Schulen'!$K75)</f>
        <v>0.37623762376237624</v>
      </c>
      <c r="L27" s="154">
        <f>IF('AW Schulen'!$N75=0,"x",G27/'AW Schulen'!$N75)</f>
        <v>0.34196891191709844</v>
      </c>
    </row>
    <row r="28" spans="1:12" ht="9" customHeight="1">
      <c r="A28" s="21" t="s">
        <v>96</v>
      </c>
      <c r="B28" s="120"/>
      <c r="C28" s="42">
        <f t="shared" si="0"/>
        <v>1171</v>
      </c>
      <c r="D28" s="42">
        <f t="shared" ref="D28:E28" si="33">SUM(D46+D64+D82)</f>
        <v>1220</v>
      </c>
      <c r="E28" s="42">
        <f t="shared" si="33"/>
        <v>1218</v>
      </c>
      <c r="F28" s="42">
        <f t="shared" ref="F28:G28" si="34">SUM(F46+F64+F82)</f>
        <v>1286</v>
      </c>
      <c r="G28" s="44">
        <f t="shared" si="34"/>
        <v>1315</v>
      </c>
      <c r="H28" s="153">
        <f>IF('AW Schulen'!$B76=0,"x",C28/'AW Schulen'!$B76)</f>
        <v>0.74396442185514611</v>
      </c>
      <c r="I28" s="153">
        <f>IF('AW Schulen'!$E76=0,"x",D28/'AW Schulen'!$E76)</f>
        <v>0.76777847702957835</v>
      </c>
      <c r="J28" s="153">
        <f>IF('AW Schulen'!$H76=0,"x",E28/'AW Schulen'!$H76)</f>
        <v>0.78177150192554556</v>
      </c>
      <c r="K28" s="153">
        <f>IF('AW Schulen'!$K76=0,"x",F28/'AW Schulen'!$K76)</f>
        <v>0.80374999999999996</v>
      </c>
      <c r="L28" s="154">
        <f>IF('AW Schulen'!$N76=0,"x",G28/'AW Schulen'!$N76)</f>
        <v>0.80231848688224527</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151">
        <f>[1]GtS!$F$12</f>
        <v>0</v>
      </c>
      <c r="D30" s="151">
        <f>[2]GtS!$F$12</f>
        <v>0</v>
      </c>
      <c r="E30" s="151">
        <f>[3]GtS!$F$12</f>
        <v>0</v>
      </c>
      <c r="F30" s="151">
        <f>[4]GtS!$F$12</f>
        <v>0</v>
      </c>
      <c r="G30" s="152">
        <f>[5]GtS!$F$12</f>
        <v>0</v>
      </c>
      <c r="H30" s="155" t="str">
        <f>IF('AW Schulen'!$B60=0,"x",C30/'AW Schulen'!$B60)</f>
        <v>x</v>
      </c>
      <c r="I30" s="155" t="str">
        <f>IF('AW Schulen'!$E60=0,"x",D30/'AW Schulen'!$E60)</f>
        <v>x</v>
      </c>
      <c r="J30" s="155" t="str">
        <f>IF('AW Schulen'!$H60=0,"x",E30/'AW Schulen'!$H60)</f>
        <v>x</v>
      </c>
      <c r="K30" s="155" t="str">
        <f>IF('AW Schulen'!$K60=0,"x",F30/'AW Schulen'!$K60)</f>
        <v>x</v>
      </c>
      <c r="L30" s="156" t="str">
        <f>IF('AW Schulen'!$N60=0,"x",G30/'AW Schulen'!$N60)</f>
        <v>x</v>
      </c>
    </row>
    <row r="31" spans="1:12" ht="9" customHeight="1">
      <c r="A31" s="21" t="s">
        <v>81</v>
      </c>
      <c r="B31" s="120"/>
      <c r="C31" s="151">
        <f>[6]GtS!$F$12</f>
        <v>0</v>
      </c>
      <c r="D31" s="151">
        <f>[7]GtS!$F$12</f>
        <v>0</v>
      </c>
      <c r="E31" s="151">
        <f>[8]GtS!$F$12</f>
        <v>0</v>
      </c>
      <c r="F31" s="151" t="str">
        <f>[9]GtS!$F$12</f>
        <v xml:space="preserve">                                      -   </v>
      </c>
      <c r="G31" s="152">
        <f>[10]GtS!$F$12</f>
        <v>0</v>
      </c>
      <c r="H31" s="155" t="str">
        <f>IF('AW Schulen'!$B61=0,"x",C31/'AW Schulen'!$B61)</f>
        <v>x</v>
      </c>
      <c r="I31" s="155" t="str">
        <f>IF('AW Schulen'!$E61=0,"x",D31/'AW Schulen'!$E61)</f>
        <v>x</v>
      </c>
      <c r="J31" s="155" t="str">
        <f>IF('AW Schulen'!$H61=0,"x",E31/'AW Schulen'!$H61)</f>
        <v>x</v>
      </c>
      <c r="K31" s="155" t="e">
        <f>IF('AW Schulen'!$K61=0,"x",F31/'AW Schulen'!$K61)</f>
        <v>#VALUE!</v>
      </c>
      <c r="L31" s="156" t="str">
        <f>IF('AW Schulen'!$N61=0,"x",G31/'AW Schulen'!$N61)</f>
        <v>x</v>
      </c>
    </row>
    <row r="32" spans="1:12" ht="9" customHeight="1">
      <c r="A32" s="21" t="s">
        <v>82</v>
      </c>
      <c r="B32" s="120"/>
      <c r="C32" s="151">
        <f>[11]GtS!$F$12</f>
        <v>0</v>
      </c>
      <c r="D32" s="151">
        <f>[12]GtS!$F$12</f>
        <v>0</v>
      </c>
      <c r="E32" s="151">
        <f>[13]GtS!$F$12</f>
        <v>0</v>
      </c>
      <c r="F32" s="151">
        <f>[14]GtS!$F$12</f>
        <v>0</v>
      </c>
      <c r="G32" s="152">
        <f>[15]GtS!$F$12</f>
        <v>0</v>
      </c>
      <c r="H32" s="155" t="str">
        <f>IF('AW Schulen'!$B62=0,"x",C32/'AW Schulen'!$B62)</f>
        <v>x</v>
      </c>
      <c r="I32" s="155" t="str">
        <f>IF('AW Schulen'!$E62=0,"x",D32/'AW Schulen'!$E62)</f>
        <v>x</v>
      </c>
      <c r="J32" s="155" t="str">
        <f>IF('AW Schulen'!$H62=0,"x",E32/'AW Schulen'!$H62)</f>
        <v>x</v>
      </c>
      <c r="K32" s="155" t="str">
        <f>IF('AW Schulen'!$K62=0,"x",F32/'AW Schulen'!$K62)</f>
        <v>x</v>
      </c>
      <c r="L32" s="156" t="str">
        <f>IF('AW Schulen'!$N62=0,"x",G32/'AW Schulen'!$N62)</f>
        <v>x</v>
      </c>
    </row>
    <row r="33" spans="1:12" ht="9" customHeight="1">
      <c r="A33" s="21" t="s">
        <v>83</v>
      </c>
      <c r="B33" s="120"/>
      <c r="C33" s="23">
        <f>[16]GtS!$F$12</f>
        <v>48</v>
      </c>
      <c r="D33" s="23">
        <f>[17]GtS!$F$12</f>
        <v>49</v>
      </c>
      <c r="E33" s="23">
        <f>[18]GtS!$F$12</f>
        <v>49</v>
      </c>
      <c r="F33" s="23">
        <f>[19]GtS!$F$12</f>
        <v>50</v>
      </c>
      <c r="G33" s="34">
        <f>[20]GtS!$F$12</f>
        <v>51</v>
      </c>
      <c r="H33" s="155">
        <f>IF('AW Schulen'!$B63=0,"x",C33/'AW Schulen'!$B63)</f>
        <v>0.4</v>
      </c>
      <c r="I33" s="155">
        <f>IF('AW Schulen'!$E63=0,"x",D33/'AW Schulen'!$E63)</f>
        <v>0.41176470588235292</v>
      </c>
      <c r="J33" s="155">
        <f>IF('AW Schulen'!$H63=0,"x",E33/'AW Schulen'!$H63)</f>
        <v>0.41176470588235292</v>
      </c>
      <c r="K33" s="155">
        <f>IF('AW Schulen'!$K63=0,"x",F33/'AW Schulen'!$K63)</f>
        <v>0.42016806722689076</v>
      </c>
      <c r="L33" s="156">
        <f>IF('AW Schulen'!$N63=0,"x",G33/'AW Schulen'!$N63)</f>
        <v>0.42857142857142855</v>
      </c>
    </row>
    <row r="34" spans="1:12" ht="9" customHeight="1">
      <c r="A34" s="21" t="s">
        <v>84</v>
      </c>
      <c r="B34" s="120"/>
      <c r="C34" s="23">
        <f>[21]GtS!$F$12</f>
        <v>0</v>
      </c>
      <c r="D34" s="23">
        <f>[22]GtS!$F$12</f>
        <v>0</v>
      </c>
      <c r="E34" s="23">
        <f>[23]GtS!$F$12</f>
        <v>0</v>
      </c>
      <c r="F34" s="23">
        <f>[24]GtS!$F$12</f>
        <v>0</v>
      </c>
      <c r="G34" s="34">
        <f>[25]GtS!$F$12</f>
        <v>0</v>
      </c>
      <c r="H34" s="155">
        <f>IF('AW Schulen'!$B64=0,"x",C34/'AW Schulen'!$B64)</f>
        <v>0</v>
      </c>
      <c r="I34" s="155">
        <f>IF('AW Schulen'!$E64=0,"x",D34/'AW Schulen'!$E64)</f>
        <v>0</v>
      </c>
      <c r="J34" s="155">
        <f>IF('AW Schulen'!$H64=0,"x",E34/'AW Schulen'!$H64)</f>
        <v>0</v>
      </c>
      <c r="K34" s="155">
        <f>IF('AW Schulen'!$K64=0,"x",F34/'AW Schulen'!$K64)</f>
        <v>0</v>
      </c>
      <c r="L34" s="156" t="str">
        <f>IF('AW Schulen'!$N64=0,"x",G34/'AW Schulen'!$N64)</f>
        <v>x</v>
      </c>
    </row>
    <row r="35" spans="1:12" ht="9" customHeight="1">
      <c r="A35" s="21" t="s">
        <v>85</v>
      </c>
      <c r="B35" s="120"/>
      <c r="C35" s="23">
        <f>[26]GtS!$F$12</f>
        <v>3</v>
      </c>
      <c r="D35" s="151">
        <f>[27]GtS!$F$12</f>
        <v>0</v>
      </c>
      <c r="E35" s="151">
        <f>[28]GtS!$F$12</f>
        <v>0</v>
      </c>
      <c r="F35" s="151">
        <f>[29]GtS!$F$12</f>
        <v>0</v>
      </c>
      <c r="G35" s="152">
        <f>[30]GtS!$F$12</f>
        <v>0</v>
      </c>
      <c r="H35" s="155">
        <f>IF('AW Schulen'!$B65=0,"x",C35/'AW Schulen'!$B65)</f>
        <v>9.0909090909090912E-2</v>
      </c>
      <c r="I35" s="155" t="str">
        <f>IF('AW Schulen'!$E65=0,"x",D35/'AW Schulen'!$E65)</f>
        <v>x</v>
      </c>
      <c r="J35" s="155" t="str">
        <f>IF('AW Schulen'!$H65=0,"x",E35/'AW Schulen'!$H65)</f>
        <v>x</v>
      </c>
      <c r="K35" s="155" t="str">
        <f>IF('AW Schulen'!$K65=0,"x",F35/'AW Schulen'!$K65)</f>
        <v>x</v>
      </c>
      <c r="L35" s="156" t="str">
        <f>IF('AW Schulen'!$N65=0,"x",G35/'AW Schulen'!$N65)</f>
        <v>x</v>
      </c>
    </row>
    <row r="36" spans="1:12" ht="9" customHeight="1">
      <c r="A36" s="21" t="s">
        <v>86</v>
      </c>
      <c r="B36" s="120"/>
      <c r="C36" s="23">
        <f>[66]GtS!$F$12</f>
        <v>0</v>
      </c>
      <c r="D36" s="23">
        <f>[67]GtS!$F$12</f>
        <v>0</v>
      </c>
      <c r="E36" s="23">
        <f>[68]GtS!$F$12</f>
        <v>0</v>
      </c>
      <c r="F36" s="23">
        <f>[69]GtS!$F$12</f>
        <v>0</v>
      </c>
      <c r="G36" s="34">
        <f>[70]GtS!$F$12</f>
        <v>0</v>
      </c>
      <c r="H36" s="155">
        <f>IF('AW Schulen'!$B66=0,"x",C36/'AW Schulen'!$B66)</f>
        <v>0</v>
      </c>
      <c r="I36" s="155">
        <f>IF('AW Schulen'!$E66=0,"x",D36/'AW Schulen'!$E66)</f>
        <v>0</v>
      </c>
      <c r="J36" s="155">
        <f>IF('AW Schulen'!$H66=0,"x",E36/'AW Schulen'!$H66)</f>
        <v>0</v>
      </c>
      <c r="K36" s="155">
        <f>IF('AW Schulen'!$K66=0,"x",F36/'AW Schulen'!$K66)</f>
        <v>0</v>
      </c>
      <c r="L36" s="156">
        <f>IF('AW Schulen'!$N66=0,"x",G36/'AW Schulen'!$N66)</f>
        <v>0</v>
      </c>
    </row>
    <row r="37" spans="1:12" ht="9" customHeight="1">
      <c r="A37" s="21" t="s">
        <v>87</v>
      </c>
      <c r="B37" s="120"/>
      <c r="C37" s="23">
        <f>[31]GtS!$F$12</f>
        <v>46</v>
      </c>
      <c r="D37" s="23">
        <f>[32]GtS!$F$12</f>
        <v>49</v>
      </c>
      <c r="E37" s="23">
        <f>[33]GtS!$F$12</f>
        <v>50</v>
      </c>
      <c r="F37" s="23">
        <f>[34]GtS!$F$12</f>
        <v>55</v>
      </c>
      <c r="G37" s="34">
        <f>[35]GtS!$F$12</f>
        <v>60</v>
      </c>
      <c r="H37" s="155">
        <f>IF('AW Schulen'!$B67=0,"x",C37/'AW Schulen'!$B67)</f>
        <v>0.29870129870129869</v>
      </c>
      <c r="I37" s="155">
        <f>IF('AW Schulen'!$E67=0,"x",D37/'AW Schulen'!$E67)</f>
        <v>0.31818181818181818</v>
      </c>
      <c r="J37" s="155">
        <f>IF('AW Schulen'!$H67=0,"x",E37/'AW Schulen'!$H67)</f>
        <v>0.32258064516129031</v>
      </c>
      <c r="K37" s="155">
        <f>IF('AW Schulen'!$K67=0,"x",F37/'AW Schulen'!$K67)</f>
        <v>0.35714285714285715</v>
      </c>
      <c r="L37" s="156">
        <f>IF('AW Schulen'!$N67=0,"x",G37/'AW Schulen'!$N67)</f>
        <v>0.38709677419354838</v>
      </c>
    </row>
    <row r="38" spans="1:12" ht="9" customHeight="1">
      <c r="A38" s="21" t="s">
        <v>185</v>
      </c>
      <c r="B38" s="120"/>
      <c r="C38" s="151">
        <f>[71]GtS!$F$12</f>
        <v>1</v>
      </c>
      <c r="D38" s="151">
        <f>[72]GtS!$F$12</f>
        <v>1</v>
      </c>
      <c r="E38" s="151">
        <f>[73]GtS!$F$12</f>
        <v>2</v>
      </c>
      <c r="F38" s="151">
        <f>[74]GtS!$F$12</f>
        <v>0</v>
      </c>
      <c r="G38" s="152">
        <f>[75]GtS!$F$12</f>
        <v>0</v>
      </c>
      <c r="H38" s="155">
        <f>IF('AW Schulen'!$B68=0,"x",C38/'AW Schulen'!$B68)</f>
        <v>4.8780487804878049E-3</v>
      </c>
      <c r="I38" s="155">
        <f>IF('AW Schulen'!$E68=0,"x",D38/'AW Schulen'!$E68)</f>
        <v>4.5045045045045045E-3</v>
      </c>
      <c r="J38" s="155">
        <f>IF('AW Schulen'!$H68=0,"x",E38/'AW Schulen'!$H68)</f>
        <v>7.7821011673151752E-3</v>
      </c>
      <c r="K38" s="155">
        <f>IF('AW Schulen'!$K68=0,"x",F38/'AW Schulen'!$K68)</f>
        <v>0</v>
      </c>
      <c r="L38" s="156">
        <f>IF('AW Schulen'!$N68=0,"x",G38/'AW Schulen'!$N68)</f>
        <v>0</v>
      </c>
    </row>
    <row r="39" spans="1:12" ht="9" customHeight="1">
      <c r="A39" s="21" t="s">
        <v>89</v>
      </c>
      <c r="B39" s="120"/>
      <c r="C39" s="151">
        <f>[36]GtS!$F$12</f>
        <v>51</v>
      </c>
      <c r="D39" s="151">
        <f>[37]GtS!$F$12</f>
        <v>88</v>
      </c>
      <c r="E39" s="151">
        <f>[38]GtS!$F$12</f>
        <v>110</v>
      </c>
      <c r="F39" s="151">
        <f>[39]GtS!$F$12</f>
        <v>115</v>
      </c>
      <c r="G39" s="152">
        <f>[40]GtS!$F$12</f>
        <v>115</v>
      </c>
      <c r="H39" s="155">
        <f>IF('AW Schulen'!$B69=0,"x",C39/'AW Schulen'!$B69)</f>
        <v>1</v>
      </c>
      <c r="I39" s="155">
        <f>IF('AW Schulen'!$E69=0,"x",D39/'AW Schulen'!$E69)</f>
        <v>1</v>
      </c>
      <c r="J39" s="155">
        <f>IF('AW Schulen'!$H69=0,"x",E39/'AW Schulen'!$H69)</f>
        <v>1</v>
      </c>
      <c r="K39" s="155">
        <f>IF('AW Schulen'!$K69=0,"x",F39/'AW Schulen'!$K69)</f>
        <v>1</v>
      </c>
      <c r="L39" s="156">
        <f>IF('AW Schulen'!$N69=0,"x",G39/'AW Schulen'!$N69)</f>
        <v>1</v>
      </c>
    </row>
    <row r="40" spans="1:12" ht="9" customHeight="1">
      <c r="A40" s="21" t="s">
        <v>90</v>
      </c>
      <c r="B40" s="120"/>
      <c r="C40" s="23">
        <f>[41]GtS!$F$12</f>
        <v>0</v>
      </c>
      <c r="D40" s="23">
        <f>[42]GtS!$F$12</f>
        <v>3</v>
      </c>
      <c r="E40" s="23">
        <f>[43]GtS!$F$12</f>
        <v>1</v>
      </c>
      <c r="F40" s="23">
        <f>[44]GtS!$F$12</f>
        <v>0</v>
      </c>
      <c r="G40" s="34">
        <f>[45]GtS!$F$12</f>
        <v>0</v>
      </c>
      <c r="H40" s="155">
        <f>IF('AW Schulen'!$B70=0,"x",C40/'AW Schulen'!$B70)</f>
        <v>0</v>
      </c>
      <c r="I40" s="155">
        <f>IF('AW Schulen'!$E70=0,"x",D40/'AW Schulen'!$E70)</f>
        <v>1.5463917525773196E-2</v>
      </c>
      <c r="J40" s="155">
        <f>IF('AW Schulen'!$H70=0,"x",E40/'AW Schulen'!$H70)</f>
        <v>5.2910052910052907E-3</v>
      </c>
      <c r="K40" s="155">
        <f>IF('AW Schulen'!$K70=0,"x",F40/'AW Schulen'!$K70)</f>
        <v>0</v>
      </c>
      <c r="L40" s="156">
        <f>IF('AW Schulen'!$N70=0,"x",G40/'AW Schulen'!$N70)</f>
        <v>0</v>
      </c>
    </row>
    <row r="41" spans="1:12" ht="9" customHeight="1">
      <c r="A41" s="21" t="s">
        <v>91</v>
      </c>
      <c r="B41" s="120"/>
      <c r="C41" s="23">
        <f>[46]GtS!$F$12</f>
        <v>2</v>
      </c>
      <c r="D41" s="23">
        <f>[47]GtS!$F$12</f>
        <v>3</v>
      </c>
      <c r="E41" s="151">
        <f>[48]GtS!$F$12</f>
        <v>0</v>
      </c>
      <c r="F41" s="151">
        <f>[49]GtS!$F$12</f>
        <v>0</v>
      </c>
      <c r="G41" s="152">
        <f>[50]GtS!$F$12</f>
        <v>0</v>
      </c>
      <c r="H41" s="155">
        <f>IF('AW Schulen'!$B71=0,"x",C41/'AW Schulen'!$B71)</f>
        <v>4.2553191489361701E-2</v>
      </c>
      <c r="I41" s="155">
        <f>IF('AW Schulen'!$E71=0,"x",D41/'AW Schulen'!$E71)</f>
        <v>6.3829787234042548E-2</v>
      </c>
      <c r="J41" s="155" t="str">
        <f>IF('AW Schulen'!$H71=0,"x",E41/'AW Schulen'!$H71)</f>
        <v>x</v>
      </c>
      <c r="K41" s="155" t="str">
        <f>IF('AW Schulen'!$K71=0,"x",F41/'AW Schulen'!$K71)</f>
        <v>x</v>
      </c>
      <c r="L41" s="156" t="str">
        <f>IF('AW Schulen'!$N71=0,"x",G41/'AW Schulen'!$N71)</f>
        <v>x</v>
      </c>
    </row>
    <row r="42" spans="1:12" ht="9" customHeight="1">
      <c r="A42" s="21" t="s">
        <v>92</v>
      </c>
      <c r="B42" s="120"/>
      <c r="C42" s="23">
        <f>[51]GtS!$F$12</f>
        <v>13</v>
      </c>
      <c r="D42" s="23">
        <f>[52]GtS!$F$12</f>
        <v>10</v>
      </c>
      <c r="E42" s="23">
        <f>[53]GtS!$F$12</f>
        <v>5</v>
      </c>
      <c r="F42" s="23">
        <f>[54]GtS!$F$12</f>
        <v>4</v>
      </c>
      <c r="G42" s="34">
        <f>[55]GtS!$F$12</f>
        <v>3</v>
      </c>
      <c r="H42" s="155">
        <f>IF('AW Schulen'!$B72=0,"x",C42/'AW Schulen'!$B72)</f>
        <v>4.6762589928057555E-2</v>
      </c>
      <c r="I42" s="155">
        <f>IF('AW Schulen'!$E72=0,"x",D42/'AW Schulen'!$E72)</f>
        <v>3.5971223021582732E-2</v>
      </c>
      <c r="J42" s="155">
        <f>IF('AW Schulen'!$H72=0,"x",E42/'AW Schulen'!$H72)</f>
        <v>1.7985611510791366E-2</v>
      </c>
      <c r="K42" s="155">
        <f>IF('AW Schulen'!$K72=0,"x",F42/'AW Schulen'!$K72)</f>
        <v>1.4336917562724014E-2</v>
      </c>
      <c r="L42" s="156">
        <f>IF('AW Schulen'!$N72=0,"x",G42/'AW Schulen'!$N72)</f>
        <v>1.0752688172043012E-2</v>
      </c>
    </row>
    <row r="43" spans="1:12" ht="9" customHeight="1">
      <c r="A43" s="21" t="s">
        <v>93</v>
      </c>
      <c r="B43" s="120"/>
      <c r="C43" s="23">
        <f>[76]GtS!$F$12</f>
        <v>11</v>
      </c>
      <c r="D43" s="23">
        <f>[77]GtS!$F$12</f>
        <v>11</v>
      </c>
      <c r="E43" s="23">
        <f>[78]GtS!$F$12</f>
        <v>10</v>
      </c>
      <c r="F43" s="23">
        <f>[79]GtS!$F$12</f>
        <v>9</v>
      </c>
      <c r="G43" s="34">
        <f>[80]GtS!$F$12</f>
        <v>9</v>
      </c>
      <c r="H43" s="155">
        <f>IF('AW Schulen'!$B73=0,"x",C43/'AW Schulen'!$B73)</f>
        <v>7.2368421052631582E-2</v>
      </c>
      <c r="I43" s="155">
        <f>IF('AW Schulen'!$E73=0,"x",D43/'AW Schulen'!$E73)</f>
        <v>7.2368421052631582E-2</v>
      </c>
      <c r="J43" s="155">
        <f>IF('AW Schulen'!$H73=0,"x",E43/'AW Schulen'!$H73)</f>
        <v>7.3529411764705885E-2</v>
      </c>
      <c r="K43" s="155">
        <f>IF('AW Schulen'!$K73=0,"x",F43/'AW Schulen'!$K73)</f>
        <v>7.1428571428571425E-2</v>
      </c>
      <c r="L43" s="156">
        <f>IF('AW Schulen'!$N73=0,"x",G43/'AW Schulen'!$N73)</f>
        <v>7.43801652892562E-2</v>
      </c>
    </row>
    <row r="44" spans="1:12" ht="9" customHeight="1">
      <c r="A44" s="21" t="s">
        <v>94</v>
      </c>
      <c r="B44" s="120"/>
      <c r="C44" s="23">
        <f>[56]GtS!$F$12</f>
        <v>3</v>
      </c>
      <c r="D44" s="23">
        <f>[57]GtS!$F$12</f>
        <v>2</v>
      </c>
      <c r="E44" s="23">
        <f>[58]GtS!$F$12</f>
        <v>2</v>
      </c>
      <c r="F44" s="23">
        <f>[59]GtS!$F$12</f>
        <v>2</v>
      </c>
      <c r="G44" s="34">
        <f>[60]GtS!$F$12</f>
        <v>2</v>
      </c>
      <c r="H44" s="155">
        <f>IF('AW Schulen'!$B74=0,"x",C44/'AW Schulen'!$B74)</f>
        <v>3.9473684210526314E-2</v>
      </c>
      <c r="I44" s="155">
        <f>IF('AW Schulen'!$E74=0,"x",D44/'AW Schulen'!$E74)</f>
        <v>2.6666666666666668E-2</v>
      </c>
      <c r="J44" s="155">
        <f>IF('AW Schulen'!$H74=0,"x",E44/'AW Schulen'!$H74)</f>
        <v>2.8985507246376812E-2</v>
      </c>
      <c r="K44" s="155">
        <f>IF('AW Schulen'!$K74=0,"x",F44/'AW Schulen'!$K74)</f>
        <v>3.0769230769230771E-2</v>
      </c>
      <c r="L44" s="156">
        <f>IF('AW Schulen'!$N74=0,"x",G44/'AW Schulen'!$N74)</f>
        <v>3.1746031746031744E-2</v>
      </c>
    </row>
    <row r="45" spans="1:12" ht="9" customHeight="1">
      <c r="A45" s="21" t="s">
        <v>95</v>
      </c>
      <c r="B45" s="120"/>
      <c r="C45" s="23">
        <f>[61]GtS!$F$12</f>
        <v>6</v>
      </c>
      <c r="D45" s="23">
        <f>[62]GtS!$F$12</f>
        <v>4</v>
      </c>
      <c r="E45" s="23">
        <f>[63]GtS!$F$12</f>
        <v>6</v>
      </c>
      <c r="F45" s="23">
        <f>[64]GtS!$F$12</f>
        <v>8</v>
      </c>
      <c r="G45" s="34">
        <f>[65]GtS!$F$12</f>
        <v>8</v>
      </c>
      <c r="H45" s="155">
        <f>IF('AW Schulen'!$B75=0,"x",C45/'AW Schulen'!$B75)</f>
        <v>2.7272727272727271E-2</v>
      </c>
      <c r="I45" s="155">
        <f>IF('AW Schulen'!$E75=0,"x",D45/'AW Schulen'!$E75)</f>
        <v>1.8604651162790697E-2</v>
      </c>
      <c r="J45" s="155">
        <f>IF('AW Schulen'!$H75=0,"x",E45/'AW Schulen'!$H75)</f>
        <v>2.8708133971291867E-2</v>
      </c>
      <c r="K45" s="155">
        <f>IF('AW Schulen'!$K75=0,"x",F45/'AW Schulen'!$K75)</f>
        <v>3.9603960396039604E-2</v>
      </c>
      <c r="L45" s="156">
        <f>IF('AW Schulen'!$N75=0,"x",G45/'AW Schulen'!$N75)</f>
        <v>4.145077720207254E-2</v>
      </c>
    </row>
    <row r="46" spans="1:12" ht="9" customHeight="1">
      <c r="A46" s="21" t="s">
        <v>96</v>
      </c>
      <c r="B46" s="120"/>
      <c r="C46" s="23">
        <f t="shared" ref="C46:E46" si="35">SUM(C30:C45)</f>
        <v>184</v>
      </c>
      <c r="D46" s="23">
        <f t="shared" si="35"/>
        <v>220</v>
      </c>
      <c r="E46" s="23">
        <f t="shared" si="35"/>
        <v>235</v>
      </c>
      <c r="F46" s="23">
        <f t="shared" ref="F46:G46" si="36">SUM(F30:F45)</f>
        <v>243</v>
      </c>
      <c r="G46" s="34">
        <f t="shared" si="36"/>
        <v>248</v>
      </c>
      <c r="H46" s="155">
        <f>IF('AW Schulen'!$B76=0,"x",C46/'AW Schulen'!$B76)</f>
        <v>0.11689961880559085</v>
      </c>
      <c r="I46" s="155">
        <f>IF('AW Schulen'!$E76=0,"x",D46/'AW Schulen'!$E76)</f>
        <v>0.13845185651353054</v>
      </c>
      <c r="J46" s="155">
        <f>IF('AW Schulen'!$H76=0,"x",E46/'AW Schulen'!$H76)</f>
        <v>0.15083440308087293</v>
      </c>
      <c r="K46" s="155">
        <f>IF('AW Schulen'!$K76=0,"x",F46/'AW Schulen'!$K76)</f>
        <v>0.15187500000000001</v>
      </c>
      <c r="L46" s="156">
        <f>IF('AW Schulen'!$N76=0,"x",G46/'AW Schulen'!$N76)</f>
        <v>0.1513117754728493</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151">
        <f>[1]GtS!$G$12</f>
        <v>0</v>
      </c>
      <c r="D48" s="151">
        <f>[2]GtS!$G$12</f>
        <v>0</v>
      </c>
      <c r="E48" s="151">
        <f>[3]GtS!$G$12</f>
        <v>0</v>
      </c>
      <c r="F48" s="151">
        <f>[4]GtS!$G$12</f>
        <v>0</v>
      </c>
      <c r="G48" s="152">
        <f>[5]GtS!$G$12</f>
        <v>0</v>
      </c>
      <c r="H48" s="155" t="str">
        <f>IF('AW Schulen'!$B60=0,"x",C48/'AW Schulen'!$B60)</f>
        <v>x</v>
      </c>
      <c r="I48" s="155" t="str">
        <f>IF('AW Schulen'!$E60=0,"x",D48/'AW Schulen'!$E60)</f>
        <v>x</v>
      </c>
      <c r="J48" s="155" t="str">
        <f>IF('AW Schulen'!$H60=0,"x",E48/'AW Schulen'!$H60)</f>
        <v>x</v>
      </c>
      <c r="K48" s="155" t="str">
        <f>IF('AW Schulen'!$K60=0,"x",F48/'AW Schulen'!$K60)</f>
        <v>x</v>
      </c>
      <c r="L48" s="156" t="str">
        <f>IF('AW Schulen'!$N60=0,"x",G48/'AW Schulen'!$N60)</f>
        <v>x</v>
      </c>
    </row>
    <row r="49" spans="1:12" ht="9" customHeight="1">
      <c r="A49" s="21" t="s">
        <v>81</v>
      </c>
      <c r="B49" s="120"/>
      <c r="C49" s="151">
        <f>[6]GtS!$G$12</f>
        <v>0</v>
      </c>
      <c r="D49" s="151">
        <f>[7]GtS!$G$12</f>
        <v>0</v>
      </c>
      <c r="E49" s="151">
        <f>[8]GtS!$G$12</f>
        <v>0</v>
      </c>
      <c r="F49" s="151" t="str">
        <f>[9]GtS!$G$12</f>
        <v xml:space="preserve">                                      -   </v>
      </c>
      <c r="G49" s="152">
        <f>[10]GtS!$G$12</f>
        <v>0</v>
      </c>
      <c r="H49" s="155" t="str">
        <f>IF('AW Schulen'!$B61=0,"x",C49/'AW Schulen'!$B61)</f>
        <v>x</v>
      </c>
      <c r="I49" s="155" t="str">
        <f>IF('AW Schulen'!$E61=0,"x",D49/'AW Schulen'!$E61)</f>
        <v>x</v>
      </c>
      <c r="J49" s="155" t="str">
        <f>IF('AW Schulen'!$H61=0,"x",E49/'AW Schulen'!$H61)</f>
        <v>x</v>
      </c>
      <c r="K49" s="155" t="e">
        <f>IF('AW Schulen'!$K61=0,"x",F49/'AW Schulen'!$K61)</f>
        <v>#VALUE!</v>
      </c>
      <c r="L49" s="156" t="str">
        <f>IF('AW Schulen'!$N61=0,"x",G49/'AW Schulen'!$N61)</f>
        <v>x</v>
      </c>
    </row>
    <row r="50" spans="1:12" ht="9" customHeight="1">
      <c r="A50" s="21" t="s">
        <v>82</v>
      </c>
      <c r="B50" s="120"/>
      <c r="C50" s="151">
        <f>[11]GtS!$G$12</f>
        <v>0</v>
      </c>
      <c r="D50" s="151">
        <f>[12]GtS!$G$12</f>
        <v>0</v>
      </c>
      <c r="E50" s="151">
        <f>[13]GtS!$G$12</f>
        <v>0</v>
      </c>
      <c r="F50" s="151">
        <f>[14]GtS!$G$12</f>
        <v>0</v>
      </c>
      <c r="G50" s="152">
        <f>[15]GtS!$G$12</f>
        <v>0</v>
      </c>
      <c r="H50" s="155" t="str">
        <f>IF('AW Schulen'!$B62=0,"x",C50/'AW Schulen'!$B62)</f>
        <v>x</v>
      </c>
      <c r="I50" s="155" t="str">
        <f>IF('AW Schulen'!$E62=0,"x",D50/'AW Schulen'!$E62)</f>
        <v>x</v>
      </c>
      <c r="J50" s="155" t="str">
        <f>IF('AW Schulen'!$H62=0,"x",E50/'AW Schulen'!$H62)</f>
        <v>x</v>
      </c>
      <c r="K50" s="155" t="str">
        <f>IF('AW Schulen'!$K62=0,"x",F50/'AW Schulen'!$K62)</f>
        <v>x</v>
      </c>
      <c r="L50" s="156" t="str">
        <f>IF('AW Schulen'!$N62=0,"x",G50/'AW Schulen'!$N62)</f>
        <v>x</v>
      </c>
    </row>
    <row r="51" spans="1:12" ht="9" customHeight="1">
      <c r="A51" s="21" t="s">
        <v>83</v>
      </c>
      <c r="B51" s="120"/>
      <c r="C51" s="23">
        <f>[16]GtS!$G$12</f>
        <v>13</v>
      </c>
      <c r="D51" s="23">
        <f>[17]GtS!$G$12</f>
        <v>11</v>
      </c>
      <c r="E51" s="23">
        <f>[18]GtS!$G$12</f>
        <v>11</v>
      </c>
      <c r="F51" s="23">
        <f>[19]GtS!$G$12</f>
        <v>10</v>
      </c>
      <c r="G51" s="34">
        <f>[20]GtS!$G$12</f>
        <v>9</v>
      </c>
      <c r="H51" s="155">
        <f>IF('AW Schulen'!$B63=0,"x",C51/'AW Schulen'!$B63)</f>
        <v>0.10833333333333334</v>
      </c>
      <c r="I51" s="155">
        <f>IF('AW Schulen'!$E63=0,"x",D51/'AW Schulen'!$E63)</f>
        <v>9.2436974789915971E-2</v>
      </c>
      <c r="J51" s="155">
        <f>IF('AW Schulen'!$H63=0,"x",E51/'AW Schulen'!$H63)</f>
        <v>9.2436974789915971E-2</v>
      </c>
      <c r="K51" s="155">
        <f>IF('AW Schulen'!$K63=0,"x",F51/'AW Schulen'!$K63)</f>
        <v>8.4033613445378158E-2</v>
      </c>
      <c r="L51" s="156">
        <f>IF('AW Schulen'!$N63=0,"x",G51/'AW Schulen'!$N63)</f>
        <v>7.5630252100840331E-2</v>
      </c>
    </row>
    <row r="52" spans="1:12" ht="9" customHeight="1">
      <c r="A52" s="21" t="s">
        <v>84</v>
      </c>
      <c r="B52" s="120"/>
      <c r="C52" s="23">
        <f>[21]GtS!$G$12</f>
        <v>4</v>
      </c>
      <c r="D52" s="23">
        <f>[22]GtS!$G$12</f>
        <v>2</v>
      </c>
      <c r="E52" s="23">
        <f>[23]GtS!$G$12</f>
        <v>1</v>
      </c>
      <c r="F52" s="23">
        <f>[24]GtS!$G$12</f>
        <v>4</v>
      </c>
      <c r="G52" s="34">
        <f>[25]GtS!$G$12</f>
        <v>0</v>
      </c>
      <c r="H52" s="155">
        <f>IF('AW Schulen'!$B64=0,"x",C52/'AW Schulen'!$B64)</f>
        <v>0.17391304347826086</v>
      </c>
      <c r="I52" s="155">
        <f>IF('AW Schulen'!$E64=0,"x",D52/'AW Schulen'!$E64)</f>
        <v>8.6956521739130432E-2</v>
      </c>
      <c r="J52" s="155">
        <f>IF('AW Schulen'!$H64=0,"x",E52/'AW Schulen'!$H64)</f>
        <v>5.8823529411764705E-2</v>
      </c>
      <c r="K52" s="155">
        <f>IF('AW Schulen'!$K64=0,"x",F52/'AW Schulen'!$K64)</f>
        <v>0.4</v>
      </c>
      <c r="L52" s="156" t="str">
        <f>IF('AW Schulen'!$N64=0,"x",G52/'AW Schulen'!$N64)</f>
        <v>x</v>
      </c>
    </row>
    <row r="53" spans="1:12" ht="9" customHeight="1">
      <c r="A53" s="21" t="s">
        <v>85</v>
      </c>
      <c r="B53" s="120"/>
      <c r="C53" s="23">
        <f>[26]GtS!$G$12</f>
        <v>4</v>
      </c>
      <c r="D53" s="151">
        <f>[27]GtS!$G$12</f>
        <v>0</v>
      </c>
      <c r="E53" s="151">
        <f>[28]GtS!$G$12</f>
        <v>0</v>
      </c>
      <c r="F53" s="151">
        <f>[29]GtS!$G$12</f>
        <v>0</v>
      </c>
      <c r="G53" s="152">
        <f>[30]GtS!$G$12</f>
        <v>0</v>
      </c>
      <c r="H53" s="155">
        <f>IF('AW Schulen'!$B65=0,"x",C53/'AW Schulen'!$B65)</f>
        <v>0.12121212121212122</v>
      </c>
      <c r="I53" s="155" t="str">
        <f>IF('AW Schulen'!$E65=0,"x",D53/'AW Schulen'!$E65)</f>
        <v>x</v>
      </c>
      <c r="J53" s="155" t="str">
        <f>IF('AW Schulen'!$H65=0,"x",E53/'AW Schulen'!$H65)</f>
        <v>x</v>
      </c>
      <c r="K53" s="155" t="str">
        <f>IF('AW Schulen'!$K65=0,"x",F53/'AW Schulen'!$K65)</f>
        <v>x</v>
      </c>
      <c r="L53" s="156" t="str">
        <f>IF('AW Schulen'!$N65=0,"x",G53/'AW Schulen'!$N65)</f>
        <v>x</v>
      </c>
    </row>
    <row r="54" spans="1:12" ht="9" customHeight="1">
      <c r="A54" s="21" t="s">
        <v>86</v>
      </c>
      <c r="B54" s="120"/>
      <c r="C54" s="23">
        <f>[66]GtS!$G$12</f>
        <v>0</v>
      </c>
      <c r="D54" s="23">
        <f>[67]GtS!$G$12</f>
        <v>0</v>
      </c>
      <c r="E54" s="23">
        <f>[68]GtS!$G$12</f>
        <v>0</v>
      </c>
      <c r="F54" s="23">
        <f>[69]GtS!$G$12</f>
        <v>0</v>
      </c>
      <c r="G54" s="34">
        <f>[70]GtS!$G$12</f>
        <v>0</v>
      </c>
      <c r="H54" s="155">
        <f>IF('AW Schulen'!$B66=0,"x",C54/'AW Schulen'!$B66)</f>
        <v>0</v>
      </c>
      <c r="I54" s="155">
        <f>IF('AW Schulen'!$E66=0,"x",D54/'AW Schulen'!$E66)</f>
        <v>0</v>
      </c>
      <c r="J54" s="155">
        <f>IF('AW Schulen'!$H66=0,"x",E54/'AW Schulen'!$H66)</f>
        <v>0</v>
      </c>
      <c r="K54" s="155">
        <f>IF('AW Schulen'!$K66=0,"x",F54/'AW Schulen'!$K66)</f>
        <v>0</v>
      </c>
      <c r="L54" s="156">
        <f>IF('AW Schulen'!$N66=0,"x",G54/'AW Schulen'!$N66)</f>
        <v>0</v>
      </c>
    </row>
    <row r="55" spans="1:12" ht="9" customHeight="1">
      <c r="A55" s="21" t="s">
        <v>87</v>
      </c>
      <c r="B55" s="120"/>
      <c r="C55" s="23">
        <f>[31]GtS!$G$12</f>
        <v>27</v>
      </c>
      <c r="D55" s="23">
        <f>[32]GtS!$G$12</f>
        <v>24</v>
      </c>
      <c r="E55" s="23">
        <f>[33]GtS!$G$12</f>
        <v>21</v>
      </c>
      <c r="F55" s="23">
        <f>[34]GtS!$G$12</f>
        <v>22</v>
      </c>
      <c r="G55" s="34">
        <f>[35]GtS!$G$12</f>
        <v>33</v>
      </c>
      <c r="H55" s="155">
        <f>IF('AW Schulen'!$B67=0,"x",C55/'AW Schulen'!$B67)</f>
        <v>0.17532467532467533</v>
      </c>
      <c r="I55" s="155">
        <f>IF('AW Schulen'!$E67=0,"x",D55/'AW Schulen'!$E67)</f>
        <v>0.15584415584415584</v>
      </c>
      <c r="J55" s="155">
        <f>IF('AW Schulen'!$H67=0,"x",E55/'AW Schulen'!$H67)</f>
        <v>0.13548387096774195</v>
      </c>
      <c r="K55" s="155">
        <f>IF('AW Schulen'!$K67=0,"x",F55/'AW Schulen'!$K67)</f>
        <v>0.14285714285714285</v>
      </c>
      <c r="L55" s="156">
        <f>IF('AW Schulen'!$N67=0,"x",G55/'AW Schulen'!$N67)</f>
        <v>0.2129032258064516</v>
      </c>
    </row>
    <row r="56" spans="1:12" ht="9" customHeight="1">
      <c r="A56" s="21" t="s">
        <v>185</v>
      </c>
      <c r="B56" s="120"/>
      <c r="C56" s="151">
        <f>[71]GtS!$G$12</f>
        <v>135</v>
      </c>
      <c r="D56" s="151">
        <f>[72]GtS!$G$12</f>
        <v>164</v>
      </c>
      <c r="E56" s="151">
        <f>[73]GtS!$G$12</f>
        <v>195</v>
      </c>
      <c r="F56" s="151">
        <f>[74]GtS!$G$12</f>
        <v>247</v>
      </c>
      <c r="G56" s="152">
        <f>[75]GtS!$G$12</f>
        <v>267</v>
      </c>
      <c r="H56" s="155">
        <f>IF('AW Schulen'!$B68=0,"x",C56/'AW Schulen'!$B68)</f>
        <v>0.65853658536585369</v>
      </c>
      <c r="I56" s="155">
        <f>IF('AW Schulen'!$E68=0,"x",D56/'AW Schulen'!$E68)</f>
        <v>0.73873873873873874</v>
      </c>
      <c r="J56" s="155">
        <f>IF('AW Schulen'!$H68=0,"x",E56/'AW Schulen'!$H68)</f>
        <v>0.75875486381322954</v>
      </c>
      <c r="K56" s="155">
        <f>IF('AW Schulen'!$K68=0,"x",F56/'AW Schulen'!$K68)</f>
        <v>0.75075987841945291</v>
      </c>
      <c r="L56" s="156">
        <f>IF('AW Schulen'!$N68=0,"x",G56/'AW Schulen'!$N68)</f>
        <v>0.67594936708860764</v>
      </c>
    </row>
    <row r="57" spans="1:12" ht="9" customHeight="1">
      <c r="A57" s="21" t="s">
        <v>89</v>
      </c>
      <c r="B57" s="120"/>
      <c r="C57" s="228">
        <f>[36]GtS!$G$12</f>
        <v>0</v>
      </c>
      <c r="D57" s="228">
        <f>[37]GtS!$G$12</f>
        <v>0</v>
      </c>
      <c r="E57" s="228">
        <f>[38]GtS!$G$12</f>
        <v>0</v>
      </c>
      <c r="F57" s="228">
        <f>[39]GtS!$G$12</f>
        <v>0</v>
      </c>
      <c r="G57" s="229">
        <f>[40]GtS!$G$12</f>
        <v>0</v>
      </c>
      <c r="H57" s="155">
        <f>IF('AW Schulen'!$B69=0,"x",C57/'AW Schulen'!$B69)</f>
        <v>0</v>
      </c>
      <c r="I57" s="155">
        <f>IF('AW Schulen'!$E69=0,"x",D57/'AW Schulen'!$E69)</f>
        <v>0</v>
      </c>
      <c r="J57" s="155">
        <f>IF('AW Schulen'!$H69=0,"x",E57/'AW Schulen'!$H69)</f>
        <v>0</v>
      </c>
      <c r="K57" s="155">
        <f>IF('AW Schulen'!$K69=0,"x",F57/'AW Schulen'!$K69)</f>
        <v>0</v>
      </c>
      <c r="L57" s="156">
        <f>IF('AW Schulen'!$N69=0,"x",G57/'AW Schulen'!$N69)</f>
        <v>0</v>
      </c>
    </row>
    <row r="58" spans="1:12" ht="9" customHeight="1">
      <c r="A58" s="21" t="s">
        <v>90</v>
      </c>
      <c r="B58" s="120"/>
      <c r="C58" s="23">
        <f>[41]GtS!$G$12</f>
        <v>151</v>
      </c>
      <c r="D58" s="23">
        <f>[42]GtS!$G$12</f>
        <v>144</v>
      </c>
      <c r="E58" s="23">
        <f>[43]GtS!$G$12</f>
        <v>144</v>
      </c>
      <c r="F58" s="23">
        <f>[44]GtS!$G$12</f>
        <v>140</v>
      </c>
      <c r="G58" s="34">
        <f>[45]GtS!$G$12</f>
        <v>136</v>
      </c>
      <c r="H58" s="155">
        <f>IF('AW Schulen'!$B70=0,"x",C58/'AW Schulen'!$B70)</f>
        <v>0.77435897435897438</v>
      </c>
      <c r="I58" s="155">
        <f>IF('AW Schulen'!$E70=0,"x",D58/'AW Schulen'!$E70)</f>
        <v>0.74226804123711343</v>
      </c>
      <c r="J58" s="155">
        <f>IF('AW Schulen'!$H70=0,"x",E58/'AW Schulen'!$H70)</f>
        <v>0.76190476190476186</v>
      </c>
      <c r="K58" s="155">
        <f>IF('AW Schulen'!$K70=0,"x",F58/'AW Schulen'!$K70)</f>
        <v>0.76923076923076927</v>
      </c>
      <c r="L58" s="156">
        <f>IF('AW Schulen'!$N70=0,"x",G58/'AW Schulen'!$N70)</f>
        <v>0.75555555555555554</v>
      </c>
    </row>
    <row r="59" spans="1:12" ht="9" customHeight="1">
      <c r="A59" s="21" t="s">
        <v>91</v>
      </c>
      <c r="B59" s="120"/>
      <c r="C59" s="23">
        <f>[46]GtS!$G$12</f>
        <v>16</v>
      </c>
      <c r="D59" s="23">
        <f>[47]GtS!$G$12</f>
        <v>9</v>
      </c>
      <c r="E59" s="151">
        <f>[48]GtS!$G$12</f>
        <v>0</v>
      </c>
      <c r="F59" s="151">
        <f>[49]GtS!$G$12</f>
        <v>0</v>
      </c>
      <c r="G59" s="152">
        <f>[50]GtS!$G$12</f>
        <v>0</v>
      </c>
      <c r="H59" s="155">
        <f>IF('AW Schulen'!$B71=0,"x",C59/'AW Schulen'!$B71)</f>
        <v>0.34042553191489361</v>
      </c>
      <c r="I59" s="155">
        <f>IF('AW Schulen'!$E71=0,"x",D59/'AW Schulen'!$E71)</f>
        <v>0.19148936170212766</v>
      </c>
      <c r="J59" s="155" t="str">
        <f>IF('AW Schulen'!$H71=0,"x",E59/'AW Schulen'!$H71)</f>
        <v>x</v>
      </c>
      <c r="K59" s="155" t="str">
        <f>IF('AW Schulen'!$K71=0,"x",F59/'AW Schulen'!$K71)</f>
        <v>x</v>
      </c>
      <c r="L59" s="156" t="str">
        <f>IF('AW Schulen'!$N71=0,"x",G59/'AW Schulen'!$N71)</f>
        <v>x</v>
      </c>
    </row>
    <row r="60" spans="1:12" ht="9" customHeight="1">
      <c r="A60" s="21" t="s">
        <v>92</v>
      </c>
      <c r="B60" s="120"/>
      <c r="C60" s="23">
        <f>[51]GtS!$G$12</f>
        <v>75</v>
      </c>
      <c r="D60" s="23">
        <f>[52]GtS!$G$12</f>
        <v>75</v>
      </c>
      <c r="E60" s="23">
        <f>[53]GtS!$G$12</f>
        <v>80</v>
      </c>
      <c r="F60" s="23">
        <f>[54]GtS!$G$12</f>
        <v>82</v>
      </c>
      <c r="G60" s="34">
        <f>[55]GtS!$G$12</f>
        <v>79</v>
      </c>
      <c r="H60" s="155">
        <f>IF('AW Schulen'!$B72=0,"x",C60/'AW Schulen'!$B72)</f>
        <v>0.26978417266187049</v>
      </c>
      <c r="I60" s="155">
        <f>IF('AW Schulen'!$E72=0,"x",D60/'AW Schulen'!$E72)</f>
        <v>0.26978417266187049</v>
      </c>
      <c r="J60" s="155">
        <f>IF('AW Schulen'!$H72=0,"x",E60/'AW Schulen'!$H72)</f>
        <v>0.28776978417266186</v>
      </c>
      <c r="K60" s="155">
        <f>IF('AW Schulen'!$K72=0,"x",F60/'AW Schulen'!$K72)</f>
        <v>0.29390681003584229</v>
      </c>
      <c r="L60" s="156">
        <f>IF('AW Schulen'!$N72=0,"x",G60/'AW Schulen'!$N72)</f>
        <v>0.28315412186379929</v>
      </c>
    </row>
    <row r="61" spans="1:12" ht="9" customHeight="1">
      <c r="A61" s="21" t="s">
        <v>93</v>
      </c>
      <c r="B61" s="120"/>
      <c r="C61" s="23">
        <f>[76]GtS!$G$12</f>
        <v>16</v>
      </c>
      <c r="D61" s="23">
        <f>[77]GtS!$G$12</f>
        <v>19</v>
      </c>
      <c r="E61" s="23">
        <f>[78]GtS!$G$12</f>
        <v>18</v>
      </c>
      <c r="F61" s="23">
        <f>[79]GtS!$G$12</f>
        <v>18</v>
      </c>
      <c r="G61" s="34">
        <f>[80]GtS!$G$12</f>
        <v>17</v>
      </c>
      <c r="H61" s="155">
        <f>IF('AW Schulen'!$B73=0,"x",C61/'AW Schulen'!$B73)</f>
        <v>0.10526315789473684</v>
      </c>
      <c r="I61" s="155">
        <f>IF('AW Schulen'!$E73=0,"x",D61/'AW Schulen'!$E73)</f>
        <v>0.125</v>
      </c>
      <c r="J61" s="155">
        <f>IF('AW Schulen'!$H73=0,"x",E61/'AW Schulen'!$H73)</f>
        <v>0.13235294117647059</v>
      </c>
      <c r="K61" s="155">
        <f>IF('AW Schulen'!$K73=0,"x",F61/'AW Schulen'!$K73)</f>
        <v>0.14285714285714285</v>
      </c>
      <c r="L61" s="156">
        <f>IF('AW Schulen'!$N73=0,"x",G61/'AW Schulen'!$N73)</f>
        <v>0.14049586776859505</v>
      </c>
    </row>
    <row r="62" spans="1:12" ht="9" customHeight="1">
      <c r="A62" s="21" t="s">
        <v>94</v>
      </c>
      <c r="B62" s="120"/>
      <c r="C62" s="23">
        <f>[56]GtS!$G$12</f>
        <v>2</v>
      </c>
      <c r="D62" s="23">
        <f>[57]GtS!$G$12</f>
        <v>2</v>
      </c>
      <c r="E62" s="23">
        <f>[58]GtS!$G$12</f>
        <v>0</v>
      </c>
      <c r="F62" s="23">
        <f>[59]GtS!$G$12</f>
        <v>0</v>
      </c>
      <c r="G62" s="34">
        <f>[60]GtS!$G$12</f>
        <v>0</v>
      </c>
      <c r="H62" s="155">
        <f>IF('AW Schulen'!$B74=0,"x",C62/'AW Schulen'!$B74)</f>
        <v>2.6315789473684209E-2</v>
      </c>
      <c r="I62" s="155">
        <f>IF('AW Schulen'!$E74=0,"x",D62/'AW Schulen'!$E74)</f>
        <v>2.6666666666666668E-2</v>
      </c>
      <c r="J62" s="155">
        <f>IF('AW Schulen'!$H74=0,"x",E62/'AW Schulen'!$H74)</f>
        <v>0</v>
      </c>
      <c r="K62" s="155">
        <f>IF('AW Schulen'!$K74=0,"x",F62/'AW Schulen'!$K74)</f>
        <v>0</v>
      </c>
      <c r="L62" s="156">
        <f>IF('AW Schulen'!$N74=0,"x",G62/'AW Schulen'!$N74)</f>
        <v>0</v>
      </c>
    </row>
    <row r="63" spans="1:12" ht="9" customHeight="1">
      <c r="A63" s="21" t="s">
        <v>95</v>
      </c>
      <c r="B63" s="120"/>
      <c r="C63" s="23">
        <f>[61]GtS!$G$12</f>
        <v>16</v>
      </c>
      <c r="D63" s="23">
        <f>[62]GtS!$G$12</f>
        <v>22</v>
      </c>
      <c r="E63" s="23">
        <f>[63]GtS!$G$12</f>
        <v>25</v>
      </c>
      <c r="F63" s="23">
        <f>[64]GtS!$G$12</f>
        <v>20</v>
      </c>
      <c r="G63" s="34">
        <f>[65]GtS!$G$12</f>
        <v>18</v>
      </c>
      <c r="H63" s="155">
        <f>IF('AW Schulen'!$B75=0,"x",C63/'AW Schulen'!$B75)</f>
        <v>7.2727272727272724E-2</v>
      </c>
      <c r="I63" s="155">
        <f>IF('AW Schulen'!$E75=0,"x",D63/'AW Schulen'!$E75)</f>
        <v>0.10232558139534884</v>
      </c>
      <c r="J63" s="155">
        <f>IF('AW Schulen'!$H75=0,"x",E63/'AW Schulen'!$H75)</f>
        <v>0.11961722488038277</v>
      </c>
      <c r="K63" s="155">
        <f>IF('AW Schulen'!$K75=0,"x",F63/'AW Schulen'!$K75)</f>
        <v>9.9009900990099015E-2</v>
      </c>
      <c r="L63" s="156">
        <f>IF('AW Schulen'!$N75=0,"x",G63/'AW Schulen'!$N75)</f>
        <v>9.3264248704663211E-2</v>
      </c>
    </row>
    <row r="64" spans="1:12" ht="8.65" customHeight="1">
      <c r="A64" s="21" t="s">
        <v>96</v>
      </c>
      <c r="B64" s="120"/>
      <c r="C64" s="23">
        <f t="shared" ref="C64:E64" si="37">SUM(C48:C63)</f>
        <v>459</v>
      </c>
      <c r="D64" s="23">
        <f t="shared" si="37"/>
        <v>472</v>
      </c>
      <c r="E64" s="23">
        <f t="shared" si="37"/>
        <v>495</v>
      </c>
      <c r="F64" s="23">
        <f t="shared" ref="F64:G64" si="38">SUM(F48:F63)</f>
        <v>543</v>
      </c>
      <c r="G64" s="34">
        <f t="shared" si="38"/>
        <v>559</v>
      </c>
      <c r="H64" s="155">
        <f>IF('AW Schulen'!$B76=0,"x",C64/'AW Schulen'!$B76)</f>
        <v>0.29161372299872934</v>
      </c>
      <c r="I64" s="155">
        <f>IF('AW Schulen'!$E76=0,"x",D64/'AW Schulen'!$E76)</f>
        <v>0.2970421648835746</v>
      </c>
      <c r="J64" s="155">
        <f>IF('AW Schulen'!$H76=0,"x",E64/'AW Schulen'!$H76)</f>
        <v>0.3177150192554557</v>
      </c>
      <c r="K64" s="155">
        <f>IF('AW Schulen'!$K76=0,"x",F64/'AW Schulen'!$K76)</f>
        <v>0.33937499999999998</v>
      </c>
      <c r="L64" s="156">
        <f>IF('AW Schulen'!$N76=0,"x",G64/'AW Schulen'!$N76)</f>
        <v>0.3410616229408176</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151">
        <f>[1]GtS!$H$12</f>
        <v>0</v>
      </c>
      <c r="D66" s="151">
        <f>[2]GtS!$H$12</f>
        <v>0</v>
      </c>
      <c r="E66" s="151">
        <f>[3]GtS!$H$12</f>
        <v>0</v>
      </c>
      <c r="F66" s="151">
        <f>[4]GtS!$H$12</f>
        <v>0</v>
      </c>
      <c r="G66" s="152">
        <f>[5]GtS!$H$12</f>
        <v>0</v>
      </c>
      <c r="H66" s="155" t="str">
        <f>IF('AW Schulen'!$B60=0,"x",C66/'AW Schulen'!$B60)</f>
        <v>x</v>
      </c>
      <c r="I66" s="155" t="str">
        <f>IF('AW Schulen'!$E60=0,"x",D66/'AW Schulen'!$E60)</f>
        <v>x</v>
      </c>
      <c r="J66" s="155" t="str">
        <f>IF('AW Schulen'!$H60=0,"x",E66/'AW Schulen'!$H60)</f>
        <v>x</v>
      </c>
      <c r="K66" s="155" t="str">
        <f>IF('AW Schulen'!$K60=0,"x",F66/'AW Schulen'!$K60)</f>
        <v>x</v>
      </c>
      <c r="L66" s="156" t="str">
        <f>IF('AW Schulen'!$N60=0,"x",G66/'AW Schulen'!$N60)</f>
        <v>x</v>
      </c>
    </row>
    <row r="67" spans="1:12" ht="10.15" customHeight="1">
      <c r="A67" s="224" t="s">
        <v>81</v>
      </c>
      <c r="B67" s="120"/>
      <c r="C67" s="151">
        <f>[6]GtS!$H$12</f>
        <v>0</v>
      </c>
      <c r="D67" s="151">
        <f>[7]GtS!$H$12</f>
        <v>0</v>
      </c>
      <c r="E67" s="151">
        <f>[8]GtS!$H$12</f>
        <v>0</v>
      </c>
      <c r="F67" s="151" t="str">
        <f>[9]GtS!$H$12</f>
        <v xml:space="preserve">                                      -   </v>
      </c>
      <c r="G67" s="152">
        <f>[10]GtS!$H$12</f>
        <v>0</v>
      </c>
      <c r="H67" s="155" t="str">
        <f>IF('AW Schulen'!$B61=0,"x",C67/'AW Schulen'!$B61)</f>
        <v>x</v>
      </c>
      <c r="I67" s="155" t="str">
        <f>IF('AW Schulen'!$E61=0,"x",D67/'AW Schulen'!$E61)</f>
        <v>x</v>
      </c>
      <c r="J67" s="155" t="str">
        <f>IF('AW Schulen'!$H61=0,"x",E67/'AW Schulen'!$H61)</f>
        <v>x</v>
      </c>
      <c r="K67" s="155" t="e">
        <f>IF('AW Schulen'!$K61=0,"x",F67/'AW Schulen'!$K61)</f>
        <v>#VALUE!</v>
      </c>
      <c r="L67" s="156" t="str">
        <f>IF('AW Schulen'!$N61=0,"x",G67/'AW Schulen'!$N61)</f>
        <v>x</v>
      </c>
    </row>
    <row r="68" spans="1:12" ht="10.15" customHeight="1">
      <c r="A68" s="224" t="s">
        <v>82</v>
      </c>
      <c r="B68" s="120"/>
      <c r="C68" s="151">
        <f>[11]GtS!$H$12</f>
        <v>0</v>
      </c>
      <c r="D68" s="151">
        <f>[12]GtS!$H$12</f>
        <v>0</v>
      </c>
      <c r="E68" s="151">
        <f>[13]GtS!$H$12</f>
        <v>0</v>
      </c>
      <c r="F68" s="151">
        <f>[14]GtS!$H$12</f>
        <v>0</v>
      </c>
      <c r="G68" s="152">
        <f>[15]GtS!$H$12</f>
        <v>0</v>
      </c>
      <c r="H68" s="155" t="str">
        <f>IF('AW Schulen'!$B62=0,"x",C68/'AW Schulen'!$B62)</f>
        <v>x</v>
      </c>
      <c r="I68" s="155" t="str">
        <f>IF('AW Schulen'!$E62=0,"x",D68/'AW Schulen'!$E62)</f>
        <v>x</v>
      </c>
      <c r="J68" s="155" t="str">
        <f>IF('AW Schulen'!$H62=0,"x",E68/'AW Schulen'!$H62)</f>
        <v>x</v>
      </c>
      <c r="K68" s="155" t="str">
        <f>IF('AW Schulen'!$K62=0,"x",F68/'AW Schulen'!$K62)</f>
        <v>x</v>
      </c>
      <c r="L68" s="156" t="str">
        <f>IF('AW Schulen'!$N62=0,"x",G68/'AW Schulen'!$N62)</f>
        <v>x</v>
      </c>
    </row>
    <row r="69" spans="1:12" ht="9" customHeight="1">
      <c r="A69" s="21" t="s">
        <v>83</v>
      </c>
      <c r="B69" s="120"/>
      <c r="C69" s="23">
        <f>[16]GtS!$H$12</f>
        <v>32</v>
      </c>
      <c r="D69" s="23">
        <f>[17]GtS!$H$12</f>
        <v>33</v>
      </c>
      <c r="E69" s="23">
        <f>[18]GtS!$H$12</f>
        <v>34</v>
      </c>
      <c r="F69" s="23">
        <f>[19]GtS!$H$12</f>
        <v>34</v>
      </c>
      <c r="G69" s="34">
        <f>[20]GtS!$H$12</f>
        <v>34</v>
      </c>
      <c r="H69" s="155">
        <f>IF('AW Schulen'!$B63=0,"x",C69/'AW Schulen'!$B63)</f>
        <v>0.26666666666666666</v>
      </c>
      <c r="I69" s="155">
        <f>IF('AW Schulen'!$E63=0,"x",D69/'AW Schulen'!$E63)</f>
        <v>0.27731092436974791</v>
      </c>
      <c r="J69" s="155">
        <f>IF('AW Schulen'!$H63=0,"x",E69/'AW Schulen'!$H63)</f>
        <v>0.2857142857142857</v>
      </c>
      <c r="K69" s="155">
        <f>IF('AW Schulen'!$K63=0,"x",F69/'AW Schulen'!$K63)</f>
        <v>0.2857142857142857</v>
      </c>
      <c r="L69" s="156">
        <f>IF('AW Schulen'!$N63=0,"x",G69/'AW Schulen'!$N63)</f>
        <v>0.2857142857142857</v>
      </c>
    </row>
    <row r="70" spans="1:12" ht="9" customHeight="1">
      <c r="A70" s="21" t="s">
        <v>84</v>
      </c>
      <c r="B70" s="120"/>
      <c r="C70" s="23">
        <f>[21]GtS!$H$12</f>
        <v>1</v>
      </c>
      <c r="D70" s="23">
        <f>[22]GtS!$H$12</f>
        <v>0</v>
      </c>
      <c r="E70" s="23">
        <f>[23]GtS!$H$12</f>
        <v>0</v>
      </c>
      <c r="F70" s="23">
        <f>[24]GtS!$H$12</f>
        <v>1</v>
      </c>
      <c r="G70" s="34">
        <f>[25]GtS!$H$12</f>
        <v>0</v>
      </c>
      <c r="H70" s="155">
        <f>IF('AW Schulen'!$B64=0,"x",C70/'AW Schulen'!$B64)</f>
        <v>4.3478260869565216E-2</v>
      </c>
      <c r="I70" s="155">
        <f>IF('AW Schulen'!$E64=0,"x",D70/'AW Schulen'!$E64)</f>
        <v>0</v>
      </c>
      <c r="J70" s="155">
        <f>IF('AW Schulen'!$H64=0,"x",E70/'AW Schulen'!$H64)</f>
        <v>0</v>
      </c>
      <c r="K70" s="155">
        <f>IF('AW Schulen'!$K64=0,"x",F70/'AW Schulen'!$K64)</f>
        <v>0.1</v>
      </c>
      <c r="L70" s="156" t="str">
        <f>IF('AW Schulen'!$N64=0,"x",G70/'AW Schulen'!$N64)</f>
        <v>x</v>
      </c>
    </row>
    <row r="71" spans="1:12" ht="9" customHeight="1">
      <c r="A71" s="21" t="s">
        <v>85</v>
      </c>
      <c r="B71" s="120"/>
      <c r="C71" s="23">
        <f>[26]GtS!$H$12</f>
        <v>8</v>
      </c>
      <c r="D71" s="151">
        <f>[27]GtS!$H$12</f>
        <v>0</v>
      </c>
      <c r="E71" s="151">
        <f>[28]GtS!$H$12</f>
        <v>0</v>
      </c>
      <c r="F71" s="151">
        <f>[29]GtS!$H$12</f>
        <v>0</v>
      </c>
      <c r="G71" s="152">
        <f>[30]GtS!$H$12</f>
        <v>0</v>
      </c>
      <c r="H71" s="155">
        <f>IF('AW Schulen'!$B65=0,"x",C71/'AW Schulen'!$B65)</f>
        <v>0.24242424242424243</v>
      </c>
      <c r="I71" s="155" t="str">
        <f>IF('AW Schulen'!$E65=0,"x",D71/'AW Schulen'!$E65)</f>
        <v>x</v>
      </c>
      <c r="J71" s="155" t="str">
        <f>IF('AW Schulen'!$H65=0,"x",E71/'AW Schulen'!$H65)</f>
        <v>x</v>
      </c>
      <c r="K71" s="155" t="str">
        <f>IF('AW Schulen'!$K65=0,"x",F71/'AW Schulen'!$K65)</f>
        <v>x</v>
      </c>
      <c r="L71" s="156" t="str">
        <f>IF('AW Schulen'!$N65=0,"x",G71/'AW Schulen'!$N65)</f>
        <v>x</v>
      </c>
    </row>
    <row r="72" spans="1:12" ht="9" customHeight="1">
      <c r="A72" s="21" t="s">
        <v>86</v>
      </c>
      <c r="B72" s="120"/>
      <c r="C72" s="151">
        <f>[66]GtS!$H$12</f>
        <v>18</v>
      </c>
      <c r="D72" s="151">
        <f>[67]GtS!$H$12</f>
        <v>22</v>
      </c>
      <c r="E72" s="151">
        <f>[68]GtS!$H$12</f>
        <v>19</v>
      </c>
      <c r="F72" s="151">
        <f>[69]GtS!$H$12</f>
        <v>19</v>
      </c>
      <c r="G72" s="152">
        <f>[70]GtS!$H$12</f>
        <v>19</v>
      </c>
      <c r="H72" s="155">
        <f>IF('AW Schulen'!$B66=0,"x",C72/'AW Schulen'!$B66)</f>
        <v>0.9</v>
      </c>
      <c r="I72" s="155">
        <f>IF('AW Schulen'!$E66=0,"x",D72/'AW Schulen'!$E66)</f>
        <v>1</v>
      </c>
      <c r="J72" s="155">
        <f>IF('AW Schulen'!$H66=0,"x",E72/'AW Schulen'!$H66)</f>
        <v>1</v>
      </c>
      <c r="K72" s="155">
        <f>IF('AW Schulen'!$K66=0,"x",F72/'AW Schulen'!$K66)</f>
        <v>1</v>
      </c>
      <c r="L72" s="156">
        <f>IF('AW Schulen'!$N66=0,"x",G72/'AW Schulen'!$N66)</f>
        <v>1</v>
      </c>
    </row>
    <row r="73" spans="1:12" ht="9" customHeight="1">
      <c r="A73" s="21" t="s">
        <v>87</v>
      </c>
      <c r="B73" s="120"/>
      <c r="C73" s="23">
        <f>[31]GtS!$H$12</f>
        <v>60</v>
      </c>
      <c r="D73" s="23">
        <f>[32]GtS!$H$12</f>
        <v>57</v>
      </c>
      <c r="E73" s="23">
        <f>[33]GtS!$H$12</f>
        <v>56</v>
      </c>
      <c r="F73" s="23">
        <f>[34]GtS!$H$12</f>
        <v>55</v>
      </c>
      <c r="G73" s="34">
        <f>[35]GtS!$H$12</f>
        <v>39</v>
      </c>
      <c r="H73" s="155">
        <f>IF('AW Schulen'!$B67=0,"x",C73/'AW Schulen'!$B67)</f>
        <v>0.38961038961038963</v>
      </c>
      <c r="I73" s="155">
        <f>IF('AW Schulen'!$E67=0,"x",D73/'AW Schulen'!$E67)</f>
        <v>0.37012987012987014</v>
      </c>
      <c r="J73" s="155">
        <f>IF('AW Schulen'!$H67=0,"x",E73/'AW Schulen'!$H67)</f>
        <v>0.36129032258064514</v>
      </c>
      <c r="K73" s="155">
        <f>IF('AW Schulen'!$K67=0,"x",F73/'AW Schulen'!$K67)</f>
        <v>0.35714285714285715</v>
      </c>
      <c r="L73" s="156">
        <f>IF('AW Schulen'!$N67=0,"x",G73/'AW Schulen'!$N67)</f>
        <v>0.25161290322580643</v>
      </c>
    </row>
    <row r="74" spans="1:12" ht="9" customHeight="1">
      <c r="A74" s="21" t="s">
        <v>185</v>
      </c>
      <c r="B74" s="120"/>
      <c r="C74" s="151">
        <f>[71]GtS!$H$12</f>
        <v>44</v>
      </c>
      <c r="D74" s="151">
        <f>[72]GtS!$H$12</f>
        <v>43</v>
      </c>
      <c r="E74" s="151">
        <f>[73]GtS!$H$12</f>
        <v>48</v>
      </c>
      <c r="F74" s="151">
        <f>[74]GtS!$H$12</f>
        <v>59</v>
      </c>
      <c r="G74" s="152">
        <f>[75]GtS!$H$12</f>
        <v>92</v>
      </c>
      <c r="H74" s="155">
        <f>IF('AW Schulen'!$B68=0,"x",C74/'AW Schulen'!$B68)</f>
        <v>0.21463414634146341</v>
      </c>
      <c r="I74" s="155">
        <f>IF('AW Schulen'!$E68=0,"x",D74/'AW Schulen'!$E68)</f>
        <v>0.19369369369369369</v>
      </c>
      <c r="J74" s="155">
        <f>IF('AW Schulen'!$H68=0,"x",E74/'AW Schulen'!$H68)</f>
        <v>0.1867704280155642</v>
      </c>
      <c r="K74" s="155">
        <f>IF('AW Schulen'!$K68=0,"x",F74/'AW Schulen'!$K68)</f>
        <v>0.17933130699088146</v>
      </c>
      <c r="L74" s="156">
        <f>IF('AW Schulen'!$N68=0,"x",G74/'AW Schulen'!$N68)</f>
        <v>0.23291139240506328</v>
      </c>
    </row>
    <row r="75" spans="1:12" ht="9" customHeight="1">
      <c r="A75" s="21" t="s">
        <v>89</v>
      </c>
      <c r="B75" s="120"/>
      <c r="C75" s="228">
        <f>[36]GtS!$H$12</f>
        <v>0</v>
      </c>
      <c r="D75" s="228">
        <f>[37]GtS!$H$12</f>
        <v>0</v>
      </c>
      <c r="E75" s="228">
        <f>[38]GtS!$H$12</f>
        <v>0</v>
      </c>
      <c r="F75" s="228">
        <f>[39]GtS!$H$12</f>
        <v>0</v>
      </c>
      <c r="G75" s="229">
        <f>[40]GtS!$H$12</f>
        <v>0</v>
      </c>
      <c r="H75" s="155">
        <f>IF('AW Schulen'!$B69=0,"x",C75/'AW Schulen'!$B69)</f>
        <v>0</v>
      </c>
      <c r="I75" s="155">
        <f>IF('AW Schulen'!$E69=0,"x",D75/'AW Schulen'!$E69)</f>
        <v>0</v>
      </c>
      <c r="J75" s="155">
        <f>IF('AW Schulen'!$H69=0,"x",E75/'AW Schulen'!$H69)</f>
        <v>0</v>
      </c>
      <c r="K75" s="155">
        <f>IF('AW Schulen'!$K69=0,"x",F75/'AW Schulen'!$K69)</f>
        <v>0</v>
      </c>
      <c r="L75" s="156">
        <f>IF('AW Schulen'!$N69=0,"x",G75/'AW Schulen'!$N69)</f>
        <v>0</v>
      </c>
    </row>
    <row r="76" spans="1:12" ht="9" customHeight="1">
      <c r="A76" s="21" t="s">
        <v>90</v>
      </c>
      <c r="B76" s="120"/>
      <c r="C76" s="23">
        <f>[41]GtS!$H$12</f>
        <v>0</v>
      </c>
      <c r="D76" s="23">
        <f>[42]GtS!$H$12</f>
        <v>3</v>
      </c>
      <c r="E76" s="23">
        <f>[43]GtS!$H$12</f>
        <v>2</v>
      </c>
      <c r="F76" s="23">
        <f>[44]GtS!$H$12</f>
        <v>2</v>
      </c>
      <c r="G76" s="34">
        <f>[45]GtS!$H$12</f>
        <v>3</v>
      </c>
      <c r="H76" s="155">
        <f>IF('AW Schulen'!$B70=0,"x",C76/'AW Schulen'!$B70)</f>
        <v>0</v>
      </c>
      <c r="I76" s="155">
        <f>IF('AW Schulen'!$E70=0,"x",D76/'AW Schulen'!$E70)</f>
        <v>1.5463917525773196E-2</v>
      </c>
      <c r="J76" s="155">
        <f>IF('AW Schulen'!$H70=0,"x",E76/'AW Schulen'!$H70)</f>
        <v>1.0582010582010581E-2</v>
      </c>
      <c r="K76" s="155">
        <f>IF('AW Schulen'!$K70=0,"x",F76/'AW Schulen'!$K70)</f>
        <v>1.098901098901099E-2</v>
      </c>
      <c r="L76" s="156">
        <f>IF('AW Schulen'!$N70=0,"x",G76/'AW Schulen'!$N70)</f>
        <v>1.6666666666666666E-2</v>
      </c>
    </row>
    <row r="77" spans="1:12" ht="9" customHeight="1">
      <c r="A77" s="21" t="s">
        <v>91</v>
      </c>
      <c r="B77" s="120"/>
      <c r="C77" s="23">
        <f>[46]GtS!$H$12</f>
        <v>29</v>
      </c>
      <c r="D77" s="23">
        <f>[47]GtS!$H$12</f>
        <v>35</v>
      </c>
      <c r="E77" s="151">
        <f>[48]GtS!$H$12</f>
        <v>0</v>
      </c>
      <c r="F77" s="151">
        <f>[49]GtS!$H$12</f>
        <v>0</v>
      </c>
      <c r="G77" s="152">
        <f>[50]GtS!$H$12</f>
        <v>0</v>
      </c>
      <c r="H77" s="155">
        <f>IF('AW Schulen'!$B71=0,"x",C77/'AW Schulen'!$B71)</f>
        <v>0.61702127659574468</v>
      </c>
      <c r="I77" s="155">
        <f>IF('AW Schulen'!$E71=0,"x",D77/'AW Schulen'!$E71)</f>
        <v>0.74468085106382975</v>
      </c>
      <c r="J77" s="155" t="str">
        <f>IF('AW Schulen'!$H71=0,"x",E77/'AW Schulen'!$H71)</f>
        <v>x</v>
      </c>
      <c r="K77" s="155" t="str">
        <f>IF('AW Schulen'!$K71=0,"x",F77/'AW Schulen'!$K71)</f>
        <v>x</v>
      </c>
      <c r="L77" s="156" t="str">
        <f>IF('AW Schulen'!$N71=0,"x",G77/'AW Schulen'!$N71)</f>
        <v>x</v>
      </c>
    </row>
    <row r="78" spans="1:12" ht="9" customHeight="1">
      <c r="A78" s="21" t="s">
        <v>92</v>
      </c>
      <c r="B78" s="120"/>
      <c r="C78" s="23">
        <f>[51]GtS!$H$12</f>
        <v>181</v>
      </c>
      <c r="D78" s="23">
        <f>[52]GtS!$H$12</f>
        <v>185</v>
      </c>
      <c r="E78" s="23">
        <f>[53]GtS!$H$12</f>
        <v>186</v>
      </c>
      <c r="F78" s="23">
        <f>[54]GtS!$H$12</f>
        <v>188</v>
      </c>
      <c r="G78" s="34">
        <f>[55]GtS!$H$12</f>
        <v>191</v>
      </c>
      <c r="H78" s="155">
        <f>IF('AW Schulen'!$B72=0,"x",C78/'AW Schulen'!$B72)</f>
        <v>0.65107913669064743</v>
      </c>
      <c r="I78" s="155">
        <f>IF('AW Schulen'!$E72=0,"x",D78/'AW Schulen'!$E72)</f>
        <v>0.66546762589928055</v>
      </c>
      <c r="J78" s="155">
        <f>IF('AW Schulen'!$H72=0,"x",E78/'AW Schulen'!$H72)</f>
        <v>0.6690647482014388</v>
      </c>
      <c r="K78" s="155">
        <f>IF('AW Schulen'!$K72=0,"x",F78/'AW Schulen'!$K72)</f>
        <v>0.6738351254480287</v>
      </c>
      <c r="L78" s="156">
        <f>IF('AW Schulen'!$N72=0,"x",G78/'AW Schulen'!$N72)</f>
        <v>0.68458781362007171</v>
      </c>
    </row>
    <row r="79" spans="1:12" ht="9" customHeight="1">
      <c r="A79" s="21" t="s">
        <v>93</v>
      </c>
      <c r="B79" s="120"/>
      <c r="C79" s="23">
        <f>[76]GtS!$H$12</f>
        <v>40</v>
      </c>
      <c r="D79" s="23">
        <f>[77]GtS!$H$12</f>
        <v>43</v>
      </c>
      <c r="E79" s="23">
        <f>[78]GtS!$H$12</f>
        <v>42</v>
      </c>
      <c r="F79" s="23">
        <f>[79]GtS!$H$12</f>
        <v>37</v>
      </c>
      <c r="G79" s="34">
        <f>[80]GtS!$H$12</f>
        <v>35</v>
      </c>
      <c r="H79" s="155">
        <f>IF('AW Schulen'!$B73=0,"x",C79/'AW Schulen'!$B73)</f>
        <v>0.26315789473684209</v>
      </c>
      <c r="I79" s="155">
        <f>IF('AW Schulen'!$E73=0,"x",D79/'AW Schulen'!$E73)</f>
        <v>0.28289473684210525</v>
      </c>
      <c r="J79" s="155">
        <f>IF('AW Schulen'!$H73=0,"x",E79/'AW Schulen'!$H73)</f>
        <v>0.30882352941176472</v>
      </c>
      <c r="K79" s="155">
        <f>IF('AW Schulen'!$K73=0,"x",F79/'AW Schulen'!$K73)</f>
        <v>0.29365079365079366</v>
      </c>
      <c r="L79" s="156">
        <f>IF('AW Schulen'!$N73=0,"x",G79/'AW Schulen'!$N73)</f>
        <v>0.28925619834710742</v>
      </c>
    </row>
    <row r="80" spans="1:12" ht="9" customHeight="1">
      <c r="A80" s="21" t="s">
        <v>94</v>
      </c>
      <c r="B80" s="120"/>
      <c r="C80" s="23">
        <f>[56]GtS!$H$12</f>
        <v>47</v>
      </c>
      <c r="D80" s="23">
        <f>[57]GtS!$H$12</f>
        <v>50</v>
      </c>
      <c r="E80" s="23">
        <f>[58]GtS!$H$12</f>
        <v>52</v>
      </c>
      <c r="F80" s="23">
        <f>[59]GtS!$H$12</f>
        <v>57</v>
      </c>
      <c r="G80" s="34">
        <f>[60]GtS!$H$12</f>
        <v>55</v>
      </c>
      <c r="H80" s="155">
        <f>IF('AW Schulen'!$B74=0,"x",C80/'AW Schulen'!$B74)</f>
        <v>0.61842105263157898</v>
      </c>
      <c r="I80" s="155">
        <f>IF('AW Schulen'!$E74=0,"x",D80/'AW Schulen'!$E74)</f>
        <v>0.66666666666666663</v>
      </c>
      <c r="J80" s="155">
        <f>IF('AW Schulen'!$H74=0,"x",E80/'AW Schulen'!$H74)</f>
        <v>0.75362318840579712</v>
      </c>
      <c r="K80" s="155">
        <f>IF('AW Schulen'!$K74=0,"x",F80/'AW Schulen'!$K74)</f>
        <v>0.87692307692307692</v>
      </c>
      <c r="L80" s="156">
        <f>IF('AW Schulen'!$N74=0,"x",G80/'AW Schulen'!$N74)</f>
        <v>0.87301587301587302</v>
      </c>
    </row>
    <row r="81" spans="1:12" ht="9" customHeight="1">
      <c r="A81" s="21" t="s">
        <v>95</v>
      </c>
      <c r="B81" s="120"/>
      <c r="C81" s="23">
        <f>[61]GtS!$H$12</f>
        <v>68</v>
      </c>
      <c r="D81" s="23">
        <f>[62]GtS!$H$12</f>
        <v>57</v>
      </c>
      <c r="E81" s="23">
        <f>[63]GtS!$H$12</f>
        <v>49</v>
      </c>
      <c r="F81" s="23">
        <f>[64]GtS!$H$12</f>
        <v>48</v>
      </c>
      <c r="G81" s="34">
        <f>[65]GtS!$H$12</f>
        <v>40</v>
      </c>
      <c r="H81" s="155">
        <f>IF('AW Schulen'!$B75=0,"x",C81/'AW Schulen'!$B75)</f>
        <v>0.30909090909090908</v>
      </c>
      <c r="I81" s="155">
        <f>IF('AW Schulen'!$E75=0,"x",D81/'AW Schulen'!$E75)</f>
        <v>0.26511627906976742</v>
      </c>
      <c r="J81" s="155">
        <f>IF('AW Schulen'!$H75=0,"x",E81/'AW Schulen'!$H75)</f>
        <v>0.23444976076555024</v>
      </c>
      <c r="K81" s="155">
        <f>IF('AW Schulen'!$K75=0,"x",F81/'AW Schulen'!$K75)</f>
        <v>0.23762376237623761</v>
      </c>
      <c r="L81" s="156">
        <f>IF('AW Schulen'!$N75=0,"x",G81/'AW Schulen'!$N75)</f>
        <v>0.20725388601036268</v>
      </c>
    </row>
    <row r="82" spans="1:12" ht="9" customHeight="1">
      <c r="A82" s="24" t="s">
        <v>96</v>
      </c>
      <c r="B82" s="121"/>
      <c r="C82" s="26">
        <f t="shared" ref="C82:E82" si="39">SUM(C66:C81)</f>
        <v>528</v>
      </c>
      <c r="D82" s="26">
        <f t="shared" si="39"/>
        <v>528</v>
      </c>
      <c r="E82" s="26">
        <f t="shared" si="39"/>
        <v>488</v>
      </c>
      <c r="F82" s="26">
        <f t="shared" ref="F82:G82" si="40">SUM(F66:F81)</f>
        <v>500</v>
      </c>
      <c r="G82" s="47">
        <f t="shared" si="40"/>
        <v>508</v>
      </c>
      <c r="H82" s="157">
        <f>IF('AW Schulen'!$B76=0,"x",C82/'AW Schulen'!$B76)</f>
        <v>0.33545108005082591</v>
      </c>
      <c r="I82" s="157">
        <f>IF('AW Schulen'!$E76=0,"x",D82/'AW Schulen'!$E76)</f>
        <v>0.33228445563247327</v>
      </c>
      <c r="J82" s="157">
        <f>IF('AW Schulen'!$H76=0,"x",E82/'AW Schulen'!$H76)</f>
        <v>0.31322207958921694</v>
      </c>
      <c r="K82" s="157">
        <f>IF('AW Schulen'!$K76=0,"x",F82/'AW Schulen'!$K76)</f>
        <v>0.3125</v>
      </c>
      <c r="L82" s="158">
        <f>IF('AW Schulen'!$N76=0,"x",G82/'AW Schulen'!$N76)</f>
        <v>0.30994508846857838</v>
      </c>
    </row>
    <row r="83" spans="1:12" ht="18.75" customHeight="1">
      <c r="A83" s="396" t="s">
        <v>312</v>
      </c>
      <c r="B83" s="396"/>
      <c r="C83" s="396"/>
      <c r="D83" s="396"/>
      <c r="E83" s="396"/>
      <c r="F83" s="396"/>
      <c r="G83" s="396"/>
      <c r="H83" s="396"/>
      <c r="I83" s="396"/>
      <c r="J83" s="396"/>
      <c r="K83" s="396"/>
      <c r="L83" s="396"/>
    </row>
    <row r="84" spans="1:12" ht="10.15" customHeight="1">
      <c r="A84" s="214" t="s">
        <v>101</v>
      </c>
    </row>
  </sheetData>
  <mergeCells count="8">
    <mergeCell ref="A65:L65"/>
    <mergeCell ref="A83:L83"/>
    <mergeCell ref="A1:L1"/>
    <mergeCell ref="H9:L9"/>
    <mergeCell ref="C9:G9"/>
    <mergeCell ref="A11:L11"/>
    <mergeCell ref="A47:L47"/>
    <mergeCell ref="A29:L29"/>
  </mergeCells>
  <phoneticPr fontId="18" type="noConversion"/>
  <conditionalFormatting sqref="N25">
    <cfRule type="cellIs" dxfId="5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M84"/>
  <sheetViews>
    <sheetView view="pageBreakPreview" topLeftCell="A56" zoomScale="150" zoomScaleNormal="140" zoomScaleSheetLayoutView="15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'2.2.4'!A1:G1+1</f>
        <v>19</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2.6" customHeight="1">
      <c r="A5" s="13" t="s">
        <v>24</v>
      </c>
      <c r="B5" s="39" t="s">
        <v>15</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126</v>
      </c>
      <c r="D12" s="42">
        <f t="shared" si="0"/>
        <v>126</v>
      </c>
      <c r="E12" s="42">
        <f t="shared" ref="E12:F12" si="1">SUM(E30+E48+E66)</f>
        <v>140</v>
      </c>
      <c r="F12" s="42">
        <f t="shared" si="1"/>
        <v>151</v>
      </c>
      <c r="G12" s="44">
        <f t="shared" ref="G12" si="2">SUM(G30+G48+G66)</f>
        <v>166</v>
      </c>
      <c r="H12" s="153">
        <f>IF('AW Schulen'!$B78=0,"x",C12/'AW Schulen'!$B78)</f>
        <v>0.2937062937062937</v>
      </c>
      <c r="I12" s="153">
        <f>IF('AW Schulen'!$E78=0,"x",D12/'AW Schulen'!$E78)</f>
        <v>0.2937062937062937</v>
      </c>
      <c r="J12" s="153">
        <f>IF('AW Schulen'!$H78=0,"x",E12/'AW Schulen'!$H78)</f>
        <v>0.32634032634032634</v>
      </c>
      <c r="K12" s="153">
        <f>IF('AW Schulen'!$K78=0,"x",F12/'AW Schulen'!$K78)</f>
        <v>0.351981351981352</v>
      </c>
      <c r="L12" s="154">
        <f>IF('AW Schulen'!$N78=0,"x",G12/'AW Schulen'!$N78)</f>
        <v>0.38604651162790699</v>
      </c>
    </row>
    <row r="13" spans="1:13" ht="9" customHeight="1">
      <c r="A13" s="21" t="s">
        <v>81</v>
      </c>
      <c r="B13" s="120"/>
      <c r="C13" s="42">
        <f t="shared" si="0"/>
        <v>186</v>
      </c>
      <c r="D13" s="42">
        <f t="shared" si="0"/>
        <v>201</v>
      </c>
      <c r="E13" s="42">
        <f t="shared" ref="E13:F13" si="3">SUM(E31+E49+E67)</f>
        <v>202</v>
      </c>
      <c r="F13" s="42">
        <f t="shared" si="3"/>
        <v>223</v>
      </c>
      <c r="G13" s="44">
        <f t="shared" ref="G13" si="4">SUM(G31+G49+G67)</f>
        <v>225</v>
      </c>
      <c r="H13" s="153">
        <f>IF('AW Schulen'!$B79=0,"x",C13/'AW Schulen'!$B79)</f>
        <v>0.59424920127795522</v>
      </c>
      <c r="I13" s="153">
        <f>IF('AW Schulen'!$E79=0,"x",D13/'AW Schulen'!$E79)</f>
        <v>0.62812500000000004</v>
      </c>
      <c r="J13" s="153">
        <f>IF('AW Schulen'!$H79=0,"x",E13/'AW Schulen'!$H79)</f>
        <v>0.63322884012539182</v>
      </c>
      <c r="K13" s="153">
        <f>IF('AW Schulen'!$K79=0,"x",F13/'AW Schulen'!$K79)</f>
        <v>0.69905956112852663</v>
      </c>
      <c r="L13" s="154">
        <f>IF('AW Schulen'!$N79=0,"x",G13/'AW Schulen'!$N79)</f>
        <v>0.70532915360501569</v>
      </c>
    </row>
    <row r="14" spans="1:13" ht="9" customHeight="1">
      <c r="A14" s="21" t="s">
        <v>82</v>
      </c>
      <c r="B14" s="120"/>
      <c r="C14" s="149">
        <f t="shared" si="0"/>
        <v>0</v>
      </c>
      <c r="D14" s="149">
        <f t="shared" si="0"/>
        <v>0</v>
      </c>
      <c r="E14" s="149">
        <f t="shared" ref="E14:F14" si="5">SUM(E32+E50+E68)</f>
        <v>0</v>
      </c>
      <c r="F14" s="149">
        <f t="shared" si="5"/>
        <v>0</v>
      </c>
      <c r="G14" s="150">
        <f t="shared" ref="G14" si="6">SUM(G32+G50+G68)</f>
        <v>0</v>
      </c>
      <c r="H14" s="153" t="str">
        <f>IF('AW Schulen'!$B80=0,"x",C14/'AW Schulen'!$B80)</f>
        <v>x</v>
      </c>
      <c r="I14" s="153" t="str">
        <f>IF('AW Schulen'!$E80=0,"x",D14/'AW Schulen'!$E80)</f>
        <v>x</v>
      </c>
      <c r="J14" s="153" t="str">
        <f>IF('AW Schulen'!$H80=0,"x",E14/'AW Schulen'!$H80)</f>
        <v>x</v>
      </c>
      <c r="K14" s="153" t="str">
        <f>IF('AW Schulen'!$K80=0,"x",F14/'AW Schulen'!$K80)</f>
        <v>x</v>
      </c>
      <c r="L14" s="154" t="str">
        <f>IF('AW Schulen'!$N80=0,"x",G14/'AW Schulen'!$N80)</f>
        <v>x</v>
      </c>
    </row>
    <row r="15" spans="1:13" ht="9" customHeight="1">
      <c r="A15" s="21" t="s">
        <v>83</v>
      </c>
      <c r="B15" s="120"/>
      <c r="C15" s="149">
        <f t="shared" si="0"/>
        <v>0</v>
      </c>
      <c r="D15" s="149">
        <f t="shared" si="0"/>
        <v>0</v>
      </c>
      <c r="E15" s="149">
        <f t="shared" ref="E15:F15" si="7">SUM(E33+E51+E69)</f>
        <v>0</v>
      </c>
      <c r="F15" s="149">
        <f t="shared" si="7"/>
        <v>0</v>
      </c>
      <c r="G15" s="150">
        <f t="shared" ref="G15" si="8">SUM(G33+G51+G69)</f>
        <v>0</v>
      </c>
      <c r="H15" s="153" t="str">
        <f>IF('AW Schulen'!$B81=0,"x",C15/'AW Schulen'!$B81)</f>
        <v>x</v>
      </c>
      <c r="I15" s="153" t="str">
        <f>IF('AW Schulen'!$E81=0,"x",D15/'AW Schulen'!$E81)</f>
        <v>x</v>
      </c>
      <c r="J15" s="153" t="str">
        <f>IF('AW Schulen'!$H81=0,"x",E15/'AW Schulen'!$H81)</f>
        <v>x</v>
      </c>
      <c r="K15" s="153" t="str">
        <f>IF('AW Schulen'!$K81=0,"x",F15/'AW Schulen'!$K81)</f>
        <v>x</v>
      </c>
      <c r="L15" s="154" t="str">
        <f>IF('AW Schulen'!$N81=0,"x",G15/'AW Schulen'!$N81)</f>
        <v>x</v>
      </c>
    </row>
    <row r="16" spans="1:13" ht="9" customHeight="1">
      <c r="A16" s="21" t="s">
        <v>84</v>
      </c>
      <c r="B16" s="120"/>
      <c r="C16" s="149">
        <f t="shared" si="0"/>
        <v>0</v>
      </c>
      <c r="D16" s="149">
        <f t="shared" si="0"/>
        <v>0</v>
      </c>
      <c r="E16" s="149">
        <f t="shared" ref="E16:F16" si="9">SUM(E34+E52+E70)</f>
        <v>0</v>
      </c>
      <c r="F16" s="149">
        <f t="shared" si="9"/>
        <v>0</v>
      </c>
      <c r="G16" s="150">
        <f t="shared" ref="G16" si="10">SUM(G34+G52+G70)</f>
        <v>0</v>
      </c>
      <c r="H16" s="153" t="str">
        <f>IF('AW Schulen'!$B82=0,"x",C16/'AW Schulen'!$B82)</f>
        <v>x</v>
      </c>
      <c r="I16" s="153" t="str">
        <f>IF('AW Schulen'!$E82=0,"x",D16/'AW Schulen'!$E82)</f>
        <v>x</v>
      </c>
      <c r="J16" s="153" t="str">
        <f>IF('AW Schulen'!$H82=0,"x",E16/'AW Schulen'!$H82)</f>
        <v>x</v>
      </c>
      <c r="K16" s="153" t="str">
        <f>IF('AW Schulen'!$K82=0,"x",F16/'AW Schulen'!$K82)</f>
        <v>x</v>
      </c>
      <c r="L16" s="154" t="str">
        <f>IF('AW Schulen'!$N82=0,"x",G16/'AW Schulen'!$N82)</f>
        <v>x</v>
      </c>
    </row>
    <row r="17" spans="1:12" ht="9" customHeight="1">
      <c r="A17" s="21" t="s">
        <v>85</v>
      </c>
      <c r="B17" s="120"/>
      <c r="C17" s="149">
        <f t="shared" si="0"/>
        <v>0</v>
      </c>
      <c r="D17" s="149">
        <f t="shared" si="0"/>
        <v>0</v>
      </c>
      <c r="E17" s="149">
        <f t="shared" ref="E17:F17" si="11">SUM(E35+E53+E71)</f>
        <v>0</v>
      </c>
      <c r="F17" s="149">
        <f t="shared" si="11"/>
        <v>0</v>
      </c>
      <c r="G17" s="150">
        <f t="shared" ref="G17" si="12">SUM(G35+G53+G71)</f>
        <v>0</v>
      </c>
      <c r="H17" s="153" t="str">
        <f>IF('AW Schulen'!$B83=0,"x",C17/'AW Schulen'!$B83)</f>
        <v>x</v>
      </c>
      <c r="I17" s="153" t="str">
        <f>IF('AW Schulen'!$E83=0,"x",D17/'AW Schulen'!$E83)</f>
        <v>x</v>
      </c>
      <c r="J17" s="153" t="str">
        <f>IF('AW Schulen'!$H83=0,"x",E17/'AW Schulen'!$H83)</f>
        <v>x</v>
      </c>
      <c r="K17" s="153" t="str">
        <f>IF('AW Schulen'!$K83=0,"x",F17/'AW Schulen'!$K83)</f>
        <v>x</v>
      </c>
      <c r="L17" s="154" t="str">
        <f>IF('AW Schulen'!$N83=0,"x",G17/'AW Schulen'!$N83)</f>
        <v>x</v>
      </c>
    </row>
    <row r="18" spans="1:12" ht="9" customHeight="1">
      <c r="A18" s="21" t="s">
        <v>86</v>
      </c>
      <c r="B18" s="120"/>
      <c r="C18" s="42">
        <f t="shared" si="0"/>
        <v>224</v>
      </c>
      <c r="D18" s="42">
        <f t="shared" si="0"/>
        <v>228</v>
      </c>
      <c r="E18" s="42">
        <f t="shared" ref="E18:F18" si="13">SUM(E36+E54+E72)</f>
        <v>220</v>
      </c>
      <c r="F18" s="42">
        <f t="shared" si="13"/>
        <v>217</v>
      </c>
      <c r="G18" s="44">
        <f t="shared" ref="G18" si="14">SUM(G36+G54+G72)</f>
        <v>206</v>
      </c>
      <c r="H18" s="153">
        <f>IF('AW Schulen'!$B84=0,"x",C18/'AW Schulen'!$B84)</f>
        <v>0.89600000000000002</v>
      </c>
      <c r="I18" s="153">
        <f>IF('AW Schulen'!$E84=0,"x",D18/'AW Schulen'!$E84)</f>
        <v>0.91935483870967738</v>
      </c>
      <c r="J18" s="153">
        <f>IF('AW Schulen'!$H84=0,"x",E18/'AW Schulen'!$H84)</f>
        <v>0.92050209205020916</v>
      </c>
      <c r="K18" s="153">
        <f>IF('AW Schulen'!$K84=0,"x",F18/'AW Schulen'!$K84)</f>
        <v>0.92340425531914894</v>
      </c>
      <c r="L18" s="154">
        <f>IF('AW Schulen'!$N84=0,"x",G18/'AW Schulen'!$N84)</f>
        <v>0.92792792792792789</v>
      </c>
    </row>
    <row r="19" spans="1:12" ht="9" customHeight="1">
      <c r="A19" s="21" t="s">
        <v>87</v>
      </c>
      <c r="B19" s="120"/>
      <c r="C19" s="149">
        <f t="shared" si="0"/>
        <v>0</v>
      </c>
      <c r="D19" s="149">
        <f t="shared" si="0"/>
        <v>0</v>
      </c>
      <c r="E19" s="149">
        <f t="shared" ref="E19:F19" si="15">SUM(E37+E55+E73)</f>
        <v>0</v>
      </c>
      <c r="F19" s="149">
        <f t="shared" si="15"/>
        <v>0</v>
      </c>
      <c r="G19" s="150">
        <f t="shared" ref="G19" si="16">SUM(G37+G55+G73)</f>
        <v>0</v>
      </c>
      <c r="H19" s="153" t="str">
        <f>IF('AW Schulen'!$B85=0,"x",C19/'AW Schulen'!$B85)</f>
        <v>x</v>
      </c>
      <c r="I19" s="153" t="str">
        <f>IF('AW Schulen'!$E85=0,"x",D19/'AW Schulen'!$E85)</f>
        <v>x</v>
      </c>
      <c r="J19" s="153" t="str">
        <f>IF('AW Schulen'!$H85=0,"x",E19/'AW Schulen'!$H85)</f>
        <v>x</v>
      </c>
      <c r="K19" s="153" t="str">
        <f>IF('AW Schulen'!$K85=0,"x",F19/'AW Schulen'!$K85)</f>
        <v>x</v>
      </c>
      <c r="L19" s="154" t="str">
        <f>IF('AW Schulen'!$N85=0,"x",G19/'AW Schulen'!$N85)</f>
        <v>x</v>
      </c>
    </row>
    <row r="20" spans="1:12" ht="9" customHeight="1">
      <c r="A20" s="21" t="s">
        <v>88</v>
      </c>
      <c r="B20" s="120"/>
      <c r="C20" s="42">
        <f t="shared" si="0"/>
        <v>330</v>
      </c>
      <c r="D20" s="42">
        <f t="shared" si="0"/>
        <v>333</v>
      </c>
      <c r="E20" s="42">
        <f t="shared" ref="E20:F20" si="17">SUM(E38+E56+E74)</f>
        <v>327</v>
      </c>
      <c r="F20" s="42">
        <f t="shared" si="17"/>
        <v>315</v>
      </c>
      <c r="G20" s="44">
        <f t="shared" ref="G20" si="18">SUM(G38+G56+G74)</f>
        <v>217</v>
      </c>
      <c r="H20" s="153">
        <f>IF('AW Schulen'!$B86=0,"x",C20/'AW Schulen'!$B86)</f>
        <v>0.70362473347547971</v>
      </c>
      <c r="I20" s="153">
        <f>IF('AW Schulen'!$E86=0,"x",D20/'AW Schulen'!$E86)</f>
        <v>0.71459227467811159</v>
      </c>
      <c r="J20" s="153">
        <f>IF('AW Schulen'!$H86=0,"x",E20/'AW Schulen'!$H86)</f>
        <v>0.72345132743362828</v>
      </c>
      <c r="K20" s="153">
        <f>IF('AW Schulen'!$K86=0,"x",F20/'AW Schulen'!$K86)</f>
        <v>0.73255813953488369</v>
      </c>
      <c r="L20" s="154">
        <f>IF('AW Schulen'!$N86=0,"x",G20/'AW Schulen'!$N86)</f>
        <v>0.74061433447098979</v>
      </c>
    </row>
    <row r="21" spans="1:12" ht="9" customHeight="1">
      <c r="A21" s="21" t="s">
        <v>89</v>
      </c>
      <c r="B21" s="120"/>
      <c r="C21" s="42">
        <f t="shared" si="0"/>
        <v>108</v>
      </c>
      <c r="D21" s="42">
        <f t="shared" si="0"/>
        <v>112</v>
      </c>
      <c r="E21" s="42">
        <f t="shared" ref="E21:F21" si="19">SUM(E39+E57+E75)</f>
        <v>117</v>
      </c>
      <c r="F21" s="42">
        <f t="shared" si="19"/>
        <v>117</v>
      </c>
      <c r="G21" s="44">
        <f t="shared" ref="G21" si="20">SUM(G39+G57+G75)</f>
        <v>115</v>
      </c>
      <c r="H21" s="153">
        <f>IF('AW Schulen'!$B87=0,"x",C21/'AW Schulen'!$B87)</f>
        <v>0.2125984251968504</v>
      </c>
      <c r="I21" s="153">
        <f>IF('AW Schulen'!$E87=0,"x",D21/'AW Schulen'!$E87)</f>
        <v>0.22090729783037474</v>
      </c>
      <c r="J21" s="153">
        <f>IF('AW Schulen'!$H87=0,"x",E21/'AW Schulen'!$H87)</f>
        <v>0.23214285714285715</v>
      </c>
      <c r="K21" s="153">
        <f>IF('AW Schulen'!$K87=0,"x",F21/'AW Schulen'!$K87)</f>
        <v>0.23446893787575152</v>
      </c>
      <c r="L21" s="154">
        <f>IF('AW Schulen'!$N87=0,"x",G21/'AW Schulen'!$N87)</f>
        <v>0.2405857740585774</v>
      </c>
    </row>
    <row r="22" spans="1:12" ht="9" customHeight="1">
      <c r="A22" s="21" t="s">
        <v>90</v>
      </c>
      <c r="B22" s="120"/>
      <c r="C22" s="42">
        <f t="shared" si="0"/>
        <v>3</v>
      </c>
      <c r="D22" s="149">
        <f t="shared" si="0"/>
        <v>0</v>
      </c>
      <c r="E22" s="149">
        <f t="shared" ref="E22:F22" si="21">SUM(E40+E58+E76)</f>
        <v>0</v>
      </c>
      <c r="F22" s="149">
        <f t="shared" si="21"/>
        <v>0</v>
      </c>
      <c r="G22" s="150">
        <f t="shared" ref="G22" si="22">SUM(G40+G58+G76)</f>
        <v>0</v>
      </c>
      <c r="H22" s="153">
        <f>IF('AW Schulen'!$B88=0,"x",C22/'AW Schulen'!$B88)</f>
        <v>0.42857142857142855</v>
      </c>
      <c r="I22" s="153" t="str">
        <f>IF('AW Schulen'!$E88=0,"x",D22/'AW Schulen'!$E88)</f>
        <v>x</v>
      </c>
      <c r="J22" s="153" t="str">
        <f>IF('AW Schulen'!$H88=0,"x",E22/'AW Schulen'!$H88)</f>
        <v>x</v>
      </c>
      <c r="K22" s="153" t="str">
        <f>IF('AW Schulen'!$K88=0,"x",F22/'AW Schulen'!$K88)</f>
        <v>x</v>
      </c>
      <c r="L22" s="154" t="str">
        <f>IF('AW Schulen'!$N88=0,"x",G22/'AW Schulen'!$N88)</f>
        <v>x</v>
      </c>
    </row>
    <row r="23" spans="1:12" ht="9" customHeight="1">
      <c r="A23" s="21" t="s">
        <v>91</v>
      </c>
      <c r="B23" s="120"/>
      <c r="C23" s="149">
        <f t="shared" si="0"/>
        <v>0</v>
      </c>
      <c r="D23" s="149">
        <f t="shared" si="0"/>
        <v>0</v>
      </c>
      <c r="E23" s="149">
        <f t="shared" ref="E23:F23" si="23">SUM(E41+E59+E77)</f>
        <v>0</v>
      </c>
      <c r="F23" s="149">
        <f t="shared" si="23"/>
        <v>0</v>
      </c>
      <c r="G23" s="150">
        <f t="shared" ref="G23" si="24">SUM(G41+G59+G77)</f>
        <v>0</v>
      </c>
      <c r="H23" s="153" t="str">
        <f>IF('AW Schulen'!$B89=0,"x",C23/'AW Schulen'!$B89)</f>
        <v>x</v>
      </c>
      <c r="I23" s="153" t="str">
        <f>IF('AW Schulen'!$E89=0,"x",D23/'AW Schulen'!$E89)</f>
        <v>x</v>
      </c>
      <c r="J23" s="153" t="str">
        <f>IF('AW Schulen'!$H89=0,"x",E23/'AW Schulen'!$H89)</f>
        <v>x</v>
      </c>
      <c r="K23" s="153" t="str">
        <f>IF('AW Schulen'!$K89=0,"x",F23/'AW Schulen'!$K89)</f>
        <v>x</v>
      </c>
      <c r="L23" s="154" t="str">
        <f>IF('AW Schulen'!$N89=0,"x",G23/'AW Schulen'!$N89)</f>
        <v>x</v>
      </c>
    </row>
    <row r="24" spans="1:12" ht="9" customHeight="1">
      <c r="A24" s="21" t="s">
        <v>92</v>
      </c>
      <c r="B24" s="120"/>
      <c r="C24" s="149">
        <f t="shared" si="0"/>
        <v>0</v>
      </c>
      <c r="D24" s="149">
        <f t="shared" si="0"/>
        <v>0</v>
      </c>
      <c r="E24" s="149">
        <f t="shared" ref="E24:F24" si="25">SUM(E42+E60+E78)</f>
        <v>0</v>
      </c>
      <c r="F24" s="149">
        <f t="shared" si="25"/>
        <v>0</v>
      </c>
      <c r="G24" s="150">
        <f t="shared" ref="G24" si="26">SUM(G42+G60+G78)</f>
        <v>0</v>
      </c>
      <c r="H24" s="153" t="str">
        <f>IF('AW Schulen'!$B90=0,"x",C24/'AW Schulen'!$B90)</f>
        <v>x</v>
      </c>
      <c r="I24" s="153" t="str">
        <f>IF('AW Schulen'!$E90=0,"x",D24/'AW Schulen'!$E90)</f>
        <v>x</v>
      </c>
      <c r="J24" s="153" t="str">
        <f>IF('AW Schulen'!$H90=0,"x",E24/'AW Schulen'!$H90)</f>
        <v>x</v>
      </c>
      <c r="K24" s="153" t="str">
        <f>IF('AW Schulen'!$K90=0,"x",F24/'AW Schulen'!$K90)</f>
        <v>x</v>
      </c>
      <c r="L24" s="154" t="str">
        <f>IF('AW Schulen'!$N90=0,"x",G24/'AW Schulen'!$N90)</f>
        <v>x</v>
      </c>
    </row>
    <row r="25" spans="1:12" ht="9" customHeight="1">
      <c r="A25" s="21" t="s">
        <v>93</v>
      </c>
      <c r="B25" s="120"/>
      <c r="C25" s="149">
        <f t="shared" si="0"/>
        <v>0</v>
      </c>
      <c r="D25" s="149">
        <f t="shared" si="0"/>
        <v>0</v>
      </c>
      <c r="E25" s="149">
        <f t="shared" ref="E25:F25" si="27">SUM(E43+E61+E79)</f>
        <v>0</v>
      </c>
      <c r="F25" s="149">
        <f t="shared" si="27"/>
        <v>0</v>
      </c>
      <c r="G25" s="150">
        <f t="shared" ref="G25" si="28">SUM(G43+G61+G79)</f>
        <v>0</v>
      </c>
      <c r="H25" s="153" t="str">
        <f>IF('AW Schulen'!$B91=0,"x",C25/'AW Schulen'!$B91)</f>
        <v>x</v>
      </c>
      <c r="I25" s="153" t="str">
        <f>IF('AW Schulen'!$E91=0,"x",D25/'AW Schulen'!$E91)</f>
        <v>x</v>
      </c>
      <c r="J25" s="153" t="str">
        <f>IF('AW Schulen'!$H91=0,"x",E25/'AW Schulen'!$H91)</f>
        <v>x</v>
      </c>
      <c r="K25" s="153" t="str">
        <f>IF('AW Schulen'!$K91=0,"x",F25/'AW Schulen'!$K91)</f>
        <v>x</v>
      </c>
      <c r="L25" s="154" t="str">
        <f>IF('AW Schulen'!$N91=0,"x",G25/'AW Schulen'!$N91)</f>
        <v>x</v>
      </c>
    </row>
    <row r="26" spans="1:12" ht="9" customHeight="1">
      <c r="A26" s="21" t="s">
        <v>94</v>
      </c>
      <c r="B26" s="120"/>
      <c r="C26" s="42">
        <f t="shared" si="0"/>
        <v>127</v>
      </c>
      <c r="D26" s="42">
        <f t="shared" si="0"/>
        <v>69</v>
      </c>
      <c r="E26" s="42">
        <f t="shared" ref="E26:F26" si="29">SUM(E44+E62+E80)</f>
        <v>24</v>
      </c>
      <c r="F26" s="42">
        <f t="shared" si="29"/>
        <v>0</v>
      </c>
      <c r="G26" s="150">
        <f t="shared" ref="G26" si="30">SUM(G44+G62+G80)</f>
        <v>0</v>
      </c>
      <c r="H26" s="153">
        <f>IF('AW Schulen'!$B92=0,"x",C26/'AW Schulen'!$B92)</f>
        <v>0.88194444444444442</v>
      </c>
      <c r="I26" s="153">
        <f>IF('AW Schulen'!$E92=0,"x",D26/'AW Schulen'!$E92)</f>
        <v>0.90789473684210531</v>
      </c>
      <c r="J26" s="153">
        <f>IF('AW Schulen'!$H92=0,"x",E26/'AW Schulen'!$H92)</f>
        <v>0.8571428571428571</v>
      </c>
      <c r="K26" s="153">
        <f>IF('AW Schulen'!$K92=0,"x",F26/'AW Schulen'!$K92)</f>
        <v>0</v>
      </c>
      <c r="L26" s="154" t="str">
        <f>IF('AW Schulen'!$N92=0,"x",G26/'AW Schulen'!$N92)</f>
        <v>x</v>
      </c>
    </row>
    <row r="27" spans="1:12" ht="9" customHeight="1">
      <c r="A27" s="21" t="s">
        <v>95</v>
      </c>
      <c r="B27" s="120"/>
      <c r="C27" s="149">
        <f t="shared" si="0"/>
        <v>0</v>
      </c>
      <c r="D27" s="149">
        <f t="shared" si="0"/>
        <v>0</v>
      </c>
      <c r="E27" s="149">
        <f t="shared" ref="E27:F27" si="31">SUM(E45+E63+E81)</f>
        <v>0</v>
      </c>
      <c r="F27" s="149">
        <f t="shared" si="31"/>
        <v>0</v>
      </c>
      <c r="G27" s="150">
        <f t="shared" ref="G27" si="32">SUM(G45+G63+G81)</f>
        <v>0</v>
      </c>
      <c r="H27" s="153" t="str">
        <f>IF('AW Schulen'!$B93=0,"x",C27/'AW Schulen'!$B93)</f>
        <v>x</v>
      </c>
      <c r="I27" s="153" t="str">
        <f>IF('AW Schulen'!$E93=0,"x",D27/'AW Schulen'!$E93)</f>
        <v>x</v>
      </c>
      <c r="J27" s="153" t="str">
        <f>IF('AW Schulen'!$H93=0,"x",E27/'AW Schulen'!$H93)</f>
        <v>x</v>
      </c>
      <c r="K27" s="153" t="str">
        <f>IF('AW Schulen'!$K93=0,"x",F27/'AW Schulen'!$K93)</f>
        <v>x</v>
      </c>
      <c r="L27" s="154" t="str">
        <f>IF('AW Schulen'!$N93=0,"x",G27/'AW Schulen'!$N93)</f>
        <v>x</v>
      </c>
    </row>
    <row r="28" spans="1:12" ht="9" customHeight="1">
      <c r="A28" s="21" t="s">
        <v>96</v>
      </c>
      <c r="B28" s="120"/>
      <c r="C28" s="42">
        <f t="shared" si="0"/>
        <v>1104</v>
      </c>
      <c r="D28" s="42">
        <f t="shared" si="0"/>
        <v>1069</v>
      </c>
      <c r="E28" s="42">
        <f t="shared" ref="E28:F28" si="33">SUM(E46+E64+E82)</f>
        <v>1030</v>
      </c>
      <c r="F28" s="42">
        <f t="shared" si="33"/>
        <v>1023</v>
      </c>
      <c r="G28" s="44">
        <f t="shared" ref="G28" si="34">SUM(G46+G64+G82)</f>
        <v>929</v>
      </c>
      <c r="H28" s="153">
        <f>IF('AW Schulen'!$B94=0,"x",C28/'AW Schulen'!$B94)</f>
        <v>0.52075471698113207</v>
      </c>
      <c r="I28" s="153">
        <f>IF('AW Schulen'!$E94=0,"x",D28/'AW Schulen'!$E94)</f>
        <v>0.52248289345063537</v>
      </c>
      <c r="J28" s="153">
        <f>IF('AW Schulen'!$H94=0,"x",E28/'AW Schulen'!$H94)</f>
        <v>0.52257737189244036</v>
      </c>
      <c r="K28" s="153">
        <f>IF('AW Schulen'!$K94=0,"x",F28/'AW Schulen'!$K94)</f>
        <v>0.53476215368531099</v>
      </c>
      <c r="L28" s="154">
        <f>IF('AW Schulen'!$N94=0,"x",G28/'AW Schulen'!$N94)</f>
        <v>0.53329506314580943</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[1]GtS!$F$13</f>
        <v>6</v>
      </c>
      <c r="D30" s="23">
        <f>[2]GtS!$F$13</f>
        <v>6</v>
      </c>
      <c r="E30" s="23">
        <f>[3]GtS!$F$13</f>
        <v>6</v>
      </c>
      <c r="F30" s="23">
        <f>[4]GtS!$F$13</f>
        <v>6</v>
      </c>
      <c r="G30" s="34">
        <f>[5]GtS!$F$13</f>
        <v>6</v>
      </c>
      <c r="H30" s="155">
        <f>IF('AW Schulen'!$B78=0,"x",C30/'AW Schulen'!$B78)</f>
        <v>1.3986013986013986E-2</v>
      </c>
      <c r="I30" s="155">
        <f>IF('AW Schulen'!$E78=0,"x",D30/'AW Schulen'!$E78)</f>
        <v>1.3986013986013986E-2</v>
      </c>
      <c r="J30" s="155">
        <f>IF('AW Schulen'!$H78=0,"x",E30/'AW Schulen'!$H78)</f>
        <v>1.3986013986013986E-2</v>
      </c>
      <c r="K30" s="155">
        <f>IF('AW Schulen'!$K78=0,"x",F30/'AW Schulen'!$K78)</f>
        <v>1.3986013986013986E-2</v>
      </c>
      <c r="L30" s="156">
        <f>IF('AW Schulen'!$N78=0,"x",G30/'AW Schulen'!$N78)</f>
        <v>1.3953488372093023E-2</v>
      </c>
    </row>
    <row r="31" spans="1:12" ht="9" customHeight="1">
      <c r="A31" s="21" t="s">
        <v>81</v>
      </c>
      <c r="B31" s="120"/>
      <c r="C31" s="23">
        <f>[6]GtS!$F$13</f>
        <v>3</v>
      </c>
      <c r="D31" s="23">
        <f>[7]GtS!$F$13</f>
        <v>3</v>
      </c>
      <c r="E31" s="23">
        <f>[8]GtS!$F$13</f>
        <v>3</v>
      </c>
      <c r="F31" s="23">
        <f>[9]GtS!$F$13</f>
        <v>4</v>
      </c>
      <c r="G31" s="34">
        <f>[10]GtS!$F$13</f>
        <v>4</v>
      </c>
      <c r="H31" s="155">
        <f>IF('AW Schulen'!$B79=0,"x",C31/'AW Schulen'!$B79)</f>
        <v>9.5846645367412137E-3</v>
      </c>
      <c r="I31" s="155">
        <f>IF('AW Schulen'!$E79=0,"x",D31/'AW Schulen'!$E79)</f>
        <v>9.3749999999999997E-3</v>
      </c>
      <c r="J31" s="155">
        <f>IF('AW Schulen'!$H79=0,"x",E31/'AW Schulen'!$H79)</f>
        <v>9.4043887147335428E-3</v>
      </c>
      <c r="K31" s="155">
        <f>IF('AW Schulen'!$K79=0,"x",F31/'AW Schulen'!$K79)</f>
        <v>1.2539184952978056E-2</v>
      </c>
      <c r="L31" s="156">
        <f>IF('AW Schulen'!$N79=0,"x",G31/'AW Schulen'!$N79)</f>
        <v>1.2539184952978056E-2</v>
      </c>
    </row>
    <row r="32" spans="1:12" ht="9" customHeight="1">
      <c r="A32" s="21" t="s">
        <v>82</v>
      </c>
      <c r="B32" s="120"/>
      <c r="C32" s="151">
        <f>[11]GtS!$F$13</f>
        <v>0</v>
      </c>
      <c r="D32" s="151">
        <f>[12]GtS!$F$13</f>
        <v>0</v>
      </c>
      <c r="E32" s="151">
        <f>[13]GtS!$F$13</f>
        <v>0</v>
      </c>
      <c r="F32" s="151">
        <f>[14]GtS!$F$13</f>
        <v>0</v>
      </c>
      <c r="G32" s="152">
        <f>[15]GtS!$F$13</f>
        <v>0</v>
      </c>
      <c r="H32" s="155" t="str">
        <f>IF('AW Schulen'!$B80=0,"x",C32/'AW Schulen'!$B80)</f>
        <v>x</v>
      </c>
      <c r="I32" s="155" t="str">
        <f>IF('AW Schulen'!$E80=0,"x",D32/'AW Schulen'!$E80)</f>
        <v>x</v>
      </c>
      <c r="J32" s="155" t="str">
        <f>IF('AW Schulen'!$H80=0,"x",E32/'AW Schulen'!$H80)</f>
        <v>x</v>
      </c>
      <c r="K32" s="155" t="str">
        <f>IF('AW Schulen'!$K80=0,"x",F32/'AW Schulen'!$K80)</f>
        <v>x</v>
      </c>
      <c r="L32" s="156" t="str">
        <f>IF('AW Schulen'!$N80=0,"x",G32/'AW Schulen'!$N80)</f>
        <v>x</v>
      </c>
    </row>
    <row r="33" spans="1:12" ht="9" customHeight="1">
      <c r="A33" s="21" t="s">
        <v>83</v>
      </c>
      <c r="B33" s="120"/>
      <c r="C33" s="151">
        <f>[16]GtS!$F$13</f>
        <v>0</v>
      </c>
      <c r="D33" s="151">
        <f>[17]GtS!$F$13</f>
        <v>0</v>
      </c>
      <c r="E33" s="151">
        <f>[18]GtS!$F$13</f>
        <v>0</v>
      </c>
      <c r="F33" s="151">
        <f>[19]GtS!$F$13</f>
        <v>0</v>
      </c>
      <c r="G33" s="152">
        <f>[20]GtS!$F$13</f>
        <v>0</v>
      </c>
      <c r="H33" s="155" t="str">
        <f>IF('AW Schulen'!$B81=0,"x",C33/'AW Schulen'!$B81)</f>
        <v>x</v>
      </c>
      <c r="I33" s="155" t="str">
        <f>IF('AW Schulen'!$E81=0,"x",D33/'AW Schulen'!$E81)</f>
        <v>x</v>
      </c>
      <c r="J33" s="155" t="str">
        <f>IF('AW Schulen'!$H81=0,"x",E33/'AW Schulen'!$H81)</f>
        <v>x</v>
      </c>
      <c r="K33" s="155" t="str">
        <f>IF('AW Schulen'!$K81=0,"x",F33/'AW Schulen'!$K81)</f>
        <v>x</v>
      </c>
      <c r="L33" s="156" t="str">
        <f>IF('AW Schulen'!$N81=0,"x",G33/'AW Schulen'!$N81)</f>
        <v>x</v>
      </c>
    </row>
    <row r="34" spans="1:12" ht="9" customHeight="1">
      <c r="A34" s="21" t="s">
        <v>84</v>
      </c>
      <c r="B34" s="120"/>
      <c r="C34" s="151">
        <f>[21]GtS!$F$13</f>
        <v>0</v>
      </c>
      <c r="D34" s="151">
        <f>[22]GtS!$F$13</f>
        <v>0</v>
      </c>
      <c r="E34" s="151">
        <f>[23]GtS!$F$13</f>
        <v>0</v>
      </c>
      <c r="F34" s="151">
        <f>[24]GtS!$F$13</f>
        <v>0</v>
      </c>
      <c r="G34" s="152">
        <f>[25]GtS!$F$13</f>
        <v>0</v>
      </c>
      <c r="H34" s="155" t="str">
        <f>IF('AW Schulen'!$B82=0,"x",C34/'AW Schulen'!$B82)</f>
        <v>x</v>
      </c>
      <c r="I34" s="155" t="str">
        <f>IF('AW Schulen'!$E82=0,"x",D34/'AW Schulen'!$E82)</f>
        <v>x</v>
      </c>
      <c r="J34" s="155" t="str">
        <f>IF('AW Schulen'!$H82=0,"x",E34/'AW Schulen'!$H82)</f>
        <v>x</v>
      </c>
      <c r="K34" s="155" t="str">
        <f>IF('AW Schulen'!$K82=0,"x",F34/'AW Schulen'!$K82)</f>
        <v>x</v>
      </c>
      <c r="L34" s="156" t="str">
        <f>IF('AW Schulen'!$N82=0,"x",G34/'AW Schulen'!$N82)</f>
        <v>x</v>
      </c>
    </row>
    <row r="35" spans="1:12" ht="9" customHeight="1">
      <c r="A35" s="21" t="s">
        <v>85</v>
      </c>
      <c r="B35" s="120"/>
      <c r="C35" s="151">
        <f>[26]GtS!$F$13</f>
        <v>0</v>
      </c>
      <c r="D35" s="151">
        <f>[27]GtS!$F$13</f>
        <v>0</v>
      </c>
      <c r="E35" s="151">
        <f>[28]GtS!$F$13</f>
        <v>0</v>
      </c>
      <c r="F35" s="151">
        <f>[29]GtS!$F$13</f>
        <v>0</v>
      </c>
      <c r="G35" s="152">
        <f>[30]GtS!$F$13</f>
        <v>0</v>
      </c>
      <c r="H35" s="155" t="str">
        <f>IF('AW Schulen'!$B83=0,"x",C35/'AW Schulen'!$B83)</f>
        <v>x</v>
      </c>
      <c r="I35" s="155" t="str">
        <f>IF('AW Schulen'!$E83=0,"x",D35/'AW Schulen'!$E83)</f>
        <v>x</v>
      </c>
      <c r="J35" s="155" t="str">
        <f>IF('AW Schulen'!$H83=0,"x",E35/'AW Schulen'!$H83)</f>
        <v>x</v>
      </c>
      <c r="K35" s="155" t="str">
        <f>IF('AW Schulen'!$K83=0,"x",F35/'AW Schulen'!$K83)</f>
        <v>x</v>
      </c>
      <c r="L35" s="156" t="str">
        <f>IF('AW Schulen'!$N83=0,"x",G35/'AW Schulen'!$N83)</f>
        <v>x</v>
      </c>
    </row>
    <row r="36" spans="1:12" ht="9" customHeight="1">
      <c r="A36" s="21" t="s">
        <v>86</v>
      </c>
      <c r="B36" s="120"/>
      <c r="C36" s="23">
        <f>[66]GtS!$F$13</f>
        <v>4</v>
      </c>
      <c r="D36" s="23">
        <f>[67]GtS!$F$13</f>
        <v>4</v>
      </c>
      <c r="E36" s="23">
        <f>[68]GtS!$F$13</f>
        <v>4</v>
      </c>
      <c r="F36" s="23">
        <f>[69]GtS!$F$13</f>
        <v>5</v>
      </c>
      <c r="G36" s="34">
        <f>[70]GtS!$F$13</f>
        <v>6</v>
      </c>
      <c r="H36" s="155">
        <f>IF('AW Schulen'!$B84=0,"x",C36/'AW Schulen'!$B84)</f>
        <v>1.6E-2</v>
      </c>
      <c r="I36" s="155">
        <f>IF('AW Schulen'!$E84=0,"x",D36/'AW Schulen'!$E84)</f>
        <v>1.6129032258064516E-2</v>
      </c>
      <c r="J36" s="155">
        <f>IF('AW Schulen'!$H84=0,"x",E36/'AW Schulen'!$H84)</f>
        <v>1.6736401673640166E-2</v>
      </c>
      <c r="K36" s="155">
        <f>IF('AW Schulen'!$K84=0,"x",F36/'AW Schulen'!$K84)</f>
        <v>2.1276595744680851E-2</v>
      </c>
      <c r="L36" s="156">
        <f>IF('AW Schulen'!$N84=0,"x",G36/'AW Schulen'!$N84)</f>
        <v>2.7027027027027029E-2</v>
      </c>
    </row>
    <row r="37" spans="1:12" ht="9" customHeight="1">
      <c r="A37" s="21" t="s">
        <v>87</v>
      </c>
      <c r="B37" s="120"/>
      <c r="C37" s="151">
        <f>[31]GtS!$F$13</f>
        <v>0</v>
      </c>
      <c r="D37" s="151">
        <f>[32]GtS!$F$13</f>
        <v>0</v>
      </c>
      <c r="E37" s="151">
        <f>[33]GtS!$F$13</f>
        <v>0</v>
      </c>
      <c r="F37" s="151">
        <f>[34]GtS!$F$13</f>
        <v>0</v>
      </c>
      <c r="G37" s="152">
        <f>[35]GtS!$F$13</f>
        <v>0</v>
      </c>
      <c r="H37" s="155" t="str">
        <f>IF('AW Schulen'!$B85=0,"x",C37/'AW Schulen'!$B85)</f>
        <v>x</v>
      </c>
      <c r="I37" s="155" t="str">
        <f>IF('AW Schulen'!$E85=0,"x",D37/'AW Schulen'!$E85)</f>
        <v>x</v>
      </c>
      <c r="J37" s="155" t="str">
        <f>IF('AW Schulen'!$H85=0,"x",E37/'AW Schulen'!$H85)</f>
        <v>x</v>
      </c>
      <c r="K37" s="155" t="str">
        <f>IF('AW Schulen'!$K85=0,"x",F37/'AW Schulen'!$K85)</f>
        <v>x</v>
      </c>
      <c r="L37" s="156" t="str">
        <f>IF('AW Schulen'!$N85=0,"x",G37/'AW Schulen'!$N85)</f>
        <v>x</v>
      </c>
    </row>
    <row r="38" spans="1:12" ht="9" customHeight="1">
      <c r="A38" s="21" t="s">
        <v>88</v>
      </c>
      <c r="B38" s="120"/>
      <c r="C38" s="23">
        <f>[71]GtS!$F$13</f>
        <v>12</v>
      </c>
      <c r="D38" s="23">
        <f>[72]GtS!$F$13</f>
        <v>16</v>
      </c>
      <c r="E38" s="23">
        <f>[73]GtS!$F$13</f>
        <v>10</v>
      </c>
      <c r="F38" s="23">
        <f>[74]GtS!$F$13</f>
        <v>6</v>
      </c>
      <c r="G38" s="34">
        <f>[75]GtS!$F$13</f>
        <v>5</v>
      </c>
      <c r="H38" s="155">
        <f>IF('AW Schulen'!$B86=0,"x",C38/'AW Schulen'!$B86)</f>
        <v>2.5586353944562899E-2</v>
      </c>
      <c r="I38" s="155">
        <f>IF('AW Schulen'!$E86=0,"x",D38/'AW Schulen'!$E86)</f>
        <v>3.4334763948497854E-2</v>
      </c>
      <c r="J38" s="155">
        <f>IF('AW Schulen'!$H86=0,"x",E38/'AW Schulen'!$H86)</f>
        <v>2.2123893805309734E-2</v>
      </c>
      <c r="K38" s="155">
        <f>IF('AW Schulen'!$K86=0,"x",F38/'AW Schulen'!$K86)</f>
        <v>1.3953488372093023E-2</v>
      </c>
      <c r="L38" s="156">
        <f>IF('AW Schulen'!$N86=0,"x",G38/'AW Schulen'!$N86)</f>
        <v>1.7064846416382253E-2</v>
      </c>
    </row>
    <row r="39" spans="1:12" ht="9" customHeight="1">
      <c r="A39" s="21" t="s">
        <v>89</v>
      </c>
      <c r="B39" s="120"/>
      <c r="C39" s="23">
        <f>[36]GtS!$F$13</f>
        <v>108</v>
      </c>
      <c r="D39" s="23">
        <f>[37]GtS!$F$13</f>
        <v>112</v>
      </c>
      <c r="E39" s="23">
        <f>[38]GtS!$F$13</f>
        <v>117</v>
      </c>
      <c r="F39" s="23">
        <f>[39]GtS!$F$13</f>
        <v>117</v>
      </c>
      <c r="G39" s="34">
        <f>[40]GtS!$F$13</f>
        <v>115</v>
      </c>
      <c r="H39" s="155">
        <f>IF('AW Schulen'!$B87=0,"x",C39/'AW Schulen'!$B87)</f>
        <v>0.2125984251968504</v>
      </c>
      <c r="I39" s="155">
        <f>IF('AW Schulen'!$E87=0,"x",D39/'AW Schulen'!$E87)</f>
        <v>0.22090729783037474</v>
      </c>
      <c r="J39" s="155">
        <f>IF('AW Schulen'!$H87=0,"x",E39/'AW Schulen'!$H87)</f>
        <v>0.23214285714285715</v>
      </c>
      <c r="K39" s="155">
        <f>IF('AW Schulen'!$K87=0,"x",F39/'AW Schulen'!$K87)</f>
        <v>0.23446893787575152</v>
      </c>
      <c r="L39" s="156">
        <f>IF('AW Schulen'!$N87=0,"x",G39/'AW Schulen'!$N87)</f>
        <v>0.2405857740585774</v>
      </c>
    </row>
    <row r="40" spans="1:12" ht="9" customHeight="1">
      <c r="A40" s="21" t="s">
        <v>90</v>
      </c>
      <c r="B40" s="120"/>
      <c r="C40" s="23">
        <f>[41]GtS!$F$13</f>
        <v>0</v>
      </c>
      <c r="D40" s="151">
        <f>[42]GtS!$F$13</f>
        <v>0</v>
      </c>
      <c r="E40" s="151">
        <f>[43]GtS!$F$13</f>
        <v>0</v>
      </c>
      <c r="F40" s="151">
        <f>[44]GtS!$F$13</f>
        <v>0</v>
      </c>
      <c r="G40" s="152">
        <f>[45]GtS!$F$13</f>
        <v>0</v>
      </c>
      <c r="H40" s="155">
        <f>IF('AW Schulen'!$B88=0,"x",C40/'AW Schulen'!$B88)</f>
        <v>0</v>
      </c>
      <c r="I40" s="155" t="str">
        <f>IF('AW Schulen'!$E88=0,"x",D40/'AW Schulen'!$E88)</f>
        <v>x</v>
      </c>
      <c r="J40" s="155" t="str">
        <f>IF('AW Schulen'!$H88=0,"x",E40/'AW Schulen'!$H88)</f>
        <v>x</v>
      </c>
      <c r="K40" s="155" t="str">
        <f>IF('AW Schulen'!$K88=0,"x",F40/'AW Schulen'!$K88)</f>
        <v>x</v>
      </c>
      <c r="L40" s="156" t="str">
        <f>IF('AW Schulen'!$N88=0,"x",G40/'AW Schulen'!$N88)</f>
        <v>x</v>
      </c>
    </row>
    <row r="41" spans="1:12" ht="9" customHeight="1">
      <c r="A41" s="21" t="s">
        <v>91</v>
      </c>
      <c r="B41" s="120"/>
      <c r="C41" s="151">
        <f>[46]GtS!$F$13</f>
        <v>0</v>
      </c>
      <c r="D41" s="151">
        <f>[47]GtS!$F$13</f>
        <v>0</v>
      </c>
      <c r="E41" s="151">
        <f>[48]GtS!$F$13</f>
        <v>0</v>
      </c>
      <c r="F41" s="151">
        <f>[49]GtS!$F$13</f>
        <v>0</v>
      </c>
      <c r="G41" s="152">
        <f>[50]GtS!$F$13</f>
        <v>0</v>
      </c>
      <c r="H41" s="155" t="str">
        <f>IF('AW Schulen'!$B89=0,"x",C41/'AW Schulen'!$B89)</f>
        <v>x</v>
      </c>
      <c r="I41" s="155" t="str">
        <f>IF('AW Schulen'!$E89=0,"x",D41/'AW Schulen'!$E89)</f>
        <v>x</v>
      </c>
      <c r="J41" s="155" t="str">
        <f>IF('AW Schulen'!$H89=0,"x",E41/'AW Schulen'!$H89)</f>
        <v>x</v>
      </c>
      <c r="K41" s="155" t="str">
        <f>IF('AW Schulen'!$K89=0,"x",F41/'AW Schulen'!$K89)</f>
        <v>x</v>
      </c>
      <c r="L41" s="156" t="str">
        <f>IF('AW Schulen'!$N89=0,"x",G41/'AW Schulen'!$N89)</f>
        <v>x</v>
      </c>
    </row>
    <row r="42" spans="1:12" ht="9" customHeight="1">
      <c r="A42" s="21" t="s">
        <v>92</v>
      </c>
      <c r="B42" s="120"/>
      <c r="C42" s="151">
        <f>[51]GtS!$F$13</f>
        <v>0</v>
      </c>
      <c r="D42" s="151">
        <f>[52]GtS!$F$13</f>
        <v>0</v>
      </c>
      <c r="E42" s="151">
        <f>[53]GtS!$F$13</f>
        <v>0</v>
      </c>
      <c r="F42" s="151">
        <f>[54]GtS!$F$13</f>
        <v>0</v>
      </c>
      <c r="G42" s="152">
        <f>[55]GtS!$F$13</f>
        <v>0</v>
      </c>
      <c r="H42" s="155" t="str">
        <f>IF('AW Schulen'!$B90=0,"x",C42/'AW Schulen'!$B90)</f>
        <v>x</v>
      </c>
      <c r="I42" s="155" t="str">
        <f>IF('AW Schulen'!$E90=0,"x",D42/'AW Schulen'!$E90)</f>
        <v>x</v>
      </c>
      <c r="J42" s="155" t="str">
        <f>IF('AW Schulen'!$H90=0,"x",E42/'AW Schulen'!$H90)</f>
        <v>x</v>
      </c>
      <c r="K42" s="155" t="str">
        <f>IF('AW Schulen'!$K90=0,"x",F42/'AW Schulen'!$K90)</f>
        <v>x</v>
      </c>
      <c r="L42" s="156" t="str">
        <f>IF('AW Schulen'!$N90=0,"x",G42/'AW Schulen'!$N90)</f>
        <v>x</v>
      </c>
    </row>
    <row r="43" spans="1:12" ht="9" customHeight="1">
      <c r="A43" s="21" t="s">
        <v>93</v>
      </c>
      <c r="B43" s="120"/>
      <c r="C43" s="151">
        <f>[76]GtS!$F$13</f>
        <v>0</v>
      </c>
      <c r="D43" s="151">
        <f>[77]GtS!$F$13</f>
        <v>0</v>
      </c>
      <c r="E43" s="151">
        <f>[78]GtS!$F$13</f>
        <v>0</v>
      </c>
      <c r="F43" s="151">
        <f>[79]GtS!$F$13</f>
        <v>0</v>
      </c>
      <c r="G43" s="152">
        <f>[80]GtS!$F$13</f>
        <v>0</v>
      </c>
      <c r="H43" s="155" t="str">
        <f>IF('AW Schulen'!$B91=0,"x",C43/'AW Schulen'!$B91)</f>
        <v>x</v>
      </c>
      <c r="I43" s="155" t="str">
        <f>IF('AW Schulen'!$E91=0,"x",D43/'AW Schulen'!$E91)</f>
        <v>x</v>
      </c>
      <c r="J43" s="155" t="str">
        <f>IF('AW Schulen'!$H91=0,"x",E43/'AW Schulen'!$H91)</f>
        <v>x</v>
      </c>
      <c r="K43" s="155" t="str">
        <f>IF('AW Schulen'!$K91=0,"x",F43/'AW Schulen'!$K91)</f>
        <v>x</v>
      </c>
      <c r="L43" s="156" t="str">
        <f>IF('AW Schulen'!$N91=0,"x",G43/'AW Schulen'!$N91)</f>
        <v>x</v>
      </c>
    </row>
    <row r="44" spans="1:12" ht="9" customHeight="1">
      <c r="A44" s="21" t="s">
        <v>94</v>
      </c>
      <c r="B44" s="120"/>
      <c r="C44" s="23">
        <f>[56]GtS!$F$13</f>
        <v>4</v>
      </c>
      <c r="D44" s="23">
        <f>[57]GtS!$F$13</f>
        <v>3</v>
      </c>
      <c r="E44" s="23">
        <f>[58]GtS!$F$13</f>
        <v>1</v>
      </c>
      <c r="F44" s="23">
        <f>[59]GtS!$F$13</f>
        <v>0</v>
      </c>
      <c r="G44" s="152">
        <f>[60]GtS!$F$13</f>
        <v>0</v>
      </c>
      <c r="H44" s="155">
        <f>IF('AW Schulen'!$B92=0,"x",C44/'AW Schulen'!$B92)</f>
        <v>2.7777777777777776E-2</v>
      </c>
      <c r="I44" s="155">
        <f>IF('AW Schulen'!$E92=0,"x",D44/'AW Schulen'!$E92)</f>
        <v>3.9473684210526314E-2</v>
      </c>
      <c r="J44" s="155">
        <f>IF('AW Schulen'!$H92=0,"x",E44/'AW Schulen'!$H92)</f>
        <v>3.5714285714285712E-2</v>
      </c>
      <c r="K44" s="155">
        <f>IF('AW Schulen'!$K92=0,"x",F44/'AW Schulen'!$K92)</f>
        <v>0</v>
      </c>
      <c r="L44" s="156" t="str">
        <f>IF('AW Schulen'!$N92=0,"x",G44/'AW Schulen'!$N92)</f>
        <v>x</v>
      </c>
    </row>
    <row r="45" spans="1:12" ht="9" customHeight="1">
      <c r="A45" s="21" t="s">
        <v>95</v>
      </c>
      <c r="B45" s="120"/>
      <c r="C45" s="151">
        <f>[61]GtS!$F$13</f>
        <v>0</v>
      </c>
      <c r="D45" s="151">
        <f>[62]GtS!$F$13</f>
        <v>0</v>
      </c>
      <c r="E45" s="151">
        <f>[63]GtS!$F$13</f>
        <v>0</v>
      </c>
      <c r="F45" s="151">
        <f>[64]GtS!$F$13</f>
        <v>0</v>
      </c>
      <c r="G45" s="152">
        <f>[65]GtS!$F$13</f>
        <v>0</v>
      </c>
      <c r="H45" s="155" t="str">
        <f>IF('AW Schulen'!$B93=0,"x",C45/'AW Schulen'!$B93)</f>
        <v>x</v>
      </c>
      <c r="I45" s="155" t="str">
        <f>IF('AW Schulen'!$E93=0,"x",D45/'AW Schulen'!$E93)</f>
        <v>x</v>
      </c>
      <c r="J45" s="155" t="str">
        <f>IF('AW Schulen'!$H93=0,"x",E45/'AW Schulen'!$H93)</f>
        <v>x</v>
      </c>
      <c r="K45" s="155" t="str">
        <f>IF('AW Schulen'!$K93=0,"x",F45/'AW Schulen'!$K93)</f>
        <v>x</v>
      </c>
      <c r="L45" s="156" t="str">
        <f>IF('AW Schulen'!$N93=0,"x",G45/'AW Schulen'!$N93)</f>
        <v>x</v>
      </c>
    </row>
    <row r="46" spans="1:12" ht="9" customHeight="1">
      <c r="A46" s="21" t="s">
        <v>96</v>
      </c>
      <c r="B46" s="120"/>
      <c r="C46" s="23">
        <f t="shared" ref="C46:E46" si="35">SUM(C30:C45)</f>
        <v>137</v>
      </c>
      <c r="D46" s="23">
        <f t="shared" si="35"/>
        <v>144</v>
      </c>
      <c r="E46" s="23">
        <f t="shared" si="35"/>
        <v>141</v>
      </c>
      <c r="F46" s="23">
        <f t="shared" ref="F46:G46" si="36">SUM(F30:F45)</f>
        <v>138</v>
      </c>
      <c r="G46" s="34">
        <f t="shared" si="36"/>
        <v>136</v>
      </c>
      <c r="H46" s="155">
        <f>IF('AW Schulen'!$B94=0,"x",C46/'AW Schulen'!$B94)</f>
        <v>6.4622641509433962E-2</v>
      </c>
      <c r="I46" s="155">
        <f>IF('AW Schulen'!$E94=0,"x",D46/'AW Schulen'!$E94)</f>
        <v>7.0381231671554259E-2</v>
      </c>
      <c r="J46" s="155">
        <f>IF('AW Schulen'!$H94=0,"x",E46/'AW Schulen'!$H94)</f>
        <v>7.1537290715372903E-2</v>
      </c>
      <c r="K46" s="155">
        <f>IF('AW Schulen'!$K94=0,"x",F46/'AW Schulen'!$K94)</f>
        <v>7.2138003136434925E-2</v>
      </c>
      <c r="L46" s="156">
        <f>IF('AW Schulen'!$N94=0,"x",G46/'AW Schulen'!$N94)</f>
        <v>7.8071182548794485E-2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[1]GtS!$G$13</f>
        <v>12</v>
      </c>
      <c r="D48" s="23">
        <f>[2]GtS!$G$13</f>
        <v>11</v>
      </c>
      <c r="E48" s="23">
        <f>[3]GtS!$G$13</f>
        <v>9</v>
      </c>
      <c r="F48" s="23">
        <f>[4]GtS!$G$13</f>
        <v>10</v>
      </c>
      <c r="G48" s="34">
        <f>[5]GtS!$G$13</f>
        <v>12</v>
      </c>
      <c r="H48" s="155">
        <f>IF('AW Schulen'!$B78=0,"x",C48/'AW Schulen'!$B78)</f>
        <v>2.7972027972027972E-2</v>
      </c>
      <c r="I48" s="155">
        <f>IF('AW Schulen'!$E78=0,"x",D48/'AW Schulen'!$E78)</f>
        <v>2.564102564102564E-2</v>
      </c>
      <c r="J48" s="155">
        <f>IF('AW Schulen'!$H78=0,"x",E48/'AW Schulen'!$H78)</f>
        <v>2.097902097902098E-2</v>
      </c>
      <c r="K48" s="155">
        <f>IF('AW Schulen'!$K78=0,"x",F48/'AW Schulen'!$K78)</f>
        <v>2.3310023310023312E-2</v>
      </c>
      <c r="L48" s="156">
        <f>IF('AW Schulen'!$N78=0,"x",G48/'AW Schulen'!$N78)</f>
        <v>2.7906976744186046E-2</v>
      </c>
    </row>
    <row r="49" spans="1:12" ht="9" customHeight="1">
      <c r="A49" s="21" t="s">
        <v>81</v>
      </c>
      <c r="B49" s="120"/>
      <c r="C49" s="23">
        <f>[6]GtS!$G$13</f>
        <v>45</v>
      </c>
      <c r="D49" s="23">
        <f>[7]GtS!$G$13</f>
        <v>60</v>
      </c>
      <c r="E49" s="23">
        <f>[8]GtS!$G$13</f>
        <v>62</v>
      </c>
      <c r="F49" s="23">
        <f>[9]GtS!$G$13</f>
        <v>66</v>
      </c>
      <c r="G49" s="34">
        <f>[10]GtS!$G$13</f>
        <v>65</v>
      </c>
      <c r="H49" s="155">
        <f>IF('AW Schulen'!$B79=0,"x",C49/'AW Schulen'!$B79)</f>
        <v>0.14376996805111822</v>
      </c>
      <c r="I49" s="155">
        <f>IF('AW Schulen'!$E79=0,"x",D49/'AW Schulen'!$E79)</f>
        <v>0.1875</v>
      </c>
      <c r="J49" s="155">
        <f>IF('AW Schulen'!$H79=0,"x",E49/'AW Schulen'!$H79)</f>
        <v>0.19435736677115986</v>
      </c>
      <c r="K49" s="155">
        <f>IF('AW Schulen'!$K79=0,"x",F49/'AW Schulen'!$K79)</f>
        <v>0.20689655172413793</v>
      </c>
      <c r="L49" s="156">
        <f>IF('AW Schulen'!$N79=0,"x",G49/'AW Schulen'!$N79)</f>
        <v>0.20376175548589343</v>
      </c>
    </row>
    <row r="50" spans="1:12" ht="9" customHeight="1">
      <c r="A50" s="21" t="s">
        <v>82</v>
      </c>
      <c r="B50" s="120"/>
      <c r="C50" s="151">
        <f>[11]GtS!$G$13</f>
        <v>0</v>
      </c>
      <c r="D50" s="151">
        <f>[12]GtS!$G$13</f>
        <v>0</v>
      </c>
      <c r="E50" s="151">
        <f>[13]GtS!$G$13</f>
        <v>0</v>
      </c>
      <c r="F50" s="151">
        <f>[14]GtS!$G$13</f>
        <v>0</v>
      </c>
      <c r="G50" s="152">
        <f>[15]GtS!$G$13</f>
        <v>0</v>
      </c>
      <c r="H50" s="155" t="str">
        <f>IF('AW Schulen'!$B80=0,"x",C50/'AW Schulen'!$B80)</f>
        <v>x</v>
      </c>
      <c r="I50" s="155" t="str">
        <f>IF('AW Schulen'!$E80=0,"x",D50/'AW Schulen'!$E80)</f>
        <v>x</v>
      </c>
      <c r="J50" s="155" t="str">
        <f>IF('AW Schulen'!$H80=0,"x",E50/'AW Schulen'!$H80)</f>
        <v>x</v>
      </c>
      <c r="K50" s="155" t="str">
        <f>IF('AW Schulen'!$K80=0,"x",F50/'AW Schulen'!$K80)</f>
        <v>x</v>
      </c>
      <c r="L50" s="156" t="str">
        <f>IF('AW Schulen'!$N80=0,"x",G50/'AW Schulen'!$N80)</f>
        <v>x</v>
      </c>
    </row>
    <row r="51" spans="1:12" ht="9" customHeight="1">
      <c r="A51" s="21" t="s">
        <v>83</v>
      </c>
      <c r="B51" s="120"/>
      <c r="C51" s="151">
        <f>[16]GtS!$G$13</f>
        <v>0</v>
      </c>
      <c r="D51" s="151">
        <f>[17]GtS!$G$13</f>
        <v>0</v>
      </c>
      <c r="E51" s="151">
        <f>[18]GtS!$G$13</f>
        <v>0</v>
      </c>
      <c r="F51" s="151">
        <f>[19]GtS!$G$13</f>
        <v>0</v>
      </c>
      <c r="G51" s="152">
        <f>[20]GtS!$G$13</f>
        <v>0</v>
      </c>
      <c r="H51" s="155" t="str">
        <f>IF('AW Schulen'!$B81=0,"x",C51/'AW Schulen'!$B81)</f>
        <v>x</v>
      </c>
      <c r="I51" s="155" t="str">
        <f>IF('AW Schulen'!$E81=0,"x",D51/'AW Schulen'!$E81)</f>
        <v>x</v>
      </c>
      <c r="J51" s="155" t="str">
        <f>IF('AW Schulen'!$H81=0,"x",E51/'AW Schulen'!$H81)</f>
        <v>x</v>
      </c>
      <c r="K51" s="155" t="str">
        <f>IF('AW Schulen'!$K81=0,"x",F51/'AW Schulen'!$K81)</f>
        <v>x</v>
      </c>
      <c r="L51" s="156" t="str">
        <f>IF('AW Schulen'!$N81=0,"x",G51/'AW Schulen'!$N81)</f>
        <v>x</v>
      </c>
    </row>
    <row r="52" spans="1:12" ht="9" customHeight="1">
      <c r="A52" s="21" t="s">
        <v>84</v>
      </c>
      <c r="B52" s="120"/>
      <c r="C52" s="151">
        <f>[21]GtS!$G$13</f>
        <v>0</v>
      </c>
      <c r="D52" s="151">
        <f>[22]GtS!$G$13</f>
        <v>0</v>
      </c>
      <c r="E52" s="151">
        <f>[23]GtS!$G$13</f>
        <v>0</v>
      </c>
      <c r="F52" s="151">
        <f>[24]GtS!$G$13</f>
        <v>0</v>
      </c>
      <c r="G52" s="152">
        <f>[25]GtS!$G$13</f>
        <v>0</v>
      </c>
      <c r="H52" s="155" t="str">
        <f>IF('AW Schulen'!$B82=0,"x",C52/'AW Schulen'!$B82)</f>
        <v>x</v>
      </c>
      <c r="I52" s="155" t="str">
        <f>IF('AW Schulen'!$E82=0,"x",D52/'AW Schulen'!$E82)</f>
        <v>x</v>
      </c>
      <c r="J52" s="155" t="str">
        <f>IF('AW Schulen'!$H82=0,"x",E52/'AW Schulen'!$H82)</f>
        <v>x</v>
      </c>
      <c r="K52" s="155" t="str">
        <f>IF('AW Schulen'!$K82=0,"x",F52/'AW Schulen'!$K82)</f>
        <v>x</v>
      </c>
      <c r="L52" s="156" t="str">
        <f>IF('AW Schulen'!$N82=0,"x",G52/'AW Schulen'!$N82)</f>
        <v>x</v>
      </c>
    </row>
    <row r="53" spans="1:12" ht="9" customHeight="1">
      <c r="A53" s="21" t="s">
        <v>85</v>
      </c>
      <c r="B53" s="120"/>
      <c r="C53" s="151">
        <f>[26]GtS!$G$13</f>
        <v>0</v>
      </c>
      <c r="D53" s="151">
        <f>[27]GtS!$G$13</f>
        <v>0</v>
      </c>
      <c r="E53" s="151">
        <f>[28]GtS!$G$13</f>
        <v>0</v>
      </c>
      <c r="F53" s="151">
        <f>[29]GtS!$G$13</f>
        <v>0</v>
      </c>
      <c r="G53" s="152">
        <f>[30]GtS!$G$13</f>
        <v>0</v>
      </c>
      <c r="H53" s="155" t="str">
        <f>IF('AW Schulen'!$B83=0,"x",C53/'AW Schulen'!$B83)</f>
        <v>x</v>
      </c>
      <c r="I53" s="155" t="str">
        <f>IF('AW Schulen'!$E83=0,"x",D53/'AW Schulen'!$E83)</f>
        <v>x</v>
      </c>
      <c r="J53" s="155" t="str">
        <f>IF('AW Schulen'!$H83=0,"x",E53/'AW Schulen'!$H83)</f>
        <v>x</v>
      </c>
      <c r="K53" s="155" t="str">
        <f>IF('AW Schulen'!$K83=0,"x",F53/'AW Schulen'!$K83)</f>
        <v>x</v>
      </c>
      <c r="L53" s="156" t="str">
        <f>IF('AW Schulen'!$N83=0,"x",G53/'AW Schulen'!$N83)</f>
        <v>x</v>
      </c>
    </row>
    <row r="54" spans="1:12" ht="9" customHeight="1">
      <c r="A54" s="21" t="s">
        <v>86</v>
      </c>
      <c r="B54" s="120"/>
      <c r="C54" s="23">
        <f>[66]GtS!$G$13</f>
        <v>0</v>
      </c>
      <c r="D54" s="23">
        <f>[67]GtS!$G$13</f>
        <v>0</v>
      </c>
      <c r="E54" s="23">
        <f>[68]GtS!$G$13</f>
        <v>0</v>
      </c>
      <c r="F54" s="23">
        <f>[69]GtS!$G$13</f>
        <v>0</v>
      </c>
      <c r="G54" s="34">
        <f>[70]GtS!$G$13</f>
        <v>0</v>
      </c>
      <c r="H54" s="155">
        <f>IF('AW Schulen'!$B84=0,"x",C54/'AW Schulen'!$B84)</f>
        <v>0</v>
      </c>
      <c r="I54" s="155">
        <f>IF('AW Schulen'!$E84=0,"x",D54/'AW Schulen'!$E84)</f>
        <v>0</v>
      </c>
      <c r="J54" s="155">
        <f>IF('AW Schulen'!$H84=0,"x",E54/'AW Schulen'!$H84)</f>
        <v>0</v>
      </c>
      <c r="K54" s="155">
        <f>IF('AW Schulen'!$K84=0,"x",F54/'AW Schulen'!$K84)</f>
        <v>0</v>
      </c>
      <c r="L54" s="156">
        <f>IF('AW Schulen'!$N84=0,"x",G54/'AW Schulen'!$N84)</f>
        <v>0</v>
      </c>
    </row>
    <row r="55" spans="1:12" ht="9" customHeight="1">
      <c r="A55" s="21" t="s">
        <v>87</v>
      </c>
      <c r="B55" s="120"/>
      <c r="C55" s="151">
        <f>[31]GtS!$G$13</f>
        <v>0</v>
      </c>
      <c r="D55" s="151">
        <f>[32]GtS!$G$13</f>
        <v>0</v>
      </c>
      <c r="E55" s="151">
        <f>[33]GtS!$G$13</f>
        <v>0</v>
      </c>
      <c r="F55" s="151">
        <f>[34]GtS!$G$13</f>
        <v>0</v>
      </c>
      <c r="G55" s="152">
        <f>[35]GtS!$G$13</f>
        <v>0</v>
      </c>
      <c r="H55" s="155" t="str">
        <f>IF('AW Schulen'!$B85=0,"x",C55/'AW Schulen'!$B85)</f>
        <v>x</v>
      </c>
      <c r="I55" s="155" t="str">
        <f>IF('AW Schulen'!$E85=0,"x",D55/'AW Schulen'!$E85)</f>
        <v>x</v>
      </c>
      <c r="J55" s="155" t="str">
        <f>IF('AW Schulen'!$H85=0,"x",E55/'AW Schulen'!$H85)</f>
        <v>x</v>
      </c>
      <c r="K55" s="155" t="str">
        <f>IF('AW Schulen'!$K85=0,"x",F55/'AW Schulen'!$K85)</f>
        <v>x</v>
      </c>
      <c r="L55" s="156" t="str">
        <f>IF('AW Schulen'!$N85=0,"x",G55/'AW Schulen'!$N85)</f>
        <v>x</v>
      </c>
    </row>
    <row r="56" spans="1:12" ht="9" customHeight="1">
      <c r="A56" s="21" t="s">
        <v>88</v>
      </c>
      <c r="B56" s="120"/>
      <c r="C56" s="23">
        <f>[71]GtS!$G$13</f>
        <v>45</v>
      </c>
      <c r="D56" s="23">
        <f>[72]GtS!$G$13</f>
        <v>39</v>
      </c>
      <c r="E56" s="23">
        <f>[73]GtS!$G$13</f>
        <v>56</v>
      </c>
      <c r="F56" s="23">
        <f>[74]GtS!$G$13</f>
        <v>73</v>
      </c>
      <c r="G56" s="34">
        <f>[75]GtS!$G$13</f>
        <v>44</v>
      </c>
      <c r="H56" s="155">
        <f>IF('AW Schulen'!$B86=0,"x",C56/'AW Schulen'!$B86)</f>
        <v>9.5948827292110878E-2</v>
      </c>
      <c r="I56" s="155">
        <f>IF('AW Schulen'!$E86=0,"x",D56/'AW Schulen'!$E86)</f>
        <v>8.3690987124463517E-2</v>
      </c>
      <c r="J56" s="155">
        <f>IF('AW Schulen'!$H86=0,"x",E56/'AW Schulen'!$H86)</f>
        <v>0.12389380530973451</v>
      </c>
      <c r="K56" s="155">
        <f>IF('AW Schulen'!$K86=0,"x",F56/'AW Schulen'!$K86)</f>
        <v>0.16976744186046511</v>
      </c>
      <c r="L56" s="156">
        <f>IF('AW Schulen'!$N86=0,"x",G56/'AW Schulen'!$N86)</f>
        <v>0.15017064846416384</v>
      </c>
    </row>
    <row r="57" spans="1:12" ht="9" customHeight="1">
      <c r="A57" s="21" t="s">
        <v>89</v>
      </c>
      <c r="B57" s="120"/>
      <c r="C57" s="23">
        <f>[36]GtS!$G$13</f>
        <v>0</v>
      </c>
      <c r="D57" s="23">
        <f>[37]GtS!$G$13</f>
        <v>0</v>
      </c>
      <c r="E57" s="23">
        <f>[38]GtS!$G$13</f>
        <v>0</v>
      </c>
      <c r="F57" s="23">
        <f>[39]GtS!$G$13</f>
        <v>0</v>
      </c>
      <c r="G57" s="34">
        <f>[40]GtS!$G$13</f>
        <v>0</v>
      </c>
      <c r="H57" s="155">
        <f>IF('AW Schulen'!$B87=0,"x",C57/'AW Schulen'!$B87)</f>
        <v>0</v>
      </c>
      <c r="I57" s="155">
        <f>IF('AW Schulen'!$E87=0,"x",D57/'AW Schulen'!$E87)</f>
        <v>0</v>
      </c>
      <c r="J57" s="155">
        <f>IF('AW Schulen'!$H87=0,"x",E57/'AW Schulen'!$H87)</f>
        <v>0</v>
      </c>
      <c r="K57" s="155">
        <f>IF('AW Schulen'!$K87=0,"x",F57/'AW Schulen'!$K87)</f>
        <v>0</v>
      </c>
      <c r="L57" s="156">
        <f>IF('AW Schulen'!$N87=0,"x",G57/'AW Schulen'!$N87)</f>
        <v>0</v>
      </c>
    </row>
    <row r="58" spans="1:12" ht="9" customHeight="1">
      <c r="A58" s="21" t="s">
        <v>90</v>
      </c>
      <c r="B58" s="120"/>
      <c r="C58" s="23">
        <f>[41]GtS!$G$13</f>
        <v>3</v>
      </c>
      <c r="D58" s="151">
        <f>[42]GtS!$G$13</f>
        <v>0</v>
      </c>
      <c r="E58" s="151">
        <f>[43]GtS!$G$13</f>
        <v>0</v>
      </c>
      <c r="F58" s="151">
        <f>[44]GtS!$G$13</f>
        <v>0</v>
      </c>
      <c r="G58" s="152">
        <f>[45]GtS!$G$13</f>
        <v>0</v>
      </c>
      <c r="H58" s="155">
        <f>IF('AW Schulen'!$B88=0,"x",C58/'AW Schulen'!$B88)</f>
        <v>0.42857142857142855</v>
      </c>
      <c r="I58" s="155" t="str">
        <f>IF('AW Schulen'!$E88=0,"x",D58/'AW Schulen'!$E88)</f>
        <v>x</v>
      </c>
      <c r="J58" s="155" t="str">
        <f>IF('AW Schulen'!$H88=0,"x",E58/'AW Schulen'!$H88)</f>
        <v>x</v>
      </c>
      <c r="K58" s="155" t="str">
        <f>IF('AW Schulen'!$K88=0,"x",F58/'AW Schulen'!$K88)</f>
        <v>x</v>
      </c>
      <c r="L58" s="156" t="str">
        <f>IF('AW Schulen'!$N88=0,"x",G58/'AW Schulen'!$N88)</f>
        <v>x</v>
      </c>
    </row>
    <row r="59" spans="1:12" ht="9" customHeight="1">
      <c r="A59" s="21" t="s">
        <v>91</v>
      </c>
      <c r="B59" s="120"/>
      <c r="C59" s="151">
        <f>[46]GtS!$G$13</f>
        <v>0</v>
      </c>
      <c r="D59" s="151">
        <f>[47]GtS!$G$13</f>
        <v>0</v>
      </c>
      <c r="E59" s="151">
        <f>[48]GtS!$G$13</f>
        <v>0</v>
      </c>
      <c r="F59" s="151">
        <f>[49]GtS!$G$13</f>
        <v>0</v>
      </c>
      <c r="G59" s="152">
        <f>[50]GtS!$G$13</f>
        <v>0</v>
      </c>
      <c r="H59" s="155" t="str">
        <f>IF('AW Schulen'!$B89=0,"x",C59/'AW Schulen'!$B89)</f>
        <v>x</v>
      </c>
      <c r="I59" s="155" t="str">
        <f>IF('AW Schulen'!$E89=0,"x",D59/'AW Schulen'!$E89)</f>
        <v>x</v>
      </c>
      <c r="J59" s="155" t="str">
        <f>IF('AW Schulen'!$H89=0,"x",E59/'AW Schulen'!$H89)</f>
        <v>x</v>
      </c>
      <c r="K59" s="155" t="str">
        <f>IF('AW Schulen'!$K89=0,"x",F59/'AW Schulen'!$K89)</f>
        <v>x</v>
      </c>
      <c r="L59" s="156" t="str">
        <f>IF('AW Schulen'!$N89=0,"x",G59/'AW Schulen'!$N89)</f>
        <v>x</v>
      </c>
    </row>
    <row r="60" spans="1:12" ht="9" customHeight="1">
      <c r="A60" s="21" t="s">
        <v>92</v>
      </c>
      <c r="B60" s="120"/>
      <c r="C60" s="151">
        <f>[51]GtS!$G$13</f>
        <v>0</v>
      </c>
      <c r="D60" s="151">
        <f>[52]GtS!$G$13</f>
        <v>0</v>
      </c>
      <c r="E60" s="151">
        <f>[53]GtS!$G$13</f>
        <v>0</v>
      </c>
      <c r="F60" s="151">
        <f>[54]GtS!$G$13</f>
        <v>0</v>
      </c>
      <c r="G60" s="152">
        <f>[55]GtS!$G$13</f>
        <v>0</v>
      </c>
      <c r="H60" s="155" t="str">
        <f>IF('AW Schulen'!$B90=0,"x",C60/'AW Schulen'!$B90)</f>
        <v>x</v>
      </c>
      <c r="I60" s="155" t="str">
        <f>IF('AW Schulen'!$E90=0,"x",D60/'AW Schulen'!$E90)</f>
        <v>x</v>
      </c>
      <c r="J60" s="155" t="str">
        <f>IF('AW Schulen'!$H90=0,"x",E60/'AW Schulen'!$H90)</f>
        <v>x</v>
      </c>
      <c r="K60" s="155" t="str">
        <f>IF('AW Schulen'!$K90=0,"x",F60/'AW Schulen'!$K90)</f>
        <v>x</v>
      </c>
      <c r="L60" s="156" t="str">
        <f>IF('AW Schulen'!$N90=0,"x",G60/'AW Schulen'!$N90)</f>
        <v>x</v>
      </c>
    </row>
    <row r="61" spans="1:12" ht="9" customHeight="1">
      <c r="A61" s="21" t="s">
        <v>93</v>
      </c>
      <c r="B61" s="120"/>
      <c r="C61" s="151">
        <f>[76]GtS!$G$13</f>
        <v>0</v>
      </c>
      <c r="D61" s="151">
        <f>[77]GtS!$G$13</f>
        <v>0</v>
      </c>
      <c r="E61" s="151">
        <f>[78]GtS!$G$13</f>
        <v>0</v>
      </c>
      <c r="F61" s="151">
        <f>[79]GtS!$G$13</f>
        <v>0</v>
      </c>
      <c r="G61" s="152">
        <f>[80]GtS!$G$13</f>
        <v>0</v>
      </c>
      <c r="H61" s="155" t="str">
        <f>IF('AW Schulen'!$B91=0,"x",C61/'AW Schulen'!$B91)</f>
        <v>x</v>
      </c>
      <c r="I61" s="155" t="str">
        <f>IF('AW Schulen'!$E91=0,"x",D61/'AW Schulen'!$E91)</f>
        <v>x</v>
      </c>
      <c r="J61" s="155" t="str">
        <f>IF('AW Schulen'!$H91=0,"x",E61/'AW Schulen'!$H91)</f>
        <v>x</v>
      </c>
      <c r="K61" s="155" t="str">
        <f>IF('AW Schulen'!$K91=0,"x",F61/'AW Schulen'!$K91)</f>
        <v>x</v>
      </c>
      <c r="L61" s="156" t="str">
        <f>IF('AW Schulen'!$N91=0,"x",G61/'AW Schulen'!$N91)</f>
        <v>x</v>
      </c>
    </row>
    <row r="62" spans="1:12" ht="9" customHeight="1">
      <c r="A62" s="21" t="s">
        <v>94</v>
      </c>
      <c r="B62" s="120"/>
      <c r="C62" s="23">
        <f>[56]GtS!$G$13</f>
        <v>1</v>
      </c>
      <c r="D62" s="23">
        <f>[57]GtS!$G$13</f>
        <v>0</v>
      </c>
      <c r="E62" s="23">
        <f>[58]GtS!$G$13</f>
        <v>0</v>
      </c>
      <c r="F62" s="23">
        <f>[59]GtS!$G$13</f>
        <v>0</v>
      </c>
      <c r="G62" s="152">
        <f>[60]GtS!$G$13</f>
        <v>0</v>
      </c>
      <c r="H62" s="155">
        <f>IF('AW Schulen'!$B92=0,"x",C62/'AW Schulen'!$B92)</f>
        <v>6.9444444444444441E-3</v>
      </c>
      <c r="I62" s="155">
        <f>IF('AW Schulen'!$E92=0,"x",D62/'AW Schulen'!$E92)</f>
        <v>0</v>
      </c>
      <c r="J62" s="155">
        <f>IF('AW Schulen'!$H92=0,"x",E62/'AW Schulen'!$H92)</f>
        <v>0</v>
      </c>
      <c r="K62" s="155">
        <f>IF('AW Schulen'!$K92=0,"x",F62/'AW Schulen'!$K92)</f>
        <v>0</v>
      </c>
      <c r="L62" s="156" t="str">
        <f>IF('AW Schulen'!$N92=0,"x",G62/'AW Schulen'!$N92)</f>
        <v>x</v>
      </c>
    </row>
    <row r="63" spans="1:12" ht="9" customHeight="1">
      <c r="A63" s="21" t="s">
        <v>95</v>
      </c>
      <c r="B63" s="120"/>
      <c r="C63" s="151">
        <f>[61]GtS!$G$13</f>
        <v>0</v>
      </c>
      <c r="D63" s="151">
        <f>[62]GtS!$G$13</f>
        <v>0</v>
      </c>
      <c r="E63" s="151">
        <f>[63]GtS!$G$13</f>
        <v>0</v>
      </c>
      <c r="F63" s="151">
        <f>[64]GtS!$G$13</f>
        <v>0</v>
      </c>
      <c r="G63" s="152">
        <f>[65]GtS!$G$13</f>
        <v>0</v>
      </c>
      <c r="H63" s="155" t="str">
        <f>IF('AW Schulen'!$B93=0,"x",C63/'AW Schulen'!$B93)</f>
        <v>x</v>
      </c>
      <c r="I63" s="155" t="str">
        <f>IF('AW Schulen'!$E93=0,"x",D63/'AW Schulen'!$E93)</f>
        <v>x</v>
      </c>
      <c r="J63" s="155" t="str">
        <f>IF('AW Schulen'!$H93=0,"x",E63/'AW Schulen'!$H93)</f>
        <v>x</v>
      </c>
      <c r="K63" s="155" t="str">
        <f>IF('AW Schulen'!$K93=0,"x",F63/'AW Schulen'!$K93)</f>
        <v>x</v>
      </c>
      <c r="L63" s="156" t="str">
        <f>IF('AW Schulen'!$N93=0,"x",G63/'AW Schulen'!$N93)</f>
        <v>x</v>
      </c>
    </row>
    <row r="64" spans="1:12" ht="8.65" customHeight="1">
      <c r="A64" s="21" t="s">
        <v>96</v>
      </c>
      <c r="B64" s="120"/>
      <c r="C64" s="23">
        <f t="shared" ref="C64:E64" si="37">SUM(C48:C63)</f>
        <v>106</v>
      </c>
      <c r="D64" s="23">
        <f t="shared" si="37"/>
        <v>110</v>
      </c>
      <c r="E64" s="23">
        <f t="shared" si="37"/>
        <v>127</v>
      </c>
      <c r="F64" s="23">
        <f t="shared" ref="F64:G64" si="38">SUM(F48:F63)</f>
        <v>149</v>
      </c>
      <c r="G64" s="34">
        <f t="shared" si="38"/>
        <v>121</v>
      </c>
      <c r="H64" s="155">
        <f>IF('AW Schulen'!$B94=0,"x",C64/'AW Schulen'!$B94)</f>
        <v>0.05</v>
      </c>
      <c r="I64" s="155">
        <f>IF('AW Schulen'!$E94=0,"x",D64/'AW Schulen'!$E94)</f>
        <v>5.3763440860215055E-2</v>
      </c>
      <c r="J64" s="155">
        <f>IF('AW Schulen'!$H94=0,"x",E64/'AW Schulen'!$H94)</f>
        <v>6.4434297311009636E-2</v>
      </c>
      <c r="K64" s="155">
        <f>IF('AW Schulen'!$K94=0,"x",F64/'AW Schulen'!$K94)</f>
        <v>7.7888133821223213E-2</v>
      </c>
      <c r="L64" s="156">
        <f>IF('AW Schulen'!$N94=0,"x",G64/'AW Schulen'!$N94)</f>
        <v>6.9460390355912741E-2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[1]GtS!$H$13</f>
        <v>108</v>
      </c>
      <c r="D66" s="23">
        <f>[2]GtS!$H$13</f>
        <v>109</v>
      </c>
      <c r="E66" s="23">
        <f>[3]GtS!$H$13</f>
        <v>125</v>
      </c>
      <c r="F66" s="23">
        <f>[4]GtS!$H$13</f>
        <v>135</v>
      </c>
      <c r="G66" s="34">
        <f>[5]GtS!$H$13</f>
        <v>148</v>
      </c>
      <c r="H66" s="155">
        <f>IF('AW Schulen'!$B78=0,"x",C66/'AW Schulen'!$B78)</f>
        <v>0.25174825174825177</v>
      </c>
      <c r="I66" s="155">
        <f>IF('AW Schulen'!$E78=0,"x",D66/'AW Schulen'!$E78)</f>
        <v>0.25407925407925408</v>
      </c>
      <c r="J66" s="155">
        <f>IF('AW Schulen'!$H78=0,"x",E66/'AW Schulen'!$H78)</f>
        <v>0.29137529137529139</v>
      </c>
      <c r="K66" s="155">
        <f>IF('AW Schulen'!$K78=0,"x",F66/'AW Schulen'!$K78)</f>
        <v>0.31468531468531469</v>
      </c>
      <c r="L66" s="156">
        <f>IF('AW Schulen'!$N78=0,"x",G66/'AW Schulen'!$N78)</f>
        <v>0.34418604651162793</v>
      </c>
    </row>
    <row r="67" spans="1:12" ht="10.15" customHeight="1">
      <c r="A67" s="224" t="s">
        <v>81</v>
      </c>
      <c r="B67" s="120"/>
      <c r="C67" s="23">
        <f>[6]GtS!$H$13</f>
        <v>138</v>
      </c>
      <c r="D67" s="23">
        <f>[7]GtS!$H$13</f>
        <v>138</v>
      </c>
      <c r="E67" s="23">
        <f>[8]GtS!$H$13</f>
        <v>137</v>
      </c>
      <c r="F67" s="23">
        <f>[9]GtS!$H$13</f>
        <v>153</v>
      </c>
      <c r="G67" s="34">
        <f>[10]GtS!$H$13</f>
        <v>156</v>
      </c>
      <c r="H67" s="155">
        <f>IF('AW Schulen'!$B79=0,"x",C67/'AW Schulen'!$B79)</f>
        <v>0.44089456869009586</v>
      </c>
      <c r="I67" s="155">
        <f>IF('AW Schulen'!$E79=0,"x",D67/'AW Schulen'!$E79)</f>
        <v>0.43125000000000002</v>
      </c>
      <c r="J67" s="155">
        <f>IF('AW Schulen'!$H79=0,"x",E67/'AW Schulen'!$H79)</f>
        <v>0.42946708463949845</v>
      </c>
      <c r="K67" s="155">
        <f>IF('AW Schulen'!$K79=0,"x",F67/'AW Schulen'!$K79)</f>
        <v>0.47962382445141066</v>
      </c>
      <c r="L67" s="156">
        <f>IF('AW Schulen'!$N79=0,"x",G67/'AW Schulen'!$N79)</f>
        <v>0.4890282131661442</v>
      </c>
    </row>
    <row r="68" spans="1:12" ht="10.15" customHeight="1">
      <c r="A68" s="224" t="s">
        <v>82</v>
      </c>
      <c r="B68" s="120"/>
      <c r="C68" s="151">
        <f>[11]GtS!$H$13</f>
        <v>0</v>
      </c>
      <c r="D68" s="151">
        <f>[12]GtS!$H$13</f>
        <v>0</v>
      </c>
      <c r="E68" s="151">
        <f>[13]GtS!$H$13</f>
        <v>0</v>
      </c>
      <c r="F68" s="151">
        <f>[14]GtS!$H$13</f>
        <v>0</v>
      </c>
      <c r="G68" s="152">
        <f>[15]GtS!$H$13</f>
        <v>0</v>
      </c>
      <c r="H68" s="155" t="str">
        <f>IF('AW Schulen'!$B80=0,"x",C68/'AW Schulen'!$B80)</f>
        <v>x</v>
      </c>
      <c r="I68" s="155" t="str">
        <f>IF('AW Schulen'!$E80=0,"x",D68/'AW Schulen'!$E80)</f>
        <v>x</v>
      </c>
      <c r="J68" s="155" t="str">
        <f>IF('AW Schulen'!$H80=0,"x",E68/'AW Schulen'!$H80)</f>
        <v>x</v>
      </c>
      <c r="K68" s="155" t="str">
        <f>IF('AW Schulen'!$K80=0,"x",F68/'AW Schulen'!$K80)</f>
        <v>x</v>
      </c>
      <c r="L68" s="156" t="str">
        <f>IF('AW Schulen'!$N80=0,"x",G68/'AW Schulen'!$N80)</f>
        <v>x</v>
      </c>
    </row>
    <row r="69" spans="1:12" ht="9" customHeight="1">
      <c r="A69" s="21" t="s">
        <v>83</v>
      </c>
      <c r="B69" s="120"/>
      <c r="C69" s="151">
        <f>[16]GtS!$H$13</f>
        <v>0</v>
      </c>
      <c r="D69" s="151">
        <f>[17]GtS!$H$13</f>
        <v>0</v>
      </c>
      <c r="E69" s="151">
        <f>[18]GtS!$H$13</f>
        <v>0</v>
      </c>
      <c r="F69" s="151">
        <f>[19]GtS!$H$13</f>
        <v>0</v>
      </c>
      <c r="G69" s="152">
        <f>[20]GtS!$H$13</f>
        <v>0</v>
      </c>
      <c r="H69" s="155" t="str">
        <f>IF('AW Schulen'!$B81=0,"x",C69/'AW Schulen'!$B81)</f>
        <v>x</v>
      </c>
      <c r="I69" s="155" t="str">
        <f>IF('AW Schulen'!$E81=0,"x",D69/'AW Schulen'!$E81)</f>
        <v>x</v>
      </c>
      <c r="J69" s="155" t="str">
        <f>IF('AW Schulen'!$H81=0,"x",E69/'AW Schulen'!$H81)</f>
        <v>x</v>
      </c>
      <c r="K69" s="155" t="str">
        <f>IF('AW Schulen'!$K81=0,"x",F69/'AW Schulen'!$K81)</f>
        <v>x</v>
      </c>
      <c r="L69" s="156" t="str">
        <f>IF('AW Schulen'!$N81=0,"x",G69/'AW Schulen'!$N81)</f>
        <v>x</v>
      </c>
    </row>
    <row r="70" spans="1:12" ht="9" customHeight="1">
      <c r="A70" s="21" t="s">
        <v>84</v>
      </c>
      <c r="B70" s="120"/>
      <c r="C70" s="151">
        <f>[21]GtS!$H$13</f>
        <v>0</v>
      </c>
      <c r="D70" s="151">
        <f>[22]GtS!$H$13</f>
        <v>0</v>
      </c>
      <c r="E70" s="151">
        <f>[23]GtS!$H$13</f>
        <v>0</v>
      </c>
      <c r="F70" s="151">
        <f>[24]GtS!$H$13</f>
        <v>0</v>
      </c>
      <c r="G70" s="152">
        <f>[25]GtS!$H$13</f>
        <v>0</v>
      </c>
      <c r="H70" s="155" t="str">
        <f>IF('AW Schulen'!$B82=0,"x",C70/'AW Schulen'!$B82)</f>
        <v>x</v>
      </c>
      <c r="I70" s="155" t="str">
        <f>IF('AW Schulen'!$E82=0,"x",D70/'AW Schulen'!$E82)</f>
        <v>x</v>
      </c>
      <c r="J70" s="155" t="str">
        <f>IF('AW Schulen'!$H82=0,"x",E70/'AW Schulen'!$H82)</f>
        <v>x</v>
      </c>
      <c r="K70" s="155" t="str">
        <f>IF('AW Schulen'!$K82=0,"x",F70/'AW Schulen'!$K82)</f>
        <v>x</v>
      </c>
      <c r="L70" s="156" t="str">
        <f>IF('AW Schulen'!$N82=0,"x",G70/'AW Schulen'!$N82)</f>
        <v>x</v>
      </c>
    </row>
    <row r="71" spans="1:12" ht="9" customHeight="1">
      <c r="A71" s="21" t="s">
        <v>85</v>
      </c>
      <c r="B71" s="120"/>
      <c r="C71" s="151">
        <f>[26]GtS!$H$13</f>
        <v>0</v>
      </c>
      <c r="D71" s="151">
        <f>[27]GtS!$H$13</f>
        <v>0</v>
      </c>
      <c r="E71" s="151">
        <f>[28]GtS!$H$13</f>
        <v>0</v>
      </c>
      <c r="F71" s="151">
        <f>[29]GtS!$H$13</f>
        <v>0</v>
      </c>
      <c r="G71" s="152">
        <f>[30]GtS!$H$13</f>
        <v>0</v>
      </c>
      <c r="H71" s="155" t="str">
        <f>IF('AW Schulen'!$B83=0,"x",C71/'AW Schulen'!$B83)</f>
        <v>x</v>
      </c>
      <c r="I71" s="155" t="str">
        <f>IF('AW Schulen'!$E83=0,"x",D71/'AW Schulen'!$E83)</f>
        <v>x</v>
      </c>
      <c r="J71" s="155" t="str">
        <f>IF('AW Schulen'!$H83=0,"x",E71/'AW Schulen'!$H83)</f>
        <v>x</v>
      </c>
      <c r="K71" s="155" t="str">
        <f>IF('AW Schulen'!$K83=0,"x",F71/'AW Schulen'!$K83)</f>
        <v>x</v>
      </c>
      <c r="L71" s="156" t="str">
        <f>IF('AW Schulen'!$N83=0,"x",G71/'AW Schulen'!$N83)</f>
        <v>x</v>
      </c>
    </row>
    <row r="72" spans="1:12" ht="9" customHeight="1">
      <c r="A72" s="21" t="s">
        <v>86</v>
      </c>
      <c r="B72" s="120"/>
      <c r="C72" s="23">
        <f>[66]GtS!$H$13</f>
        <v>220</v>
      </c>
      <c r="D72" s="23">
        <f>[67]GtS!$H$13</f>
        <v>224</v>
      </c>
      <c r="E72" s="23">
        <f>[68]GtS!$H$13</f>
        <v>216</v>
      </c>
      <c r="F72" s="23">
        <f>[69]GtS!$H$13</f>
        <v>212</v>
      </c>
      <c r="G72" s="34">
        <f>[70]GtS!$H$13</f>
        <v>200</v>
      </c>
      <c r="H72" s="155">
        <f>IF('AW Schulen'!$B84=0,"x",C72/'AW Schulen'!$B84)</f>
        <v>0.88</v>
      </c>
      <c r="I72" s="155">
        <f>IF('AW Schulen'!$E84=0,"x",D72/'AW Schulen'!$E84)</f>
        <v>0.90322580645161288</v>
      </c>
      <c r="J72" s="155">
        <f>IF('AW Schulen'!$H84=0,"x",E72/'AW Schulen'!$H84)</f>
        <v>0.90376569037656906</v>
      </c>
      <c r="K72" s="155">
        <f>IF('AW Schulen'!$K84=0,"x",F72/'AW Schulen'!$K84)</f>
        <v>0.90212765957446805</v>
      </c>
      <c r="L72" s="156">
        <f>IF('AW Schulen'!$N84=0,"x",G72/'AW Schulen'!$N84)</f>
        <v>0.90090090090090091</v>
      </c>
    </row>
    <row r="73" spans="1:12" ht="9" customHeight="1">
      <c r="A73" s="21" t="s">
        <v>87</v>
      </c>
      <c r="B73" s="120"/>
      <c r="C73" s="151">
        <f>[31]GtS!$H$13</f>
        <v>0</v>
      </c>
      <c r="D73" s="151">
        <f>[32]GtS!$H$13</f>
        <v>0</v>
      </c>
      <c r="E73" s="151">
        <f>[33]GtS!$H$13</f>
        <v>0</v>
      </c>
      <c r="F73" s="151">
        <f>[34]GtS!$H$13</f>
        <v>0</v>
      </c>
      <c r="G73" s="152">
        <f>[35]GtS!$H$13</f>
        <v>0</v>
      </c>
      <c r="H73" s="155" t="str">
        <f>IF('AW Schulen'!$B85=0,"x",C73/'AW Schulen'!$B85)</f>
        <v>x</v>
      </c>
      <c r="I73" s="155" t="str">
        <f>IF('AW Schulen'!$E85=0,"x",D73/'AW Schulen'!$E85)</f>
        <v>x</v>
      </c>
      <c r="J73" s="155" t="str">
        <f>IF('AW Schulen'!$H85=0,"x",E73/'AW Schulen'!$H85)</f>
        <v>x</v>
      </c>
      <c r="K73" s="155" t="str">
        <f>IF('AW Schulen'!$K85=0,"x",F73/'AW Schulen'!$K85)</f>
        <v>x</v>
      </c>
      <c r="L73" s="156" t="str">
        <f>IF('AW Schulen'!$N85=0,"x",G73/'AW Schulen'!$N85)</f>
        <v>x</v>
      </c>
    </row>
    <row r="74" spans="1:12" ht="9" customHeight="1">
      <c r="A74" s="21" t="s">
        <v>88</v>
      </c>
      <c r="B74" s="120"/>
      <c r="C74" s="23">
        <f>[71]GtS!$H$13</f>
        <v>273</v>
      </c>
      <c r="D74" s="23">
        <f>[72]GtS!$H$13</f>
        <v>278</v>
      </c>
      <c r="E74" s="23">
        <f>[73]GtS!$H$13</f>
        <v>261</v>
      </c>
      <c r="F74" s="23">
        <f>[74]GtS!$H$13</f>
        <v>236</v>
      </c>
      <c r="G74" s="34">
        <f>[75]GtS!$H$13</f>
        <v>168</v>
      </c>
      <c r="H74" s="155">
        <f>IF('AW Schulen'!$B86=0,"x",C74/'AW Schulen'!$B86)</f>
        <v>0.58208955223880599</v>
      </c>
      <c r="I74" s="155">
        <f>IF('AW Schulen'!$E86=0,"x",D74/'AW Schulen'!$E86)</f>
        <v>0.59656652360515017</v>
      </c>
      <c r="J74" s="155">
        <f>IF('AW Schulen'!$H86=0,"x",E74/'AW Schulen'!$H86)</f>
        <v>0.57743362831858402</v>
      </c>
      <c r="K74" s="155">
        <f>IF('AW Schulen'!$K86=0,"x",F74/'AW Schulen'!$K86)</f>
        <v>0.5488372093023256</v>
      </c>
      <c r="L74" s="156">
        <f>IF('AW Schulen'!$N86=0,"x",G74/'AW Schulen'!$N86)</f>
        <v>0.57337883959044367</v>
      </c>
    </row>
    <row r="75" spans="1:12" ht="9" customHeight="1">
      <c r="A75" s="21" t="s">
        <v>89</v>
      </c>
      <c r="B75" s="120"/>
      <c r="C75" s="23">
        <f>[36]GtS!$H$13</f>
        <v>0</v>
      </c>
      <c r="D75" s="23">
        <f>[37]GtS!$H$13</f>
        <v>0</v>
      </c>
      <c r="E75" s="23">
        <f>[38]GtS!$H$13</f>
        <v>0</v>
      </c>
      <c r="F75" s="23">
        <f>[39]GtS!$H$13</f>
        <v>0</v>
      </c>
      <c r="G75" s="34">
        <f>[40]GtS!$H$13</f>
        <v>0</v>
      </c>
      <c r="H75" s="155">
        <f>IF('AW Schulen'!$B87=0,"x",C75/'AW Schulen'!$B87)</f>
        <v>0</v>
      </c>
      <c r="I75" s="155">
        <f>IF('AW Schulen'!$E87=0,"x",D75/'AW Schulen'!$E87)</f>
        <v>0</v>
      </c>
      <c r="J75" s="155">
        <f>IF('AW Schulen'!$H87=0,"x",E75/'AW Schulen'!$H87)</f>
        <v>0</v>
      </c>
      <c r="K75" s="155">
        <f>IF('AW Schulen'!$K87=0,"x",F75/'AW Schulen'!$K87)</f>
        <v>0</v>
      </c>
      <c r="L75" s="156">
        <f>IF('AW Schulen'!$N87=0,"x",G75/'AW Schulen'!$N87)</f>
        <v>0</v>
      </c>
    </row>
    <row r="76" spans="1:12" ht="9" customHeight="1">
      <c r="A76" s="21" t="s">
        <v>90</v>
      </c>
      <c r="B76" s="120"/>
      <c r="C76" s="23">
        <f>[41]GtS!$H$13</f>
        <v>0</v>
      </c>
      <c r="D76" s="151">
        <f>[42]GtS!$H$13</f>
        <v>0</v>
      </c>
      <c r="E76" s="151">
        <f>[43]GtS!$H$13</f>
        <v>0</v>
      </c>
      <c r="F76" s="151">
        <f>[44]GtS!$H$13</f>
        <v>0</v>
      </c>
      <c r="G76" s="152">
        <f>[45]GtS!$H$13</f>
        <v>0</v>
      </c>
      <c r="H76" s="155">
        <f>IF('AW Schulen'!$B88=0,"x",C76/'AW Schulen'!$B88)</f>
        <v>0</v>
      </c>
      <c r="I76" s="155" t="str">
        <f>IF('AW Schulen'!$E88=0,"x",D76/'AW Schulen'!$E88)</f>
        <v>x</v>
      </c>
      <c r="J76" s="155" t="str">
        <f>IF('AW Schulen'!$H88=0,"x",E76/'AW Schulen'!$H88)</f>
        <v>x</v>
      </c>
      <c r="K76" s="155" t="str">
        <f>IF('AW Schulen'!$K88=0,"x",F76/'AW Schulen'!$K88)</f>
        <v>x</v>
      </c>
      <c r="L76" s="156" t="str">
        <f>IF('AW Schulen'!$N88=0,"x",G76/'AW Schulen'!$N88)</f>
        <v>x</v>
      </c>
    </row>
    <row r="77" spans="1:12" ht="9" customHeight="1">
      <c r="A77" s="21" t="s">
        <v>91</v>
      </c>
      <c r="B77" s="120"/>
      <c r="C77" s="151">
        <f>[46]GtS!$H$13</f>
        <v>0</v>
      </c>
      <c r="D77" s="151">
        <f>[47]GtS!$H$13</f>
        <v>0</v>
      </c>
      <c r="E77" s="151">
        <f>[48]GtS!$H$13</f>
        <v>0</v>
      </c>
      <c r="F77" s="151">
        <f>[49]GtS!$H$13</f>
        <v>0</v>
      </c>
      <c r="G77" s="152">
        <f>[50]GtS!$H$13</f>
        <v>0</v>
      </c>
      <c r="H77" s="155" t="str">
        <f>IF('AW Schulen'!$B89=0,"x",C77/'AW Schulen'!$B89)</f>
        <v>x</v>
      </c>
      <c r="I77" s="155" t="str">
        <f>IF('AW Schulen'!$E89=0,"x",D77/'AW Schulen'!$E89)</f>
        <v>x</v>
      </c>
      <c r="J77" s="155" t="str">
        <f>IF('AW Schulen'!$H89=0,"x",E77/'AW Schulen'!$H89)</f>
        <v>x</v>
      </c>
      <c r="K77" s="155" t="str">
        <f>IF('AW Schulen'!$K89=0,"x",F77/'AW Schulen'!$K89)</f>
        <v>x</v>
      </c>
      <c r="L77" s="156" t="str">
        <f>IF('AW Schulen'!$N89=0,"x",G77/'AW Schulen'!$N89)</f>
        <v>x</v>
      </c>
    </row>
    <row r="78" spans="1:12" ht="9" customHeight="1">
      <c r="A78" s="21" t="s">
        <v>92</v>
      </c>
      <c r="B78" s="120"/>
      <c r="C78" s="151">
        <f>[51]GtS!$H$13</f>
        <v>0</v>
      </c>
      <c r="D78" s="151">
        <f>[52]GtS!$H$13</f>
        <v>0</v>
      </c>
      <c r="E78" s="151">
        <f>[53]GtS!$H$13</f>
        <v>0</v>
      </c>
      <c r="F78" s="151">
        <f>[54]GtS!$H$13</f>
        <v>0</v>
      </c>
      <c r="G78" s="152">
        <f>[55]GtS!$H$13</f>
        <v>0</v>
      </c>
      <c r="H78" s="155" t="str">
        <f>IF('AW Schulen'!$B90=0,"x",C78/'AW Schulen'!$B90)</f>
        <v>x</v>
      </c>
      <c r="I78" s="155" t="str">
        <f>IF('AW Schulen'!$E90=0,"x",D78/'AW Schulen'!$E90)</f>
        <v>x</v>
      </c>
      <c r="J78" s="155" t="str">
        <f>IF('AW Schulen'!$H90=0,"x",E78/'AW Schulen'!$H90)</f>
        <v>x</v>
      </c>
      <c r="K78" s="155" t="str">
        <f>IF('AW Schulen'!$K90=0,"x",F78/'AW Schulen'!$K90)</f>
        <v>x</v>
      </c>
      <c r="L78" s="156" t="str">
        <f>IF('AW Schulen'!$N90=0,"x",G78/'AW Schulen'!$N90)</f>
        <v>x</v>
      </c>
    </row>
    <row r="79" spans="1:12" ht="9" customHeight="1">
      <c r="A79" s="21" t="s">
        <v>93</v>
      </c>
      <c r="B79" s="120"/>
      <c r="C79" s="151">
        <f>[76]GtS!$H$13</f>
        <v>0</v>
      </c>
      <c r="D79" s="151">
        <f>[77]GtS!$H$13</f>
        <v>0</v>
      </c>
      <c r="E79" s="151">
        <f>[78]GtS!$H$13</f>
        <v>0</v>
      </c>
      <c r="F79" s="151">
        <f>[79]GtS!$H$13</f>
        <v>0</v>
      </c>
      <c r="G79" s="152">
        <f>[80]GtS!$H$13</f>
        <v>0</v>
      </c>
      <c r="H79" s="155" t="str">
        <f>IF('AW Schulen'!$B91=0,"x",C79/'AW Schulen'!$B91)</f>
        <v>x</v>
      </c>
      <c r="I79" s="155" t="str">
        <f>IF('AW Schulen'!$E91=0,"x",D79/'AW Schulen'!$E91)</f>
        <v>x</v>
      </c>
      <c r="J79" s="155" t="str">
        <f>IF('AW Schulen'!$H91=0,"x",E79/'AW Schulen'!$H91)</f>
        <v>x</v>
      </c>
      <c r="K79" s="155" t="str">
        <f>IF('AW Schulen'!$K91=0,"x",F79/'AW Schulen'!$K91)</f>
        <v>x</v>
      </c>
      <c r="L79" s="156" t="str">
        <f>IF('AW Schulen'!$N91=0,"x",G79/'AW Schulen'!$N91)</f>
        <v>x</v>
      </c>
    </row>
    <row r="80" spans="1:12" ht="9" customHeight="1">
      <c r="A80" s="21" t="s">
        <v>94</v>
      </c>
      <c r="B80" s="120"/>
      <c r="C80" s="23">
        <f>[56]GtS!$H$13</f>
        <v>122</v>
      </c>
      <c r="D80" s="23">
        <f>[57]GtS!$H$13</f>
        <v>66</v>
      </c>
      <c r="E80" s="23">
        <f>[58]GtS!$H$13</f>
        <v>23</v>
      </c>
      <c r="F80" s="23">
        <f>[59]GtS!$H$13</f>
        <v>0</v>
      </c>
      <c r="G80" s="152">
        <f>[60]GtS!$H$13</f>
        <v>0</v>
      </c>
      <c r="H80" s="155">
        <f>IF('AW Schulen'!$B92=0,"x",C80/'AW Schulen'!$B92)</f>
        <v>0.84722222222222221</v>
      </c>
      <c r="I80" s="155">
        <f>IF('AW Schulen'!$E92=0,"x",D80/'AW Schulen'!$E92)</f>
        <v>0.86842105263157898</v>
      </c>
      <c r="J80" s="155">
        <f>IF('AW Schulen'!$H92=0,"x",E80/'AW Schulen'!$H92)</f>
        <v>0.8214285714285714</v>
      </c>
      <c r="K80" s="155">
        <f>IF('AW Schulen'!$K92=0,"x",F80/'AW Schulen'!$K92)</f>
        <v>0</v>
      </c>
      <c r="L80" s="156" t="str">
        <f>IF('AW Schulen'!$N92=0,"x",G80/'AW Schulen'!$N92)</f>
        <v>x</v>
      </c>
    </row>
    <row r="81" spans="1:12" ht="9" customHeight="1">
      <c r="A81" s="21" t="s">
        <v>95</v>
      </c>
      <c r="B81" s="120"/>
      <c r="C81" s="151">
        <f>[61]GtS!$H$13</f>
        <v>0</v>
      </c>
      <c r="D81" s="151">
        <f>[62]GtS!$H$13</f>
        <v>0</v>
      </c>
      <c r="E81" s="151">
        <f>[63]GtS!$H$13</f>
        <v>0</v>
      </c>
      <c r="F81" s="151">
        <f>[64]GtS!$H$13</f>
        <v>0</v>
      </c>
      <c r="G81" s="152">
        <f>[65]GtS!$H$13</f>
        <v>0</v>
      </c>
      <c r="H81" s="155" t="str">
        <f>IF('AW Schulen'!$B93=0,"x",C81/'AW Schulen'!$B93)</f>
        <v>x</v>
      </c>
      <c r="I81" s="155" t="str">
        <f>IF('AW Schulen'!$E93=0,"x",D81/'AW Schulen'!$E93)</f>
        <v>x</v>
      </c>
      <c r="J81" s="155" t="str">
        <f>IF('AW Schulen'!$H93=0,"x",E81/'AW Schulen'!$H93)</f>
        <v>x</v>
      </c>
      <c r="K81" s="155" t="str">
        <f>IF('AW Schulen'!$K93=0,"x",F81/'AW Schulen'!$K93)</f>
        <v>x</v>
      </c>
      <c r="L81" s="156" t="str">
        <f>IF('AW Schulen'!$N93=0,"x",G81/'AW Schulen'!$N93)</f>
        <v>x</v>
      </c>
    </row>
    <row r="82" spans="1:12" ht="9" customHeight="1">
      <c r="A82" s="24" t="s">
        <v>96</v>
      </c>
      <c r="B82" s="121"/>
      <c r="C82" s="26">
        <f t="shared" ref="C82:E82" si="39">SUM(C66:C81)</f>
        <v>861</v>
      </c>
      <c r="D82" s="26">
        <f t="shared" si="39"/>
        <v>815</v>
      </c>
      <c r="E82" s="26">
        <f t="shared" si="39"/>
        <v>762</v>
      </c>
      <c r="F82" s="26">
        <f t="shared" ref="F82:G82" si="40">SUM(F66:F81)</f>
        <v>736</v>
      </c>
      <c r="G82" s="47">
        <f t="shared" si="40"/>
        <v>672</v>
      </c>
      <c r="H82" s="157">
        <f>IF('AW Schulen'!$B94=0,"x",C82/'AW Schulen'!$B94)</f>
        <v>0.40613207547169811</v>
      </c>
      <c r="I82" s="157">
        <f>IF('AW Schulen'!$E94=0,"x",D82/'AW Schulen'!$E94)</f>
        <v>0.39833822091886606</v>
      </c>
      <c r="J82" s="157">
        <f>IF('AW Schulen'!$H94=0,"x",E82/'AW Schulen'!$H94)</f>
        <v>0.38660578386605782</v>
      </c>
      <c r="K82" s="157">
        <f>IF('AW Schulen'!$K94=0,"x",F82/'AW Schulen'!$K94)</f>
        <v>0.3847360167276529</v>
      </c>
      <c r="L82" s="158">
        <f>IF('AW Schulen'!$N94=0,"x",G82/'AW Schulen'!$N94)</f>
        <v>0.38576349024110218</v>
      </c>
    </row>
    <row r="83" spans="1:12" ht="18.75" customHeight="1">
      <c r="A83" s="396" t="s">
        <v>312</v>
      </c>
      <c r="B83" s="396"/>
      <c r="C83" s="396"/>
      <c r="D83" s="396"/>
      <c r="E83" s="396"/>
      <c r="F83" s="396"/>
      <c r="G83" s="396"/>
      <c r="H83" s="396"/>
      <c r="I83" s="396"/>
      <c r="J83" s="396"/>
      <c r="K83" s="396"/>
      <c r="L83" s="396"/>
    </row>
    <row r="84" spans="1:12" ht="10.15" customHeight="1">
      <c r="A84" s="306" t="s">
        <v>101</v>
      </c>
    </row>
  </sheetData>
  <mergeCells count="8">
    <mergeCell ref="A83:L83"/>
    <mergeCell ref="A1:L1"/>
    <mergeCell ref="A65:L65"/>
    <mergeCell ref="H9:L9"/>
    <mergeCell ref="C9:G9"/>
    <mergeCell ref="A11:L11"/>
    <mergeCell ref="A47:L47"/>
    <mergeCell ref="A29:L29"/>
  </mergeCells>
  <phoneticPr fontId="18" type="noConversion"/>
  <conditionalFormatting sqref="N25">
    <cfRule type="cellIs" dxfId="51"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M85"/>
  <sheetViews>
    <sheetView view="pageBreakPreview" topLeftCell="A58" zoomScale="150" zoomScaleNormal="140" zoomScaleSheetLayoutView="15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'2.2.5'!A1:G1+1</f>
        <v>20</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4.1" customHeight="1">
      <c r="A5" s="13" t="s">
        <v>25</v>
      </c>
      <c r="B5" s="39" t="s">
        <v>135</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187</v>
      </c>
      <c r="D12" s="42">
        <f t="shared" si="0"/>
        <v>199</v>
      </c>
      <c r="E12" s="42">
        <f t="shared" ref="E12:F12" si="1">SUM(E30+E48+E66)</f>
        <v>203</v>
      </c>
      <c r="F12" s="42">
        <f t="shared" si="1"/>
        <v>208</v>
      </c>
      <c r="G12" s="44">
        <f t="shared" ref="G12" si="2">SUM(G30+G48+G66)</f>
        <v>212</v>
      </c>
      <c r="H12" s="153">
        <f>IF('AW Schulen'!$B96=0,"x",C12/'AW Schulen'!$B96)</f>
        <v>0.49470899470899471</v>
      </c>
      <c r="I12" s="153">
        <f>IF('AW Schulen'!$E96=0,"x",D12/'AW Schulen'!$E96)</f>
        <v>0.52645502645502651</v>
      </c>
      <c r="J12" s="153">
        <f>IF('AW Schulen'!$H96=0,"x",E12/'AW Schulen'!$H96)</f>
        <v>0.53703703703703709</v>
      </c>
      <c r="K12" s="153">
        <f>IF('AW Schulen'!$K96=0,"x",F12/'AW Schulen'!$K96)</f>
        <v>0.55026455026455023</v>
      </c>
      <c r="L12" s="154">
        <f>IF('AW Schulen'!$N96=0,"x",G12/'AW Schulen'!$N96)</f>
        <v>0.56084656084656082</v>
      </c>
    </row>
    <row r="13" spans="1:13" ht="9" customHeight="1">
      <c r="A13" s="21" t="s">
        <v>218</v>
      </c>
      <c r="B13" s="120"/>
      <c r="C13" s="42">
        <f t="shared" si="0"/>
        <v>243</v>
      </c>
      <c r="D13" s="42">
        <f t="shared" si="0"/>
        <v>269</v>
      </c>
      <c r="E13" s="42">
        <f t="shared" ref="E13:F13" si="3">SUM(E31+E49+E67)</f>
        <v>269</v>
      </c>
      <c r="F13" s="42" t="e">
        <f t="shared" si="3"/>
        <v>#VALUE!</v>
      </c>
      <c r="G13" s="44">
        <f t="shared" ref="G13" si="4">SUM(G31+G49+G67)</f>
        <v>295</v>
      </c>
      <c r="H13" s="153">
        <f>IF('AW Schulen'!$B97=0,"x",C13/'AW Schulen'!$B97)</f>
        <v>0.70639534883720934</v>
      </c>
      <c r="I13" s="153">
        <f>IF('AW Schulen'!$E97=0,"x",D13/'AW Schulen'!$E97)</f>
        <v>0.77298850574712641</v>
      </c>
      <c r="J13" s="153">
        <f>IF('AW Schulen'!$H97=0,"x",E13/'AW Schulen'!$H97)</f>
        <v>0.76857142857142857</v>
      </c>
      <c r="K13" s="153" t="e">
        <f>IF('AW Schulen'!$K97=0,"x",F13/'AW Schulen'!$K97)</f>
        <v>#VALUE!</v>
      </c>
      <c r="L13" s="154">
        <f>IF('AW Schulen'!$N97=0,"x",G13/'AW Schulen'!$N97)</f>
        <v>0.83806818181818177</v>
      </c>
    </row>
    <row r="14" spans="1:13" ht="9" customHeight="1">
      <c r="A14" s="21" t="s">
        <v>82</v>
      </c>
      <c r="B14" s="120"/>
      <c r="C14" s="42">
        <f t="shared" si="0"/>
        <v>20</v>
      </c>
      <c r="D14" s="42">
        <f t="shared" si="0"/>
        <v>22</v>
      </c>
      <c r="E14" s="42">
        <f t="shared" ref="E14:F14" si="5">SUM(E32+E50+E68)</f>
        <v>18</v>
      </c>
      <c r="F14" s="42">
        <f t="shared" si="5"/>
        <v>25</v>
      </c>
      <c r="G14" s="44">
        <f t="shared" ref="G14" si="6">SUM(G32+G50+G68)</f>
        <v>25</v>
      </c>
      <c r="H14" s="153">
        <f>IF('AW Schulen'!$B98=0,"x",C14/'AW Schulen'!$B98)</f>
        <v>0.21505376344086022</v>
      </c>
      <c r="I14" s="153">
        <f>IF('AW Schulen'!$E98=0,"x",D14/'AW Schulen'!$E98)</f>
        <v>0.24175824175824176</v>
      </c>
      <c r="J14" s="153">
        <f>IF('AW Schulen'!$H98=0,"x",E14/'AW Schulen'!$H98)</f>
        <v>0.2</v>
      </c>
      <c r="K14" s="153">
        <f>IF('AW Schulen'!$K98=0,"x",F14/'AW Schulen'!$K98)</f>
        <v>0.27777777777777779</v>
      </c>
      <c r="L14" s="154">
        <f>IF('AW Schulen'!$N98=0,"x",G14/'AW Schulen'!$N98)</f>
        <v>0.27472527472527475</v>
      </c>
    </row>
    <row r="15" spans="1:13" ht="9" customHeight="1">
      <c r="A15" s="21" t="s">
        <v>83</v>
      </c>
      <c r="B15" s="120"/>
      <c r="C15" s="42">
        <f t="shared" si="0"/>
        <v>33</v>
      </c>
      <c r="D15" s="42">
        <f t="shared" si="0"/>
        <v>33</v>
      </c>
      <c r="E15" s="42">
        <f t="shared" ref="E15:F15" si="7">SUM(E33+E51+E69)</f>
        <v>34</v>
      </c>
      <c r="F15" s="42">
        <f t="shared" si="7"/>
        <v>34</v>
      </c>
      <c r="G15" s="44">
        <f t="shared" ref="G15" si="8">SUM(G33+G51+G69)</f>
        <v>34</v>
      </c>
      <c r="H15" s="153">
        <f>IF('AW Schulen'!$B99=0,"x",C15/'AW Schulen'!$B99)</f>
        <v>0.42857142857142855</v>
      </c>
      <c r="I15" s="153">
        <f>IF('AW Schulen'!$E99=0,"x",D15/'AW Schulen'!$E99)</f>
        <v>0.43421052631578949</v>
      </c>
      <c r="J15" s="153">
        <f>IF('AW Schulen'!$H99=0,"x",E15/'AW Schulen'!$H99)</f>
        <v>0.44736842105263158</v>
      </c>
      <c r="K15" s="153">
        <f>IF('AW Schulen'!$K99=0,"x",F15/'AW Schulen'!$K99)</f>
        <v>0.44736842105263158</v>
      </c>
      <c r="L15" s="154">
        <f>IF('AW Schulen'!$N99=0,"x",G15/'AW Schulen'!$N99)</f>
        <v>0.44155844155844154</v>
      </c>
    </row>
    <row r="16" spans="1:13" ht="9" customHeight="1">
      <c r="A16" s="21" t="s">
        <v>84</v>
      </c>
      <c r="B16" s="120"/>
      <c r="C16" s="42">
        <f t="shared" si="0"/>
        <v>6</v>
      </c>
      <c r="D16" s="42">
        <f t="shared" si="0"/>
        <v>3</v>
      </c>
      <c r="E16" s="42">
        <f t="shared" ref="E16:F16" si="9">SUM(E34+E52+E70)</f>
        <v>3</v>
      </c>
      <c r="F16" s="42">
        <f t="shared" si="9"/>
        <v>2</v>
      </c>
      <c r="G16" s="44">
        <f t="shared" ref="G16" si="10">SUM(G34+G52+G70)</f>
        <v>2</v>
      </c>
      <c r="H16" s="153">
        <f>IF('AW Schulen'!$B100=0,"x",C16/'AW Schulen'!$B100)</f>
        <v>0.19354838709677419</v>
      </c>
      <c r="I16" s="153">
        <f>IF('AW Schulen'!$E100=0,"x",D16/'AW Schulen'!$E100)</f>
        <v>0.12</v>
      </c>
      <c r="J16" s="153">
        <f>IF('AW Schulen'!$H100=0,"x",E16/'AW Schulen'!$H100)</f>
        <v>0.17647058823529413</v>
      </c>
      <c r="K16" s="153">
        <f>IF('AW Schulen'!$K100=0,"x",F16/'AW Schulen'!$K100)</f>
        <v>0.22222222222222221</v>
      </c>
      <c r="L16" s="154">
        <f>IF('AW Schulen'!$N100=0,"x",G16/'AW Schulen'!$N100)</f>
        <v>0.22222222222222221</v>
      </c>
    </row>
    <row r="17" spans="1:12" ht="9" customHeight="1">
      <c r="A17" s="21" t="s">
        <v>85</v>
      </c>
      <c r="B17" s="120"/>
      <c r="C17" s="42">
        <f t="shared" si="0"/>
        <v>62</v>
      </c>
      <c r="D17" s="42">
        <f t="shared" si="0"/>
        <v>62</v>
      </c>
      <c r="E17" s="42">
        <f t="shared" ref="E17:F17" si="11">SUM(E35+E53+E71)</f>
        <v>62</v>
      </c>
      <c r="F17" s="42">
        <f t="shared" si="11"/>
        <v>62</v>
      </c>
      <c r="G17" s="44">
        <f t="shared" ref="G17" si="12">SUM(G35+G53+G71)</f>
        <v>63</v>
      </c>
      <c r="H17" s="153">
        <f>IF('AW Schulen'!$B101=0,"x",C17/'AW Schulen'!$B101)</f>
        <v>0.92537313432835822</v>
      </c>
      <c r="I17" s="153">
        <f>IF('AW Schulen'!$E101=0,"x",D17/'AW Schulen'!$E101)</f>
        <v>0.92537313432835822</v>
      </c>
      <c r="J17" s="153">
        <f>IF('AW Schulen'!$H101=0,"x",E17/'AW Schulen'!$H101)</f>
        <v>1</v>
      </c>
      <c r="K17" s="153">
        <f>IF('AW Schulen'!$K101=0,"x",F17/'AW Schulen'!$K101)</f>
        <v>1</v>
      </c>
      <c r="L17" s="154">
        <f>IF('AW Schulen'!$N101=0,"x",G17/'AW Schulen'!$N101)</f>
        <v>1</v>
      </c>
    </row>
    <row r="18" spans="1:12" ht="9" customHeight="1">
      <c r="A18" s="21" t="s">
        <v>86</v>
      </c>
      <c r="B18" s="120"/>
      <c r="C18" s="42">
        <f t="shared" si="0"/>
        <v>219</v>
      </c>
      <c r="D18" s="42">
        <f t="shared" si="0"/>
        <v>218</v>
      </c>
      <c r="E18" s="42">
        <f t="shared" ref="E18:F18" si="13">SUM(E36+E54+E72)</f>
        <v>217</v>
      </c>
      <c r="F18" s="42">
        <f t="shared" si="13"/>
        <v>219</v>
      </c>
      <c r="G18" s="44">
        <f t="shared" ref="G18" si="14">SUM(G36+G54+G72)</f>
        <v>220</v>
      </c>
      <c r="H18" s="153">
        <f>IF('AW Schulen'!$B102=0,"x",C18/'AW Schulen'!$B102)</f>
        <v>0.99095022624434392</v>
      </c>
      <c r="I18" s="153">
        <f>IF('AW Schulen'!$E102=0,"x",D18/'AW Schulen'!$E102)</f>
        <v>0.99090909090909096</v>
      </c>
      <c r="J18" s="153">
        <f>IF('AW Schulen'!$H102=0,"x",E18/'AW Schulen'!$H102)</f>
        <v>0.98636363636363633</v>
      </c>
      <c r="K18" s="153">
        <f>IF('AW Schulen'!$K102=0,"x",F18/'AW Schulen'!$K102)</f>
        <v>0.99095022624434392</v>
      </c>
      <c r="L18" s="154">
        <f>IF('AW Schulen'!$N102=0,"x",G18/'AW Schulen'!$N102)</f>
        <v>0.99547511312217196</v>
      </c>
    </row>
    <row r="19" spans="1:12" ht="9" customHeight="1">
      <c r="A19" s="21" t="s">
        <v>87</v>
      </c>
      <c r="B19" s="120"/>
      <c r="C19" s="42">
        <f t="shared" si="0"/>
        <v>52</v>
      </c>
      <c r="D19" s="42">
        <f t="shared" si="0"/>
        <v>52</v>
      </c>
      <c r="E19" s="42">
        <f t="shared" ref="E19:F19" si="15">SUM(E37+E55+E73)</f>
        <v>52</v>
      </c>
      <c r="F19" s="42">
        <f t="shared" si="15"/>
        <v>52</v>
      </c>
      <c r="G19" s="44">
        <f t="shared" ref="G19" si="16">SUM(G37+G55+G73)</f>
        <v>52</v>
      </c>
      <c r="H19" s="153">
        <f>IF('AW Schulen'!$B103=0,"x",C19/'AW Schulen'!$B103)</f>
        <v>0.85245901639344257</v>
      </c>
      <c r="I19" s="153">
        <f>IF('AW Schulen'!$E103=0,"x",D19/'AW Schulen'!$E103)</f>
        <v>0.8666666666666667</v>
      </c>
      <c r="J19" s="153">
        <f>IF('AW Schulen'!$H103=0,"x",E19/'AW Schulen'!$H103)</f>
        <v>0.8666666666666667</v>
      </c>
      <c r="K19" s="153">
        <f>IF('AW Schulen'!$K103=0,"x",F19/'AW Schulen'!$K103)</f>
        <v>0.8666666666666667</v>
      </c>
      <c r="L19" s="154">
        <f>IF('AW Schulen'!$N103=0,"x",G19/'AW Schulen'!$N103)</f>
        <v>0.85245901639344257</v>
      </c>
    </row>
    <row r="20" spans="1:12" ht="9" customHeight="1">
      <c r="A20" s="21" t="s">
        <v>88</v>
      </c>
      <c r="B20" s="120"/>
      <c r="C20" s="42">
        <f t="shared" si="0"/>
        <v>208</v>
      </c>
      <c r="D20" s="42">
        <f t="shared" si="0"/>
        <v>223</v>
      </c>
      <c r="E20" s="42">
        <f t="shared" ref="E20:F20" si="17">SUM(E38+E56+E74)</f>
        <v>230</v>
      </c>
      <c r="F20" s="42">
        <f t="shared" si="17"/>
        <v>233</v>
      </c>
      <c r="G20" s="44">
        <f t="shared" ref="G20" si="18">SUM(G38+G56+G74)</f>
        <v>239</v>
      </c>
      <c r="H20" s="153">
        <f>IF('AW Schulen'!$B104=0,"x",C20/'AW Schulen'!$B104)</f>
        <v>0.8125</v>
      </c>
      <c r="I20" s="153">
        <f>IF('AW Schulen'!$E104=0,"x",D20/'AW Schulen'!$E104)</f>
        <v>0.87109375</v>
      </c>
      <c r="J20" s="153">
        <f>IF('AW Schulen'!$H104=0,"x",E20/'AW Schulen'!$H104)</f>
        <v>0.8984375</v>
      </c>
      <c r="K20" s="153">
        <f>IF('AW Schulen'!$K104=0,"x",F20/'AW Schulen'!$K104)</f>
        <v>0.91015625</v>
      </c>
      <c r="L20" s="154">
        <f>IF('AW Schulen'!$N104=0,"x",G20/'AW Schulen'!$N104)</f>
        <v>0.93359375</v>
      </c>
    </row>
    <row r="21" spans="1:12" ht="9" customHeight="1">
      <c r="A21" s="21" t="s">
        <v>89</v>
      </c>
      <c r="B21" s="120"/>
      <c r="C21" s="42">
        <f t="shared" si="0"/>
        <v>134</v>
      </c>
      <c r="D21" s="42">
        <f t="shared" si="0"/>
        <v>138</v>
      </c>
      <c r="E21" s="42">
        <f t="shared" ref="E21:F21" si="19">SUM(E39+E57+E75)</f>
        <v>141</v>
      </c>
      <c r="F21" s="42">
        <f t="shared" si="19"/>
        <v>146</v>
      </c>
      <c r="G21" s="44">
        <f t="shared" ref="G21" si="20">SUM(G39+G57+G75)</f>
        <v>149</v>
      </c>
      <c r="H21" s="153">
        <f>IF('AW Schulen'!$B105=0,"x",C21/'AW Schulen'!$B105)</f>
        <v>0.26120857699805067</v>
      </c>
      <c r="I21" s="153">
        <f>IF('AW Schulen'!$E105=0,"x",D21/'AW Schulen'!$E105)</f>
        <v>0.26900584795321636</v>
      </c>
      <c r="J21" s="153">
        <f>IF('AW Schulen'!$H105=0,"x",E21/'AW Schulen'!$H105)</f>
        <v>0.275390625</v>
      </c>
      <c r="K21" s="153">
        <f>IF('AW Schulen'!$K105=0,"x",F21/'AW Schulen'!$K105)</f>
        <v>0.2857142857142857</v>
      </c>
      <c r="L21" s="154">
        <f>IF('AW Schulen'!$N105=0,"x",G21/'AW Schulen'!$N105)</f>
        <v>0.29158512720156554</v>
      </c>
    </row>
    <row r="22" spans="1:12" ht="9" customHeight="1">
      <c r="A22" s="21" t="s">
        <v>90</v>
      </c>
      <c r="B22" s="120"/>
      <c r="C22" s="42">
        <f t="shared" si="0"/>
        <v>58</v>
      </c>
      <c r="D22" s="42">
        <f t="shared" si="0"/>
        <v>53</v>
      </c>
      <c r="E22" s="42">
        <f t="shared" ref="E22:F22" si="21">SUM(E40+E58+E76)</f>
        <v>58</v>
      </c>
      <c r="F22" s="42">
        <f t="shared" si="21"/>
        <v>55</v>
      </c>
      <c r="G22" s="44">
        <f t="shared" ref="G22" si="22">SUM(G40+G58+G76)</f>
        <v>58</v>
      </c>
      <c r="H22" s="153">
        <f>IF('AW Schulen'!$B106=0,"x",C22/'AW Schulen'!$B106)</f>
        <v>0.47154471544715448</v>
      </c>
      <c r="I22" s="153">
        <f>IF('AW Schulen'!$E106=0,"x",D22/'AW Schulen'!$E106)</f>
        <v>0.43089430894308944</v>
      </c>
      <c r="J22" s="153">
        <f>IF('AW Schulen'!$H106=0,"x",E22/'AW Schulen'!$H106)</f>
        <v>0.47154471544715448</v>
      </c>
      <c r="K22" s="153">
        <f>IF('AW Schulen'!$K106=0,"x",F22/'AW Schulen'!$K106)</f>
        <v>0.44715447154471544</v>
      </c>
      <c r="L22" s="154">
        <f>IF('AW Schulen'!$N106=0,"x",G22/'AW Schulen'!$N106)</f>
        <v>0.47154471544715448</v>
      </c>
    </row>
    <row r="23" spans="1:12" ht="9" customHeight="1">
      <c r="A23" s="21" t="s">
        <v>91</v>
      </c>
      <c r="B23" s="120"/>
      <c r="C23" s="42">
        <f t="shared" si="0"/>
        <v>28</v>
      </c>
      <c r="D23" s="42">
        <f t="shared" si="0"/>
        <v>28</v>
      </c>
      <c r="E23" s="42">
        <f t="shared" ref="E23:F23" si="23">SUM(E41+E59+E77)</f>
        <v>28</v>
      </c>
      <c r="F23" s="42">
        <f t="shared" si="23"/>
        <v>28</v>
      </c>
      <c r="G23" s="44">
        <f t="shared" ref="G23" si="24">SUM(G41+G59+G77)</f>
        <v>28</v>
      </c>
      <c r="H23" s="153">
        <f>IF('AW Schulen'!$B107=0,"x",C23/'AW Schulen'!$B107)</f>
        <v>1</v>
      </c>
      <c r="I23" s="153">
        <f>IF('AW Schulen'!$E107=0,"x",D23/'AW Schulen'!$E107)</f>
        <v>1</v>
      </c>
      <c r="J23" s="153">
        <f>IF('AW Schulen'!$H107=0,"x",E23/'AW Schulen'!$H107)</f>
        <v>1</v>
      </c>
      <c r="K23" s="153">
        <f>IF('AW Schulen'!$K107=0,"x",F23/'AW Schulen'!$K107)</f>
        <v>1</v>
      </c>
      <c r="L23" s="154">
        <f>IF('AW Schulen'!$N107=0,"x",G23/'AW Schulen'!$N107)</f>
        <v>1</v>
      </c>
    </row>
    <row r="24" spans="1:12" ht="9" customHeight="1">
      <c r="A24" s="21" t="s">
        <v>92</v>
      </c>
      <c r="B24" s="120"/>
      <c r="C24" s="42">
        <f t="shared" si="0"/>
        <v>110</v>
      </c>
      <c r="D24" s="42">
        <f t="shared" si="0"/>
        <v>113</v>
      </c>
      <c r="E24" s="42">
        <f t="shared" ref="E24:F24" si="25">SUM(E42+E60+E78)</f>
        <v>114</v>
      </c>
      <c r="F24" s="42">
        <f t="shared" si="25"/>
        <v>114</v>
      </c>
      <c r="G24" s="44">
        <f t="shared" ref="G24" si="26">SUM(G42+G60+G78)</f>
        <v>117</v>
      </c>
      <c r="H24" s="153">
        <f>IF('AW Schulen'!$B108=0,"x",C24/'AW Schulen'!$B108)</f>
        <v>0.92436974789915971</v>
      </c>
      <c r="I24" s="153">
        <f>IF('AW Schulen'!$E108=0,"x",D24/'AW Schulen'!$E108)</f>
        <v>0.94957983193277307</v>
      </c>
      <c r="J24" s="153">
        <f>IF('AW Schulen'!$H108=0,"x",E24/'AW Schulen'!$H108)</f>
        <v>0.95</v>
      </c>
      <c r="K24" s="153">
        <f>IF('AW Schulen'!$K108=0,"x",F24/'AW Schulen'!$K108)</f>
        <v>0.95</v>
      </c>
      <c r="L24" s="154">
        <f>IF('AW Schulen'!$N108=0,"x",G24/'AW Schulen'!$N108)</f>
        <v>0.96694214876033058</v>
      </c>
    </row>
    <row r="25" spans="1:12" ht="9" customHeight="1">
      <c r="A25" s="21" t="s">
        <v>93</v>
      </c>
      <c r="B25" s="120"/>
      <c r="C25" s="42">
        <f t="shared" si="0"/>
        <v>23</v>
      </c>
      <c r="D25" s="42">
        <f t="shared" si="0"/>
        <v>24</v>
      </c>
      <c r="E25" s="42">
        <f t="shared" ref="E25:F25" si="27">SUM(E43+E61+E79)</f>
        <v>25</v>
      </c>
      <c r="F25" s="42">
        <f t="shared" si="27"/>
        <v>25</v>
      </c>
      <c r="G25" s="44">
        <f t="shared" ref="G25" si="28">SUM(G43+G61+G79)</f>
        <v>27</v>
      </c>
      <c r="H25" s="153">
        <f>IF('AW Schulen'!$B109=0,"x",C25/'AW Schulen'!$B109)</f>
        <v>0.32857142857142857</v>
      </c>
      <c r="I25" s="153">
        <f>IF('AW Schulen'!$E109=0,"x",D25/'AW Schulen'!$E109)</f>
        <v>0.34285714285714286</v>
      </c>
      <c r="J25" s="153">
        <f>IF('AW Schulen'!$H109=0,"x",E25/'AW Schulen'!$H109)</f>
        <v>0.36231884057971014</v>
      </c>
      <c r="K25" s="153">
        <f>IF('AW Schulen'!$K109=0,"x",F25/'AW Schulen'!$K109)</f>
        <v>0.34722222222222221</v>
      </c>
      <c r="L25" s="154">
        <f>IF('AW Schulen'!$N109=0,"x",G25/'AW Schulen'!$N109)</f>
        <v>0.375</v>
      </c>
    </row>
    <row r="26" spans="1:12" ht="9" customHeight="1">
      <c r="A26" s="21" t="s">
        <v>94</v>
      </c>
      <c r="B26" s="120"/>
      <c r="C26" s="42">
        <f t="shared" si="0"/>
        <v>69</v>
      </c>
      <c r="D26" s="42">
        <f t="shared" si="0"/>
        <v>70</v>
      </c>
      <c r="E26" s="42">
        <f t="shared" ref="E26:F26" si="29">SUM(E44+E62+E80)</f>
        <v>71</v>
      </c>
      <c r="F26" s="42">
        <f t="shared" si="29"/>
        <v>70</v>
      </c>
      <c r="G26" s="44">
        <f t="shared" ref="G26" si="30">SUM(G44+G62+G80)</f>
        <v>71</v>
      </c>
      <c r="H26" s="153">
        <f>IF('AW Schulen'!$B110=0,"x",C26/'AW Schulen'!$B110)</f>
        <v>0.69</v>
      </c>
      <c r="I26" s="153">
        <f>IF('AW Schulen'!$E110=0,"x",D26/'AW Schulen'!$E110)</f>
        <v>0.7</v>
      </c>
      <c r="J26" s="153">
        <f>IF('AW Schulen'!$H110=0,"x",E26/'AW Schulen'!$H110)</f>
        <v>0.71</v>
      </c>
      <c r="K26" s="153">
        <f>IF('AW Schulen'!$K110=0,"x",F26/'AW Schulen'!$K110)</f>
        <v>0.70707070707070707</v>
      </c>
      <c r="L26" s="154">
        <f>IF('AW Schulen'!$N110=0,"x",G26/'AW Schulen'!$N110)</f>
        <v>0.71717171717171713</v>
      </c>
    </row>
    <row r="27" spans="1:12" ht="9" customHeight="1">
      <c r="A27" s="21" t="s">
        <v>95</v>
      </c>
      <c r="B27" s="120"/>
      <c r="C27" s="42">
        <f t="shared" si="0"/>
        <v>18</v>
      </c>
      <c r="D27" s="42">
        <f t="shared" si="0"/>
        <v>16</v>
      </c>
      <c r="E27" s="42">
        <f t="shared" ref="E27:F27" si="31">SUM(E45+E63+E81)</f>
        <v>16</v>
      </c>
      <c r="F27" s="42">
        <f t="shared" si="31"/>
        <v>18</v>
      </c>
      <c r="G27" s="44">
        <f t="shared" ref="G27" si="32">SUM(G45+G63+G81)</f>
        <v>17</v>
      </c>
      <c r="H27" s="153">
        <f>IF('AW Schulen'!$B111=0,"x",C27/'AW Schulen'!$B111)</f>
        <v>0.20454545454545456</v>
      </c>
      <c r="I27" s="153">
        <f>IF('AW Schulen'!$E111=0,"x",D27/'AW Schulen'!$E111)</f>
        <v>0.18181818181818182</v>
      </c>
      <c r="J27" s="153">
        <f>IF('AW Schulen'!$H111=0,"x",E27/'AW Schulen'!$H111)</f>
        <v>0.18181818181818182</v>
      </c>
      <c r="K27" s="153">
        <f>IF('AW Schulen'!$K111=0,"x",F27/'AW Schulen'!$K111)</f>
        <v>0.20224719101123595</v>
      </c>
      <c r="L27" s="154">
        <f>IF('AW Schulen'!$N111=0,"x",G27/'AW Schulen'!$N111)</f>
        <v>0.19318181818181818</v>
      </c>
    </row>
    <row r="28" spans="1:12" ht="9" customHeight="1">
      <c r="A28" s="21" t="s">
        <v>96</v>
      </c>
      <c r="B28" s="120"/>
      <c r="C28" s="42">
        <f t="shared" si="0"/>
        <v>1470</v>
      </c>
      <c r="D28" s="42">
        <f t="shared" si="0"/>
        <v>1523</v>
      </c>
      <c r="E28" s="42">
        <f t="shared" ref="E28:F28" si="33">SUM(E46+E64+E82)</f>
        <v>1541</v>
      </c>
      <c r="F28" s="42">
        <f t="shared" si="33"/>
        <v>1563</v>
      </c>
      <c r="G28" s="44">
        <f t="shared" ref="G28" si="34">SUM(G46+G64+G82)</f>
        <v>1609</v>
      </c>
      <c r="H28" s="153">
        <f>IF('AW Schulen'!$B112=0,"x",C28/'AW Schulen'!$B112)</f>
        <v>0.57220708446866486</v>
      </c>
      <c r="I28" s="153">
        <f>IF('AW Schulen'!$E112=0,"x",D28/'AW Schulen'!$E112)</f>
        <v>0.59445745511319281</v>
      </c>
      <c r="J28" s="153">
        <f>IF('AW Schulen'!$H112=0,"x",E28/'AW Schulen'!$H112)</f>
        <v>0.60455080423695562</v>
      </c>
      <c r="K28" s="153">
        <f>IF('AW Schulen'!$K112=0,"x",F28/'AW Schulen'!$K112)</f>
        <v>0.6141453831041257</v>
      </c>
      <c r="L28" s="154">
        <f>IF('AW Schulen'!$N112=0,"x",G28/'AW Schulen'!$N112)</f>
        <v>0.63098039215686275</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[1]GtS!$F$14</f>
        <v>5</v>
      </c>
      <c r="D30" s="23">
        <f>[2]GtS!$F$14</f>
        <v>5</v>
      </c>
      <c r="E30" s="23">
        <f>[3]GtS!$F$14</f>
        <v>6</v>
      </c>
      <c r="F30" s="23">
        <f>[4]GtS!$F$14</f>
        <v>6</v>
      </c>
      <c r="G30" s="34">
        <f>[5]GtS!$F$14</f>
        <v>10</v>
      </c>
      <c r="H30" s="155">
        <f>IF('AW Schulen'!$B96=0,"x",C30/'AW Schulen'!$B96)</f>
        <v>1.3227513227513227E-2</v>
      </c>
      <c r="I30" s="155">
        <f>IF('AW Schulen'!$E96=0,"x",D30/'AW Schulen'!$E96)</f>
        <v>1.3227513227513227E-2</v>
      </c>
      <c r="J30" s="155">
        <f>IF('AW Schulen'!$H96=0,"x",E30/'AW Schulen'!$H96)</f>
        <v>1.5873015873015872E-2</v>
      </c>
      <c r="K30" s="155">
        <f>IF('AW Schulen'!$K96=0,"x",F30/'AW Schulen'!$K96)</f>
        <v>1.5873015873015872E-2</v>
      </c>
      <c r="L30" s="156">
        <f>IF('AW Schulen'!$N96=0,"x",G30/'AW Schulen'!$N96)</f>
        <v>2.6455026455026454E-2</v>
      </c>
    </row>
    <row r="31" spans="1:12" ht="9" customHeight="1">
      <c r="A31" s="21" t="s">
        <v>81</v>
      </c>
      <c r="B31" s="120"/>
      <c r="C31" s="23">
        <f>[6]GtS!$F$14</f>
        <v>1</v>
      </c>
      <c r="D31" s="23">
        <f>[7]GtS!$F$14</f>
        <v>1</v>
      </c>
      <c r="E31" s="23">
        <f>[8]GtS!$F$14</f>
        <v>1</v>
      </c>
      <c r="F31" s="23" t="str">
        <f>[9]GtS!$F$14</f>
        <v xml:space="preserve">                                      -   </v>
      </c>
      <c r="G31" s="34">
        <f>[10]GtS!$F$14</f>
        <v>16</v>
      </c>
      <c r="H31" s="155">
        <f>IF('AW Schulen'!$B97=0,"x",C31/'AW Schulen'!$B97)</f>
        <v>2.9069767441860465E-3</v>
      </c>
      <c r="I31" s="155">
        <f>IF('AW Schulen'!$E97=0,"x",D31/'AW Schulen'!$E97)</f>
        <v>2.8735632183908046E-3</v>
      </c>
      <c r="J31" s="155">
        <f>IF('AW Schulen'!$H97=0,"x",E31/'AW Schulen'!$H97)</f>
        <v>2.8571428571428571E-3</v>
      </c>
      <c r="K31" s="155" t="e">
        <f>IF('AW Schulen'!$K97=0,"x",F31/'AW Schulen'!$K97)</f>
        <v>#VALUE!</v>
      </c>
      <c r="L31" s="156">
        <f>IF('AW Schulen'!$N97=0,"x",G31/'AW Schulen'!$N97)</f>
        <v>4.5454545454545456E-2</v>
      </c>
    </row>
    <row r="32" spans="1:12" ht="9" customHeight="1">
      <c r="A32" s="21" t="s">
        <v>82</v>
      </c>
      <c r="B32" s="120"/>
      <c r="C32" s="23">
        <f>[11]GtS!$F$14</f>
        <v>8</v>
      </c>
      <c r="D32" s="23">
        <f>[12]GtS!$F$14</f>
        <v>6</v>
      </c>
      <c r="E32" s="23">
        <f>[13]GtS!$F$14</f>
        <v>5</v>
      </c>
      <c r="F32" s="23">
        <f>[14]GtS!$F$14</f>
        <v>6</v>
      </c>
      <c r="G32" s="34">
        <f>[15]GtS!$F$14</f>
        <v>6</v>
      </c>
      <c r="H32" s="155">
        <f>IF('AW Schulen'!$B98=0,"x",C32/'AW Schulen'!$B98)</f>
        <v>8.6021505376344093E-2</v>
      </c>
      <c r="I32" s="155">
        <f>IF('AW Schulen'!$E98=0,"x",D32/'AW Schulen'!$E98)</f>
        <v>6.5934065934065936E-2</v>
      </c>
      <c r="J32" s="155">
        <f>IF('AW Schulen'!$H98=0,"x",E32/'AW Schulen'!$H98)</f>
        <v>5.5555555555555552E-2</v>
      </c>
      <c r="K32" s="155">
        <f>IF('AW Schulen'!$K98=0,"x",F32/'AW Schulen'!$K98)</f>
        <v>6.6666666666666666E-2</v>
      </c>
      <c r="L32" s="156">
        <f>IF('AW Schulen'!$N98=0,"x",G32/'AW Schulen'!$N98)</f>
        <v>6.5934065934065936E-2</v>
      </c>
    </row>
    <row r="33" spans="1:12" ht="9" customHeight="1">
      <c r="A33" s="21" t="s">
        <v>83</v>
      </c>
      <c r="B33" s="120"/>
      <c r="C33" s="23">
        <f>[16]GtS!$F$14</f>
        <v>0</v>
      </c>
      <c r="D33" s="23">
        <f>[17]GtS!$F$14</f>
        <v>0</v>
      </c>
      <c r="E33" s="23">
        <f>[18]GtS!$F$14</f>
        <v>0</v>
      </c>
      <c r="F33" s="23">
        <f>[19]GtS!$F$14</f>
        <v>0</v>
      </c>
      <c r="G33" s="34">
        <f>[20]GtS!$F$14</f>
        <v>0</v>
      </c>
      <c r="H33" s="155">
        <f>IF('AW Schulen'!$B99=0,"x",C33/'AW Schulen'!$B99)</f>
        <v>0</v>
      </c>
      <c r="I33" s="155">
        <f>IF('AW Schulen'!$E99=0,"x",D33/'AW Schulen'!$E99)</f>
        <v>0</v>
      </c>
      <c r="J33" s="155">
        <f>IF('AW Schulen'!$H99=0,"x",E33/'AW Schulen'!$H99)</f>
        <v>0</v>
      </c>
      <c r="K33" s="155">
        <f>IF('AW Schulen'!$K99=0,"x",F33/'AW Schulen'!$K99)</f>
        <v>0</v>
      </c>
      <c r="L33" s="156">
        <f>IF('AW Schulen'!$N99=0,"x",G33/'AW Schulen'!$N99)</f>
        <v>0</v>
      </c>
    </row>
    <row r="34" spans="1:12" ht="9" customHeight="1">
      <c r="A34" s="21" t="s">
        <v>84</v>
      </c>
      <c r="B34" s="120"/>
      <c r="C34" s="23">
        <f>[21]GtS!$F$14</f>
        <v>0</v>
      </c>
      <c r="D34" s="23">
        <f>[22]GtS!$F$14</f>
        <v>0</v>
      </c>
      <c r="E34" s="23">
        <f>[23]GtS!$F$14</f>
        <v>0</v>
      </c>
      <c r="F34" s="23">
        <f>[24]GtS!$F$14</f>
        <v>0</v>
      </c>
      <c r="G34" s="34">
        <f>[25]GtS!$F$14</f>
        <v>0</v>
      </c>
      <c r="H34" s="155">
        <f>IF('AW Schulen'!$B100=0,"x",C34/'AW Schulen'!$B100)</f>
        <v>0</v>
      </c>
      <c r="I34" s="155">
        <f>IF('AW Schulen'!$E100=0,"x",D34/'AW Schulen'!$E100)</f>
        <v>0</v>
      </c>
      <c r="J34" s="155">
        <f>IF('AW Schulen'!$H100=0,"x",E34/'AW Schulen'!$H100)</f>
        <v>0</v>
      </c>
      <c r="K34" s="155">
        <f>IF('AW Schulen'!$K100=0,"x",F34/'AW Schulen'!$K100)</f>
        <v>0</v>
      </c>
      <c r="L34" s="156">
        <f>IF('AW Schulen'!$N100=0,"x",G34/'AW Schulen'!$N100)</f>
        <v>0</v>
      </c>
    </row>
    <row r="35" spans="1:12" ht="9" customHeight="1">
      <c r="A35" s="21" t="s">
        <v>85</v>
      </c>
      <c r="B35" s="120"/>
      <c r="C35" s="23">
        <f>[26]GtS!$F$14</f>
        <v>2</v>
      </c>
      <c r="D35" s="23">
        <f>[27]GtS!$F$14</f>
        <v>3</v>
      </c>
      <c r="E35" s="23">
        <f>[28]GtS!$F$14</f>
        <v>3</v>
      </c>
      <c r="F35" s="23">
        <f>[29]GtS!$F$14</f>
        <v>3</v>
      </c>
      <c r="G35" s="34">
        <f>[30]GtS!$F$14</f>
        <v>4</v>
      </c>
      <c r="H35" s="155">
        <f>IF('AW Schulen'!$B101=0,"x",C35/'AW Schulen'!$B101)</f>
        <v>2.9850746268656716E-2</v>
      </c>
      <c r="I35" s="155">
        <f>IF('AW Schulen'!$E101=0,"x",D35/'AW Schulen'!$E101)</f>
        <v>4.4776119402985072E-2</v>
      </c>
      <c r="J35" s="155">
        <f>IF('AW Schulen'!$H101=0,"x",E35/'AW Schulen'!$H101)</f>
        <v>4.8387096774193547E-2</v>
      </c>
      <c r="K35" s="155">
        <f>IF('AW Schulen'!$K101=0,"x",F35/'AW Schulen'!$K101)</f>
        <v>4.8387096774193547E-2</v>
      </c>
      <c r="L35" s="156">
        <f>IF('AW Schulen'!$N101=0,"x",G35/'AW Schulen'!$N101)</f>
        <v>6.3492063492063489E-2</v>
      </c>
    </row>
    <row r="36" spans="1:12" ht="9" customHeight="1">
      <c r="A36" s="21" t="s">
        <v>86</v>
      </c>
      <c r="B36" s="120"/>
      <c r="C36" s="23">
        <f>[66]GtS!$F$14</f>
        <v>4</v>
      </c>
      <c r="D36" s="23">
        <f>[67]GtS!$F$14</f>
        <v>4</v>
      </c>
      <c r="E36" s="23">
        <f>[68]GtS!$F$14</f>
        <v>4</v>
      </c>
      <c r="F36" s="23">
        <f>[69]GtS!$F$14</f>
        <v>5</v>
      </c>
      <c r="G36" s="34">
        <f>[70]GtS!$F$14</f>
        <v>6</v>
      </c>
      <c r="H36" s="155">
        <f>IF('AW Schulen'!$B102=0,"x",C36/'AW Schulen'!$B102)</f>
        <v>1.8099547511312219E-2</v>
      </c>
      <c r="I36" s="155">
        <f>IF('AW Schulen'!$E102=0,"x",D36/'AW Schulen'!$E102)</f>
        <v>1.8181818181818181E-2</v>
      </c>
      <c r="J36" s="155">
        <f>IF('AW Schulen'!$H102=0,"x",E36/'AW Schulen'!$H102)</f>
        <v>1.8181818181818181E-2</v>
      </c>
      <c r="K36" s="155">
        <f>IF('AW Schulen'!$K102=0,"x",F36/'AW Schulen'!$K102)</f>
        <v>2.2624434389140271E-2</v>
      </c>
      <c r="L36" s="156">
        <f>IF('AW Schulen'!$N102=0,"x",G36/'AW Schulen'!$N102)</f>
        <v>2.7149321266968326E-2</v>
      </c>
    </row>
    <row r="37" spans="1:12" ht="9" customHeight="1">
      <c r="A37" s="21" t="s">
        <v>87</v>
      </c>
      <c r="B37" s="120"/>
      <c r="C37" s="23">
        <f>[31]GtS!$F$14</f>
        <v>17</v>
      </c>
      <c r="D37" s="23">
        <f>[32]GtS!$F$14</f>
        <v>18</v>
      </c>
      <c r="E37" s="23">
        <f>[33]GtS!$F$14</f>
        <v>17</v>
      </c>
      <c r="F37" s="23">
        <f>[34]GtS!$F$14</f>
        <v>21</v>
      </c>
      <c r="G37" s="34">
        <f>[35]GtS!$F$14</f>
        <v>23</v>
      </c>
      <c r="H37" s="155">
        <f>IF('AW Schulen'!$B103=0,"x",C37/'AW Schulen'!$B103)</f>
        <v>0.27868852459016391</v>
      </c>
      <c r="I37" s="155">
        <f>IF('AW Schulen'!$E103=0,"x",D37/'AW Schulen'!$E103)</f>
        <v>0.3</v>
      </c>
      <c r="J37" s="155">
        <f>IF('AW Schulen'!$H103=0,"x",E37/'AW Schulen'!$H103)</f>
        <v>0.28333333333333333</v>
      </c>
      <c r="K37" s="155">
        <f>IF('AW Schulen'!$K103=0,"x",F37/'AW Schulen'!$K103)</f>
        <v>0.35</v>
      </c>
      <c r="L37" s="156">
        <f>IF('AW Schulen'!$N103=0,"x",G37/'AW Schulen'!$N103)</f>
        <v>0.37704918032786883</v>
      </c>
    </row>
    <row r="38" spans="1:12" ht="9" customHeight="1">
      <c r="A38" s="21" t="s">
        <v>88</v>
      </c>
      <c r="B38" s="120"/>
      <c r="C38" s="23">
        <f>[71]GtS!$F$14</f>
        <v>6</v>
      </c>
      <c r="D38" s="23">
        <f>[72]GtS!$F$14</f>
        <v>8</v>
      </c>
      <c r="E38" s="23">
        <f>[73]GtS!$F$14</f>
        <v>5</v>
      </c>
      <c r="F38" s="23">
        <f>[74]GtS!$F$14</f>
        <v>4</v>
      </c>
      <c r="G38" s="34">
        <f>[75]GtS!$F$14</f>
        <v>4</v>
      </c>
      <c r="H38" s="155">
        <f>IF('AW Schulen'!$B104=0,"x",C38/'AW Schulen'!$B104)</f>
        <v>2.34375E-2</v>
      </c>
      <c r="I38" s="155">
        <f>IF('AW Schulen'!$E104=0,"x",D38/'AW Schulen'!$E104)</f>
        <v>3.125E-2</v>
      </c>
      <c r="J38" s="155">
        <f>IF('AW Schulen'!$H104=0,"x",E38/'AW Schulen'!$H104)</f>
        <v>1.953125E-2</v>
      </c>
      <c r="K38" s="155">
        <f>IF('AW Schulen'!$K104=0,"x",F38/'AW Schulen'!$K104)</f>
        <v>1.5625E-2</v>
      </c>
      <c r="L38" s="156">
        <f>IF('AW Schulen'!$N104=0,"x",G38/'AW Schulen'!$N104)</f>
        <v>1.5625E-2</v>
      </c>
    </row>
    <row r="39" spans="1:12" ht="9" customHeight="1">
      <c r="A39" s="21" t="s">
        <v>89</v>
      </c>
      <c r="B39" s="120"/>
      <c r="C39" s="23">
        <f>[36]GtS!$F$14</f>
        <v>134</v>
      </c>
      <c r="D39" s="23">
        <f>[37]GtS!$F$14</f>
        <v>138</v>
      </c>
      <c r="E39" s="23">
        <f>[38]GtS!$F$14</f>
        <v>141</v>
      </c>
      <c r="F39" s="23">
        <f>[39]GtS!$F$14</f>
        <v>146</v>
      </c>
      <c r="G39" s="34">
        <f>[40]GtS!$F$14</f>
        <v>149</v>
      </c>
      <c r="H39" s="155">
        <f>IF('AW Schulen'!$B105=0,"x",C39/'AW Schulen'!$B105)</f>
        <v>0.26120857699805067</v>
      </c>
      <c r="I39" s="155">
        <f>IF('AW Schulen'!$E105=0,"x",D39/'AW Schulen'!$E105)</f>
        <v>0.26900584795321636</v>
      </c>
      <c r="J39" s="155">
        <f>IF('AW Schulen'!$H105=0,"x",E39/'AW Schulen'!$H105)</f>
        <v>0.275390625</v>
      </c>
      <c r="K39" s="155">
        <f>IF('AW Schulen'!$K105=0,"x",F39/'AW Schulen'!$K105)</f>
        <v>0.2857142857142857</v>
      </c>
      <c r="L39" s="156">
        <f>IF('AW Schulen'!$N105=0,"x",G39/'AW Schulen'!$N105)</f>
        <v>0.29158512720156554</v>
      </c>
    </row>
    <row r="40" spans="1:12" ht="9" customHeight="1">
      <c r="A40" s="21" t="s">
        <v>90</v>
      </c>
      <c r="B40" s="120"/>
      <c r="C40" s="23">
        <f>[41]GtS!$F$14</f>
        <v>11</v>
      </c>
      <c r="D40" s="23">
        <f>[42]GtS!$F$14</f>
        <v>13</v>
      </c>
      <c r="E40" s="23">
        <f>[43]GtS!$F$14</f>
        <v>7</v>
      </c>
      <c r="F40" s="23">
        <f>[44]GtS!$F$14</f>
        <v>8</v>
      </c>
      <c r="G40" s="34">
        <f>[45]GtS!$F$14</f>
        <v>8</v>
      </c>
      <c r="H40" s="155">
        <f>IF('AW Schulen'!$B106=0,"x",C40/'AW Schulen'!$B106)</f>
        <v>8.943089430894309E-2</v>
      </c>
      <c r="I40" s="155">
        <f>IF('AW Schulen'!$E106=0,"x",D40/'AW Schulen'!$E106)</f>
        <v>0.10569105691056911</v>
      </c>
      <c r="J40" s="155">
        <f>IF('AW Schulen'!$H106=0,"x",E40/'AW Schulen'!$H106)</f>
        <v>5.6910569105691054E-2</v>
      </c>
      <c r="K40" s="155">
        <f>IF('AW Schulen'!$K106=0,"x",F40/'AW Schulen'!$K106)</f>
        <v>6.5040650406504072E-2</v>
      </c>
      <c r="L40" s="156">
        <f>IF('AW Schulen'!$N106=0,"x",G40/'AW Schulen'!$N106)</f>
        <v>6.5040650406504072E-2</v>
      </c>
    </row>
    <row r="41" spans="1:12" ht="9" customHeight="1">
      <c r="A41" s="21" t="s">
        <v>91</v>
      </c>
      <c r="B41" s="120"/>
      <c r="C41" s="23">
        <f>[46]GtS!$F$14</f>
        <v>0</v>
      </c>
      <c r="D41" s="23">
        <f>[47]GtS!$F$14</f>
        <v>0</v>
      </c>
      <c r="E41" s="23">
        <f>[48]GtS!$F$14</f>
        <v>0</v>
      </c>
      <c r="F41" s="23">
        <f>[49]GtS!$F$14</f>
        <v>0</v>
      </c>
      <c r="G41" s="34">
        <f>[50]GtS!$F$14</f>
        <v>0</v>
      </c>
      <c r="H41" s="155">
        <f>IF('AW Schulen'!$B107=0,"x",C41/'AW Schulen'!$B107)</f>
        <v>0</v>
      </c>
      <c r="I41" s="155">
        <f>IF('AW Schulen'!$E107=0,"x",D41/'AW Schulen'!$E107)</f>
        <v>0</v>
      </c>
      <c r="J41" s="155">
        <f>IF('AW Schulen'!$H107=0,"x",E41/'AW Schulen'!$H107)</f>
        <v>0</v>
      </c>
      <c r="K41" s="155">
        <f>IF('AW Schulen'!$K107=0,"x",F41/'AW Schulen'!$K107)</f>
        <v>0</v>
      </c>
      <c r="L41" s="156">
        <f>IF('AW Schulen'!$N107=0,"x",G41/'AW Schulen'!$N107)</f>
        <v>0</v>
      </c>
    </row>
    <row r="42" spans="1:12" ht="9" customHeight="1">
      <c r="A42" s="21" t="s">
        <v>92</v>
      </c>
      <c r="B42" s="120"/>
      <c r="C42" s="23">
        <f>[51]GtS!$F$14</f>
        <v>2</v>
      </c>
      <c r="D42" s="23">
        <f>[52]GtS!$F$14</f>
        <v>2</v>
      </c>
      <c r="E42" s="23">
        <f>[53]GtS!$F$14</f>
        <v>2</v>
      </c>
      <c r="F42" s="23">
        <f>[54]GtS!$F$14</f>
        <v>2</v>
      </c>
      <c r="G42" s="34">
        <f>[55]GtS!$F$14</f>
        <v>2</v>
      </c>
      <c r="H42" s="155">
        <f>IF('AW Schulen'!$B108=0,"x",C42/'AW Schulen'!$B108)</f>
        <v>1.680672268907563E-2</v>
      </c>
      <c r="I42" s="155">
        <f>IF('AW Schulen'!$E108=0,"x",D42/'AW Schulen'!$E108)</f>
        <v>1.680672268907563E-2</v>
      </c>
      <c r="J42" s="155">
        <f>IF('AW Schulen'!$H108=0,"x",E42/'AW Schulen'!$H108)</f>
        <v>1.6666666666666666E-2</v>
      </c>
      <c r="K42" s="155">
        <f>IF('AW Schulen'!$K108=0,"x",F42/'AW Schulen'!$K108)</f>
        <v>1.6666666666666666E-2</v>
      </c>
      <c r="L42" s="156">
        <f>IF('AW Schulen'!$N108=0,"x",G42/'AW Schulen'!$N108)</f>
        <v>1.6528925619834711E-2</v>
      </c>
    </row>
    <row r="43" spans="1:12" ht="9" customHeight="1">
      <c r="A43" s="21" t="s">
        <v>93</v>
      </c>
      <c r="B43" s="120"/>
      <c r="C43" s="23">
        <f>[76]GtS!$F$14</f>
        <v>3</v>
      </c>
      <c r="D43" s="23">
        <f>[77]GtS!$F$14</f>
        <v>3</v>
      </c>
      <c r="E43" s="23">
        <f>[78]GtS!$F$14</f>
        <v>3</v>
      </c>
      <c r="F43" s="23">
        <f>[79]GtS!$F$14</f>
        <v>3</v>
      </c>
      <c r="G43" s="34">
        <f>[80]GtS!$F$14</f>
        <v>4</v>
      </c>
      <c r="H43" s="155">
        <f>IF('AW Schulen'!$B109=0,"x",C43/'AW Schulen'!$B109)</f>
        <v>4.2857142857142858E-2</v>
      </c>
      <c r="I43" s="155">
        <f>IF('AW Schulen'!$E109=0,"x",D43/'AW Schulen'!$E109)</f>
        <v>4.2857142857142858E-2</v>
      </c>
      <c r="J43" s="155">
        <f>IF('AW Schulen'!$H109=0,"x",E43/'AW Schulen'!$H109)</f>
        <v>4.3478260869565216E-2</v>
      </c>
      <c r="K43" s="155">
        <f>IF('AW Schulen'!$K109=0,"x",F43/'AW Schulen'!$K109)</f>
        <v>4.1666666666666664E-2</v>
      </c>
      <c r="L43" s="156">
        <f>IF('AW Schulen'!$N109=0,"x",G43/'AW Schulen'!$N109)</f>
        <v>5.5555555555555552E-2</v>
      </c>
    </row>
    <row r="44" spans="1:12" ht="9" customHeight="1">
      <c r="A44" s="21" t="s">
        <v>94</v>
      </c>
      <c r="B44" s="120"/>
      <c r="C44" s="23">
        <f>[56]GtS!$F$14</f>
        <v>0</v>
      </c>
      <c r="D44" s="23">
        <f>[57]GtS!$F$14</f>
        <v>0</v>
      </c>
      <c r="E44" s="23">
        <f>[58]GtS!$F$14</f>
        <v>0</v>
      </c>
      <c r="F44" s="23">
        <f>[59]GtS!$F$14</f>
        <v>0</v>
      </c>
      <c r="G44" s="34">
        <f>[60]GtS!$F$14</f>
        <v>0</v>
      </c>
      <c r="H44" s="155">
        <f>IF('AW Schulen'!$B110=0,"x",C44/'AW Schulen'!$B110)</f>
        <v>0</v>
      </c>
      <c r="I44" s="155">
        <f>IF('AW Schulen'!$E110=0,"x",D44/'AW Schulen'!$E110)</f>
        <v>0</v>
      </c>
      <c r="J44" s="155">
        <f>IF('AW Schulen'!$H110=0,"x",E44/'AW Schulen'!$H110)</f>
        <v>0</v>
      </c>
      <c r="K44" s="155">
        <f>IF('AW Schulen'!$K110=0,"x",F44/'AW Schulen'!$K110)</f>
        <v>0</v>
      </c>
      <c r="L44" s="156">
        <f>IF('AW Schulen'!$N110=0,"x",G44/'AW Schulen'!$N110)</f>
        <v>0</v>
      </c>
    </row>
    <row r="45" spans="1:12" ht="9" customHeight="1">
      <c r="A45" s="21" t="s">
        <v>95</v>
      </c>
      <c r="B45" s="120"/>
      <c r="C45" s="23">
        <f>[61]GtS!$F$14</f>
        <v>4</v>
      </c>
      <c r="D45" s="23">
        <f>[62]GtS!$F$14</f>
        <v>3</v>
      </c>
      <c r="E45" s="23">
        <f>[63]GtS!$F$14</f>
        <v>4</v>
      </c>
      <c r="F45" s="23">
        <f>[64]GtS!$F$14</f>
        <v>5</v>
      </c>
      <c r="G45" s="34">
        <f>[65]GtS!$F$14</f>
        <v>5</v>
      </c>
      <c r="H45" s="155">
        <f>IF('AW Schulen'!$B111=0,"x",C45/'AW Schulen'!$B111)</f>
        <v>4.5454545454545456E-2</v>
      </c>
      <c r="I45" s="155">
        <f>IF('AW Schulen'!$E111=0,"x",D45/'AW Schulen'!$E111)</f>
        <v>3.4090909090909088E-2</v>
      </c>
      <c r="J45" s="155">
        <f>IF('AW Schulen'!$H111=0,"x",E45/'AW Schulen'!$H111)</f>
        <v>4.5454545454545456E-2</v>
      </c>
      <c r="K45" s="155">
        <f>IF('AW Schulen'!$K111=0,"x",F45/'AW Schulen'!$K111)</f>
        <v>5.6179775280898875E-2</v>
      </c>
      <c r="L45" s="156">
        <f>IF('AW Schulen'!$N111=0,"x",G45/'AW Schulen'!$N111)</f>
        <v>5.6818181818181816E-2</v>
      </c>
    </row>
    <row r="46" spans="1:12" ht="9" customHeight="1">
      <c r="A46" s="21" t="s">
        <v>96</v>
      </c>
      <c r="B46" s="120"/>
      <c r="C46" s="23">
        <f t="shared" ref="C46:E46" si="35">SUM(C30:C45)</f>
        <v>197</v>
      </c>
      <c r="D46" s="23">
        <f t="shared" si="35"/>
        <v>204</v>
      </c>
      <c r="E46" s="23">
        <f t="shared" si="35"/>
        <v>198</v>
      </c>
      <c r="F46" s="23">
        <f t="shared" ref="F46:G46" si="36">SUM(F30:F45)</f>
        <v>209</v>
      </c>
      <c r="G46" s="34">
        <f t="shared" si="36"/>
        <v>237</v>
      </c>
      <c r="H46" s="155">
        <f>IF('AW Schulen'!$B112=0,"x",C46/'AW Schulen'!$B112)</f>
        <v>7.668353444920202E-2</v>
      </c>
      <c r="I46" s="155">
        <f>IF('AW Schulen'!$E112=0,"x",D46/'AW Schulen'!$E112)</f>
        <v>7.9625292740046844E-2</v>
      </c>
      <c r="J46" s="155">
        <f>IF('AW Schulen'!$H112=0,"x",E46/'AW Schulen'!$H112)</f>
        <v>7.7677520596312277E-2</v>
      </c>
      <c r="K46" s="155">
        <f>IF('AW Schulen'!$K112=0,"x",F46/'AW Schulen'!$K112)</f>
        <v>8.2121807465618854E-2</v>
      </c>
      <c r="L46" s="156">
        <f>IF('AW Schulen'!$N112=0,"x",G46/'AW Schulen'!$N112)</f>
        <v>9.2941176470588235E-2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[1]GtS!$G$14</f>
        <v>14</v>
      </c>
      <c r="D48" s="23">
        <f>[2]GtS!$G$14</f>
        <v>14</v>
      </c>
      <c r="E48" s="23">
        <f>[3]GtS!$G$14</f>
        <v>13</v>
      </c>
      <c r="F48" s="23">
        <f>[4]GtS!$G$14</f>
        <v>12</v>
      </c>
      <c r="G48" s="34">
        <f>[5]GtS!$G$14</f>
        <v>11</v>
      </c>
      <c r="H48" s="155">
        <f>IF('AW Schulen'!$B96=0,"x",C48/'AW Schulen'!$B96)</f>
        <v>3.7037037037037035E-2</v>
      </c>
      <c r="I48" s="155">
        <f>IF('AW Schulen'!$E96=0,"x",D48/'AW Schulen'!$E96)</f>
        <v>3.7037037037037035E-2</v>
      </c>
      <c r="J48" s="155">
        <f>IF('AW Schulen'!$H96=0,"x",E48/'AW Schulen'!$H96)</f>
        <v>3.439153439153439E-2</v>
      </c>
      <c r="K48" s="155">
        <f>IF('AW Schulen'!$K96=0,"x",F48/'AW Schulen'!$K96)</f>
        <v>3.1746031746031744E-2</v>
      </c>
      <c r="L48" s="156">
        <f>IF('AW Schulen'!$N96=0,"x",G48/'AW Schulen'!$N96)</f>
        <v>2.9100529100529099E-2</v>
      </c>
    </row>
    <row r="49" spans="1:12" ht="9" customHeight="1">
      <c r="A49" s="21" t="s">
        <v>81</v>
      </c>
      <c r="B49" s="120"/>
      <c r="C49" s="23">
        <f>[6]GtS!$G$14</f>
        <v>43</v>
      </c>
      <c r="D49" s="23">
        <f>[7]GtS!$G$14</f>
        <v>65</v>
      </c>
      <c r="E49" s="23">
        <f>[8]GtS!$G$14</f>
        <v>65</v>
      </c>
      <c r="F49" s="23">
        <f>[9]GtS!$G$14</f>
        <v>61</v>
      </c>
      <c r="G49" s="34">
        <f>[10]GtS!$G$14</f>
        <v>58</v>
      </c>
      <c r="H49" s="155">
        <f>IF('AW Schulen'!$B97=0,"x",C49/'AW Schulen'!$B97)</f>
        <v>0.125</v>
      </c>
      <c r="I49" s="155">
        <f>IF('AW Schulen'!$E97=0,"x",D49/'AW Schulen'!$E97)</f>
        <v>0.18678160919540229</v>
      </c>
      <c r="J49" s="155">
        <f>IF('AW Schulen'!$H97=0,"x",E49/'AW Schulen'!$H97)</f>
        <v>0.18571428571428572</v>
      </c>
      <c r="K49" s="155">
        <f>IF('AW Schulen'!$K97=0,"x",F49/'AW Schulen'!$K97)</f>
        <v>0.1737891737891738</v>
      </c>
      <c r="L49" s="156">
        <f>IF('AW Schulen'!$N97=0,"x",G49/'AW Schulen'!$N97)</f>
        <v>0.16477272727272727</v>
      </c>
    </row>
    <row r="50" spans="1:12" ht="9" customHeight="1">
      <c r="A50" s="21" t="s">
        <v>82</v>
      </c>
      <c r="B50" s="120"/>
      <c r="C50" s="23">
        <f>[11]GtS!$G$14</f>
        <v>0</v>
      </c>
      <c r="D50" s="23">
        <f>[12]GtS!$G$14</f>
        <v>3</v>
      </c>
      <c r="E50" s="23">
        <f>[13]GtS!$G$14</f>
        <v>2</v>
      </c>
      <c r="F50" s="23">
        <f>[14]GtS!$G$14</f>
        <v>2</v>
      </c>
      <c r="G50" s="34">
        <f>[15]GtS!$G$14</f>
        <v>2</v>
      </c>
      <c r="H50" s="155">
        <f>IF('AW Schulen'!$B98=0,"x",C50/'AW Schulen'!$B98)</f>
        <v>0</v>
      </c>
      <c r="I50" s="155">
        <f>IF('AW Schulen'!$E98=0,"x",D50/'AW Schulen'!$E98)</f>
        <v>3.2967032967032968E-2</v>
      </c>
      <c r="J50" s="155">
        <f>IF('AW Schulen'!$H98=0,"x",E50/'AW Schulen'!$H98)</f>
        <v>2.2222222222222223E-2</v>
      </c>
      <c r="K50" s="155">
        <f>IF('AW Schulen'!$K98=0,"x",F50/'AW Schulen'!$K98)</f>
        <v>2.2222222222222223E-2</v>
      </c>
      <c r="L50" s="156">
        <f>IF('AW Schulen'!$N98=0,"x",G50/'AW Schulen'!$N98)</f>
        <v>2.197802197802198E-2</v>
      </c>
    </row>
    <row r="51" spans="1:12" ht="9" customHeight="1">
      <c r="A51" s="21" t="s">
        <v>83</v>
      </c>
      <c r="B51" s="120"/>
      <c r="C51" s="23">
        <f>[16]GtS!$G$14</f>
        <v>1</v>
      </c>
      <c r="D51" s="23">
        <f>[17]GtS!$G$14</f>
        <v>1</v>
      </c>
      <c r="E51" s="23">
        <f>[18]GtS!$G$14</f>
        <v>1</v>
      </c>
      <c r="F51" s="23">
        <f>[19]GtS!$G$14</f>
        <v>1</v>
      </c>
      <c r="G51" s="34">
        <f>[20]GtS!$G$14</f>
        <v>1</v>
      </c>
      <c r="H51" s="155">
        <f>IF('AW Schulen'!$B99=0,"x",C51/'AW Schulen'!$B99)</f>
        <v>1.2987012987012988E-2</v>
      </c>
      <c r="I51" s="155">
        <f>IF('AW Schulen'!$E99=0,"x",D51/'AW Schulen'!$E99)</f>
        <v>1.3157894736842105E-2</v>
      </c>
      <c r="J51" s="155">
        <f>IF('AW Schulen'!$H99=0,"x",E51/'AW Schulen'!$H99)</f>
        <v>1.3157894736842105E-2</v>
      </c>
      <c r="K51" s="155">
        <f>IF('AW Schulen'!$K99=0,"x",F51/'AW Schulen'!$K99)</f>
        <v>1.3157894736842105E-2</v>
      </c>
      <c r="L51" s="156">
        <f>IF('AW Schulen'!$N99=0,"x",G51/'AW Schulen'!$N99)</f>
        <v>1.2987012987012988E-2</v>
      </c>
    </row>
    <row r="52" spans="1:12" ht="9" customHeight="1">
      <c r="A52" s="21" t="s">
        <v>84</v>
      </c>
      <c r="B52" s="120"/>
      <c r="C52" s="23">
        <f>[21]GtS!$G$14</f>
        <v>6</v>
      </c>
      <c r="D52" s="23">
        <f>[22]GtS!$G$14</f>
        <v>3</v>
      </c>
      <c r="E52" s="23">
        <f>[23]GtS!$G$14</f>
        <v>3</v>
      </c>
      <c r="F52" s="23">
        <f>[24]GtS!$G$14</f>
        <v>2</v>
      </c>
      <c r="G52" s="34">
        <f>[25]GtS!$G$14</f>
        <v>2</v>
      </c>
      <c r="H52" s="155">
        <f>IF('AW Schulen'!$B100=0,"x",C52/'AW Schulen'!$B100)</f>
        <v>0.19354838709677419</v>
      </c>
      <c r="I52" s="155">
        <f>IF('AW Schulen'!$E100=0,"x",D52/'AW Schulen'!$E100)</f>
        <v>0.12</v>
      </c>
      <c r="J52" s="155">
        <f>IF('AW Schulen'!$H100=0,"x",E52/'AW Schulen'!$H100)</f>
        <v>0.17647058823529413</v>
      </c>
      <c r="K52" s="155">
        <f>IF('AW Schulen'!$K100=0,"x",F52/'AW Schulen'!$K100)</f>
        <v>0.22222222222222221</v>
      </c>
      <c r="L52" s="156">
        <f>IF('AW Schulen'!$N100=0,"x",G52/'AW Schulen'!$N100)</f>
        <v>0.22222222222222221</v>
      </c>
    </row>
    <row r="53" spans="1:12" ht="9" customHeight="1">
      <c r="A53" s="21" t="s">
        <v>85</v>
      </c>
      <c r="B53" s="120"/>
      <c r="C53" s="23">
        <f>[26]GtS!$G$14</f>
        <v>2</v>
      </c>
      <c r="D53" s="23">
        <f>[27]GtS!$G$14</f>
        <v>2</v>
      </c>
      <c r="E53" s="23">
        <f>[28]GtS!$G$14</f>
        <v>3</v>
      </c>
      <c r="F53" s="23">
        <f>[29]GtS!$G$14</f>
        <v>3</v>
      </c>
      <c r="G53" s="34">
        <f>[30]GtS!$G$14</f>
        <v>6</v>
      </c>
      <c r="H53" s="155">
        <f>IF('AW Schulen'!$B101=0,"x",C53/'AW Schulen'!$B101)</f>
        <v>2.9850746268656716E-2</v>
      </c>
      <c r="I53" s="155">
        <f>IF('AW Schulen'!$E101=0,"x",D53/'AW Schulen'!$E101)</f>
        <v>2.9850746268656716E-2</v>
      </c>
      <c r="J53" s="155">
        <f>IF('AW Schulen'!$H101=0,"x",E53/'AW Schulen'!$H101)</f>
        <v>4.8387096774193547E-2</v>
      </c>
      <c r="K53" s="155">
        <f>IF('AW Schulen'!$K101=0,"x",F53/'AW Schulen'!$K101)</f>
        <v>4.8387096774193547E-2</v>
      </c>
      <c r="L53" s="156">
        <f>IF('AW Schulen'!$N101=0,"x",G53/'AW Schulen'!$N101)</f>
        <v>9.5238095238095233E-2</v>
      </c>
    </row>
    <row r="54" spans="1:12" ht="9" customHeight="1">
      <c r="A54" s="21" t="s">
        <v>86</v>
      </c>
      <c r="B54" s="120"/>
      <c r="C54" s="23">
        <f>[66]GtS!$G$14</f>
        <v>0</v>
      </c>
      <c r="D54" s="23">
        <f>[67]GtS!$G$14</f>
        <v>0</v>
      </c>
      <c r="E54" s="23">
        <f>[68]GtS!$G$14</f>
        <v>0</v>
      </c>
      <c r="F54" s="23">
        <f>[69]GtS!$G$14</f>
        <v>0</v>
      </c>
      <c r="G54" s="34">
        <f>[70]GtS!$G$14</f>
        <v>0</v>
      </c>
      <c r="H54" s="155">
        <f>IF('AW Schulen'!$B102=0,"x",C54/'AW Schulen'!$B102)</f>
        <v>0</v>
      </c>
      <c r="I54" s="155">
        <f>IF('AW Schulen'!$E102=0,"x",D54/'AW Schulen'!$E102)</f>
        <v>0</v>
      </c>
      <c r="J54" s="155">
        <f>IF('AW Schulen'!$H102=0,"x",E54/'AW Schulen'!$H102)</f>
        <v>0</v>
      </c>
      <c r="K54" s="155">
        <f>IF('AW Schulen'!$K102=0,"x",F54/'AW Schulen'!$K102)</f>
        <v>0</v>
      </c>
      <c r="L54" s="156">
        <f>IF('AW Schulen'!$N102=0,"x",G54/'AW Schulen'!$N102)</f>
        <v>0</v>
      </c>
    </row>
    <row r="55" spans="1:12" ht="9" customHeight="1">
      <c r="A55" s="21" t="s">
        <v>87</v>
      </c>
      <c r="B55" s="120"/>
      <c r="C55" s="23">
        <f>[31]GtS!$G$14</f>
        <v>14</v>
      </c>
      <c r="D55" s="23">
        <f>[32]GtS!$G$14</f>
        <v>12</v>
      </c>
      <c r="E55" s="23">
        <f>[33]GtS!$G$14</f>
        <v>13</v>
      </c>
      <c r="F55" s="23">
        <f>[34]GtS!$G$14</f>
        <v>11</v>
      </c>
      <c r="G55" s="34">
        <f>[35]GtS!$G$14</f>
        <v>14</v>
      </c>
      <c r="H55" s="155">
        <f>IF('AW Schulen'!$B103=0,"x",C55/'AW Schulen'!$B103)</f>
        <v>0.22950819672131148</v>
      </c>
      <c r="I55" s="155">
        <f>IF('AW Schulen'!$E103=0,"x",D55/'AW Schulen'!$E103)</f>
        <v>0.2</v>
      </c>
      <c r="J55" s="155">
        <f>IF('AW Schulen'!$H103=0,"x",E55/'AW Schulen'!$H103)</f>
        <v>0.21666666666666667</v>
      </c>
      <c r="K55" s="155">
        <f>IF('AW Schulen'!$K103=0,"x",F55/'AW Schulen'!$K103)</f>
        <v>0.18333333333333332</v>
      </c>
      <c r="L55" s="156">
        <f>IF('AW Schulen'!$N103=0,"x",G55/'AW Schulen'!$N103)</f>
        <v>0.22950819672131148</v>
      </c>
    </row>
    <row r="56" spans="1:12" ht="9" customHeight="1">
      <c r="A56" s="21" t="s">
        <v>88</v>
      </c>
      <c r="B56" s="120"/>
      <c r="C56" s="23">
        <f>[71]GtS!$G$14</f>
        <v>9</v>
      </c>
      <c r="D56" s="23">
        <f>[72]GtS!$G$14</f>
        <v>7</v>
      </c>
      <c r="E56" s="23">
        <f>[73]GtS!$G$14</f>
        <v>14</v>
      </c>
      <c r="F56" s="23">
        <f>[74]GtS!$G$14</f>
        <v>21</v>
      </c>
      <c r="G56" s="34">
        <f>[75]GtS!$G$14</f>
        <v>24</v>
      </c>
      <c r="H56" s="155">
        <f>IF('AW Schulen'!$B104=0,"x",C56/'AW Schulen'!$B104)</f>
        <v>3.515625E-2</v>
      </c>
      <c r="I56" s="155">
        <f>IF('AW Schulen'!$E104=0,"x",D56/'AW Schulen'!$E104)</f>
        <v>2.734375E-2</v>
      </c>
      <c r="J56" s="155">
        <f>IF('AW Schulen'!$H104=0,"x",E56/'AW Schulen'!$H104)</f>
        <v>5.46875E-2</v>
      </c>
      <c r="K56" s="155">
        <f>IF('AW Schulen'!$K104=0,"x",F56/'AW Schulen'!$K104)</f>
        <v>8.203125E-2</v>
      </c>
      <c r="L56" s="156">
        <f>IF('AW Schulen'!$N104=0,"x",G56/'AW Schulen'!$N104)</f>
        <v>9.375E-2</v>
      </c>
    </row>
    <row r="57" spans="1:12" ht="9" customHeight="1">
      <c r="A57" s="21" t="s">
        <v>89</v>
      </c>
      <c r="B57" s="120"/>
      <c r="C57" s="23">
        <f>[36]GtS!$G$14</f>
        <v>0</v>
      </c>
      <c r="D57" s="23">
        <f>[37]GtS!$G$14</f>
        <v>0</v>
      </c>
      <c r="E57" s="23">
        <f>[38]GtS!$G$14</f>
        <v>0</v>
      </c>
      <c r="F57" s="23">
        <f>[39]GtS!$G$14</f>
        <v>0</v>
      </c>
      <c r="G57" s="34">
        <f>[40]GtS!$G$14</f>
        <v>0</v>
      </c>
      <c r="H57" s="155">
        <f>IF('AW Schulen'!$B105=0,"x",C57/'AW Schulen'!$B105)</f>
        <v>0</v>
      </c>
      <c r="I57" s="155">
        <f>IF('AW Schulen'!$E105=0,"x",D57/'AW Schulen'!$E105)</f>
        <v>0</v>
      </c>
      <c r="J57" s="155">
        <f>IF('AW Schulen'!$H105=0,"x",E57/'AW Schulen'!$H105)</f>
        <v>0</v>
      </c>
      <c r="K57" s="155">
        <f>IF('AW Schulen'!$K105=0,"x",F57/'AW Schulen'!$K105)</f>
        <v>0</v>
      </c>
      <c r="L57" s="156">
        <f>IF('AW Schulen'!$N105=0,"x",G57/'AW Schulen'!$N105)</f>
        <v>0</v>
      </c>
    </row>
    <row r="58" spans="1:12" ht="9" customHeight="1">
      <c r="A58" s="21" t="s">
        <v>90</v>
      </c>
      <c r="B58" s="120"/>
      <c r="C58" s="23">
        <f>[41]GtS!$G$14</f>
        <v>44</v>
      </c>
      <c r="D58" s="23">
        <f>[42]GtS!$G$14</f>
        <v>37</v>
      </c>
      <c r="E58" s="23">
        <f>[43]GtS!$G$14</f>
        <v>48</v>
      </c>
      <c r="F58" s="23">
        <f>[44]GtS!$G$14</f>
        <v>46</v>
      </c>
      <c r="G58" s="34">
        <f>[45]GtS!$G$14</f>
        <v>49</v>
      </c>
      <c r="H58" s="155">
        <f>IF('AW Schulen'!$B106=0,"x",C58/'AW Schulen'!$B106)</f>
        <v>0.35772357723577236</v>
      </c>
      <c r="I58" s="155">
        <f>IF('AW Schulen'!$E106=0,"x",D58/'AW Schulen'!$E106)</f>
        <v>0.30081300813008133</v>
      </c>
      <c r="J58" s="155">
        <f>IF('AW Schulen'!$H106=0,"x",E58/'AW Schulen'!$H106)</f>
        <v>0.3902439024390244</v>
      </c>
      <c r="K58" s="155">
        <f>IF('AW Schulen'!$K106=0,"x",F58/'AW Schulen'!$K106)</f>
        <v>0.37398373983739835</v>
      </c>
      <c r="L58" s="156">
        <f>IF('AW Schulen'!$N106=0,"x",G58/'AW Schulen'!$N106)</f>
        <v>0.3983739837398374</v>
      </c>
    </row>
    <row r="59" spans="1:12" ht="9" customHeight="1">
      <c r="A59" s="21" t="s">
        <v>91</v>
      </c>
      <c r="B59" s="120"/>
      <c r="C59" s="23">
        <f>[46]GtS!$G$14</f>
        <v>3</v>
      </c>
      <c r="D59" s="23">
        <f>[47]GtS!$G$14</f>
        <v>2</v>
      </c>
      <c r="E59" s="23">
        <f>[48]GtS!$G$14</f>
        <v>3</v>
      </c>
      <c r="F59" s="23">
        <f>[49]GtS!$G$14</f>
        <v>3</v>
      </c>
      <c r="G59" s="34">
        <f>[50]GtS!$G$14</f>
        <v>3</v>
      </c>
      <c r="H59" s="155">
        <f>IF('AW Schulen'!$B107=0,"x",C59/'AW Schulen'!$B107)</f>
        <v>0.10714285714285714</v>
      </c>
      <c r="I59" s="155">
        <f>IF('AW Schulen'!$E107=0,"x",D59/'AW Schulen'!$E107)</f>
        <v>7.1428571428571425E-2</v>
      </c>
      <c r="J59" s="155">
        <f>IF('AW Schulen'!$H107=0,"x",E59/'AW Schulen'!$H107)</f>
        <v>0.10714285714285714</v>
      </c>
      <c r="K59" s="155">
        <f>IF('AW Schulen'!$K107=0,"x",F59/'AW Schulen'!$K107)</f>
        <v>0.10714285714285714</v>
      </c>
      <c r="L59" s="156">
        <f>IF('AW Schulen'!$N107=0,"x",G59/'AW Schulen'!$N107)</f>
        <v>0.10714285714285714</v>
      </c>
    </row>
    <row r="60" spans="1:12" ht="9" customHeight="1">
      <c r="A60" s="21" t="s">
        <v>92</v>
      </c>
      <c r="B60" s="120"/>
      <c r="C60" s="23">
        <f>[51]GtS!$G$14</f>
        <v>32</v>
      </c>
      <c r="D60" s="23">
        <f>[52]GtS!$G$14</f>
        <v>27</v>
      </c>
      <c r="E60" s="23">
        <f>[53]GtS!$G$14</f>
        <v>28</v>
      </c>
      <c r="F60" s="23">
        <f>[54]GtS!$G$14</f>
        <v>29</v>
      </c>
      <c r="G60" s="34">
        <f>[55]GtS!$G$14</f>
        <v>28</v>
      </c>
      <c r="H60" s="155">
        <f>IF('AW Schulen'!$B108=0,"x",C60/'AW Schulen'!$B108)</f>
        <v>0.26890756302521007</v>
      </c>
      <c r="I60" s="155">
        <f>IF('AW Schulen'!$E108=0,"x",D60/'AW Schulen'!$E108)</f>
        <v>0.22689075630252101</v>
      </c>
      <c r="J60" s="155">
        <f>IF('AW Schulen'!$H108=0,"x",E60/'AW Schulen'!$H108)</f>
        <v>0.23333333333333334</v>
      </c>
      <c r="K60" s="155">
        <f>IF('AW Schulen'!$K108=0,"x",F60/'AW Schulen'!$K108)</f>
        <v>0.24166666666666667</v>
      </c>
      <c r="L60" s="156">
        <f>IF('AW Schulen'!$N108=0,"x",G60/'AW Schulen'!$N108)</f>
        <v>0.23140495867768596</v>
      </c>
    </row>
    <row r="61" spans="1:12" ht="9" customHeight="1">
      <c r="A61" s="21" t="s">
        <v>93</v>
      </c>
      <c r="B61" s="120"/>
      <c r="C61" s="23">
        <f>[76]GtS!$G$14</f>
        <v>5</v>
      </c>
      <c r="D61" s="23">
        <f>[77]GtS!$G$14</f>
        <v>5</v>
      </c>
      <c r="E61" s="23">
        <f>[78]GtS!$G$14</f>
        <v>7</v>
      </c>
      <c r="F61" s="23">
        <f>[79]GtS!$G$14</f>
        <v>7</v>
      </c>
      <c r="G61" s="34">
        <f>[80]GtS!$G$14</f>
        <v>7</v>
      </c>
      <c r="H61" s="155">
        <f>IF('AW Schulen'!$B109=0,"x",C61/'AW Schulen'!$B109)</f>
        <v>7.1428571428571425E-2</v>
      </c>
      <c r="I61" s="155">
        <f>IF('AW Schulen'!$E109=0,"x",D61/'AW Schulen'!$E109)</f>
        <v>7.1428571428571425E-2</v>
      </c>
      <c r="J61" s="155">
        <f>IF('AW Schulen'!$H109=0,"x",E61/'AW Schulen'!$H109)</f>
        <v>0.10144927536231885</v>
      </c>
      <c r="K61" s="155">
        <f>IF('AW Schulen'!$K109=0,"x",F61/'AW Schulen'!$K109)</f>
        <v>9.7222222222222224E-2</v>
      </c>
      <c r="L61" s="156">
        <f>IF('AW Schulen'!$N109=0,"x",G61/'AW Schulen'!$N109)</f>
        <v>9.7222222222222224E-2</v>
      </c>
    </row>
    <row r="62" spans="1:12" ht="9" customHeight="1">
      <c r="A62" s="21" t="s">
        <v>94</v>
      </c>
      <c r="B62" s="120"/>
      <c r="C62" s="23">
        <f>[56]GtS!$G$14</f>
        <v>1</v>
      </c>
      <c r="D62" s="23">
        <f>[57]GtS!$G$14</f>
        <v>1</v>
      </c>
      <c r="E62" s="23">
        <f>[58]GtS!$G$14</f>
        <v>1</v>
      </c>
      <c r="F62" s="23">
        <f>[59]GtS!$G$14</f>
        <v>1</v>
      </c>
      <c r="G62" s="34">
        <f>[60]GtS!$G$14</f>
        <v>1</v>
      </c>
      <c r="H62" s="155">
        <f>IF('AW Schulen'!$B110=0,"x",C62/'AW Schulen'!$B110)</f>
        <v>0.01</v>
      </c>
      <c r="I62" s="155">
        <f>IF('AW Schulen'!$E110=0,"x",D62/'AW Schulen'!$E110)</f>
        <v>0.01</v>
      </c>
      <c r="J62" s="155">
        <f>IF('AW Schulen'!$H110=0,"x",E62/'AW Schulen'!$H110)</f>
        <v>0.01</v>
      </c>
      <c r="K62" s="155">
        <f>IF('AW Schulen'!$K110=0,"x",F62/'AW Schulen'!$K110)</f>
        <v>1.0101010101010102E-2</v>
      </c>
      <c r="L62" s="156">
        <f>IF('AW Schulen'!$N110=0,"x",G62/'AW Schulen'!$N110)</f>
        <v>1.0101010101010102E-2</v>
      </c>
    </row>
    <row r="63" spans="1:12" ht="9" customHeight="1">
      <c r="A63" s="21" t="s">
        <v>95</v>
      </c>
      <c r="B63" s="120"/>
      <c r="C63" s="23">
        <f>[61]GtS!$G$14</f>
        <v>3</v>
      </c>
      <c r="D63" s="23">
        <f>[62]GtS!$G$14</f>
        <v>5</v>
      </c>
      <c r="E63" s="23">
        <f>[63]GtS!$G$14</f>
        <v>5</v>
      </c>
      <c r="F63" s="23">
        <f>[64]GtS!$G$14</f>
        <v>6</v>
      </c>
      <c r="G63" s="34">
        <f>[65]GtS!$G$14</f>
        <v>6</v>
      </c>
      <c r="H63" s="155">
        <f>IF('AW Schulen'!$B111=0,"x",C63/'AW Schulen'!$B111)</f>
        <v>3.4090909090909088E-2</v>
      </c>
      <c r="I63" s="155">
        <f>IF('AW Schulen'!$E111=0,"x",D63/'AW Schulen'!$E111)</f>
        <v>5.6818181818181816E-2</v>
      </c>
      <c r="J63" s="155">
        <f>IF('AW Schulen'!$H111=0,"x",E63/'AW Schulen'!$H111)</f>
        <v>5.6818181818181816E-2</v>
      </c>
      <c r="K63" s="155">
        <f>IF('AW Schulen'!$K111=0,"x",F63/'AW Schulen'!$K111)</f>
        <v>6.741573033707865E-2</v>
      </c>
      <c r="L63" s="156">
        <f>IF('AW Schulen'!$N111=0,"x",G63/'AW Schulen'!$N111)</f>
        <v>6.8181818181818177E-2</v>
      </c>
    </row>
    <row r="64" spans="1:12" ht="8.65" customHeight="1">
      <c r="A64" s="21" t="s">
        <v>96</v>
      </c>
      <c r="B64" s="120"/>
      <c r="C64" s="23">
        <f t="shared" ref="C64:E64" si="37">SUM(C48:C63)</f>
        <v>177</v>
      </c>
      <c r="D64" s="23">
        <f t="shared" si="37"/>
        <v>184</v>
      </c>
      <c r="E64" s="23">
        <f t="shared" si="37"/>
        <v>206</v>
      </c>
      <c r="F64" s="23">
        <f t="shared" ref="F64:G64" si="38">SUM(F48:F63)</f>
        <v>205</v>
      </c>
      <c r="G64" s="34">
        <f t="shared" si="38"/>
        <v>212</v>
      </c>
      <c r="H64" s="155">
        <f>IF('AW Schulen'!$B112=0,"x",C64/'AW Schulen'!$B112)</f>
        <v>6.8898404048267803E-2</v>
      </c>
      <c r="I64" s="155">
        <f>IF('AW Schulen'!$E112=0,"x",D64/'AW Schulen'!$E112)</f>
        <v>7.1818891491022635E-2</v>
      </c>
      <c r="J64" s="155">
        <f>IF('AW Schulen'!$H112=0,"x",E64/'AW Schulen'!$H112)</f>
        <v>8.0816006276971358E-2</v>
      </c>
      <c r="K64" s="155">
        <f>IF('AW Schulen'!$K112=0,"x",F64/'AW Schulen'!$K112)</f>
        <v>8.0550098231827114E-2</v>
      </c>
      <c r="L64" s="156">
        <f>IF('AW Schulen'!$N112=0,"x",G64/'AW Schulen'!$N112)</f>
        <v>8.3137254901960778E-2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[1]GtS!$H$14</f>
        <v>168</v>
      </c>
      <c r="D66" s="23">
        <f>[2]GtS!$H$14</f>
        <v>180</v>
      </c>
      <c r="E66" s="23">
        <f>[3]GtS!$H$14</f>
        <v>184</v>
      </c>
      <c r="F66" s="23">
        <f>[4]GtS!$H$14</f>
        <v>190</v>
      </c>
      <c r="G66" s="34">
        <f>[5]GtS!$H$14</f>
        <v>191</v>
      </c>
      <c r="H66" s="155">
        <f>IF('AW Schulen'!$B96=0,"x",C66/'AW Schulen'!$B96)</f>
        <v>0.44444444444444442</v>
      </c>
      <c r="I66" s="155">
        <f>IF('AW Schulen'!$E96=0,"x",D66/'AW Schulen'!$E96)</f>
        <v>0.47619047619047616</v>
      </c>
      <c r="J66" s="155">
        <f>IF('AW Schulen'!$H96=0,"x",E66/'AW Schulen'!$H96)</f>
        <v>0.48677248677248675</v>
      </c>
      <c r="K66" s="155">
        <f>IF('AW Schulen'!$K96=0,"x",F66/'AW Schulen'!$K96)</f>
        <v>0.50264550264550267</v>
      </c>
      <c r="L66" s="156">
        <f>IF('AW Schulen'!$N96=0,"x",G66/'AW Schulen'!$N96)</f>
        <v>0.50529100529100535</v>
      </c>
    </row>
    <row r="67" spans="1:12" ht="10.15" customHeight="1">
      <c r="A67" s="224" t="s">
        <v>81</v>
      </c>
      <c r="B67" s="120"/>
      <c r="C67" s="23">
        <f>[6]GtS!$H$14</f>
        <v>199</v>
      </c>
      <c r="D67" s="23">
        <f>[7]GtS!$H$14</f>
        <v>203</v>
      </c>
      <c r="E67" s="23">
        <f>[8]GtS!$H$14</f>
        <v>203</v>
      </c>
      <c r="F67" s="23">
        <f>[9]GtS!$H$14</f>
        <v>211</v>
      </c>
      <c r="G67" s="34">
        <f>[10]GtS!$H$14</f>
        <v>221</v>
      </c>
      <c r="H67" s="155">
        <f>IF('AW Schulen'!$B97=0,"x",C67/'AW Schulen'!$B97)</f>
        <v>0.57848837209302328</v>
      </c>
      <c r="I67" s="155">
        <f>IF('AW Schulen'!$E97=0,"x",D67/'AW Schulen'!$E97)</f>
        <v>0.58333333333333337</v>
      </c>
      <c r="J67" s="155">
        <f>IF('AW Schulen'!$H97=0,"x",E67/'AW Schulen'!$H97)</f>
        <v>0.57999999999999996</v>
      </c>
      <c r="K67" s="155">
        <f>IF('AW Schulen'!$K97=0,"x",F67/'AW Schulen'!$K97)</f>
        <v>0.60113960113960119</v>
      </c>
      <c r="L67" s="156">
        <f>IF('AW Schulen'!$N97=0,"x",G67/'AW Schulen'!$N97)</f>
        <v>0.62784090909090906</v>
      </c>
    </row>
    <row r="68" spans="1:12" ht="10.15" customHeight="1">
      <c r="A68" s="224" t="s">
        <v>82</v>
      </c>
      <c r="B68" s="120"/>
      <c r="C68" s="23">
        <f>[11]GtS!$H$14</f>
        <v>12</v>
      </c>
      <c r="D68" s="23">
        <f>[12]GtS!$H$14</f>
        <v>13</v>
      </c>
      <c r="E68" s="23">
        <f>[13]GtS!$H$14</f>
        <v>11</v>
      </c>
      <c r="F68" s="23">
        <f>[14]GtS!$H$14</f>
        <v>17</v>
      </c>
      <c r="G68" s="34">
        <f>[15]GtS!$H$14</f>
        <v>17</v>
      </c>
      <c r="H68" s="155">
        <f>IF('AW Schulen'!$B98=0,"x",C68/'AW Schulen'!$B98)</f>
        <v>0.12903225806451613</v>
      </c>
      <c r="I68" s="155">
        <f>IF('AW Schulen'!$E98=0,"x",D68/'AW Schulen'!$E98)</f>
        <v>0.14285714285714285</v>
      </c>
      <c r="J68" s="155">
        <f>IF('AW Schulen'!$H98=0,"x",E68/'AW Schulen'!$H98)</f>
        <v>0.12222222222222222</v>
      </c>
      <c r="K68" s="155">
        <f>IF('AW Schulen'!$K98=0,"x",F68/'AW Schulen'!$K98)</f>
        <v>0.18888888888888888</v>
      </c>
      <c r="L68" s="156">
        <f>IF('AW Schulen'!$N98=0,"x",G68/'AW Schulen'!$N98)</f>
        <v>0.18681318681318682</v>
      </c>
    </row>
    <row r="69" spans="1:12" ht="9" customHeight="1">
      <c r="A69" s="21" t="s">
        <v>83</v>
      </c>
      <c r="B69" s="120"/>
      <c r="C69" s="23">
        <f>[16]GtS!$H$14</f>
        <v>32</v>
      </c>
      <c r="D69" s="23">
        <f>[17]GtS!$H$14</f>
        <v>32</v>
      </c>
      <c r="E69" s="23">
        <f>[18]GtS!$H$14</f>
        <v>33</v>
      </c>
      <c r="F69" s="23">
        <f>[19]GtS!$H$14</f>
        <v>33</v>
      </c>
      <c r="G69" s="34">
        <f>[20]GtS!$H$14</f>
        <v>33</v>
      </c>
      <c r="H69" s="155">
        <f>IF('AW Schulen'!$B99=0,"x",C69/'AW Schulen'!$B99)</f>
        <v>0.41558441558441561</v>
      </c>
      <c r="I69" s="155">
        <f>IF('AW Schulen'!$E99=0,"x",D69/'AW Schulen'!$E99)</f>
        <v>0.42105263157894735</v>
      </c>
      <c r="J69" s="155">
        <f>IF('AW Schulen'!$H99=0,"x",E69/'AW Schulen'!$H99)</f>
        <v>0.43421052631578949</v>
      </c>
      <c r="K69" s="155">
        <f>IF('AW Schulen'!$K99=0,"x",F69/'AW Schulen'!$K99)</f>
        <v>0.43421052631578949</v>
      </c>
      <c r="L69" s="156">
        <f>IF('AW Schulen'!$N99=0,"x",G69/'AW Schulen'!$N99)</f>
        <v>0.42857142857142855</v>
      </c>
    </row>
    <row r="70" spans="1:12" ht="9" customHeight="1">
      <c r="A70" s="21" t="s">
        <v>84</v>
      </c>
      <c r="B70" s="120"/>
      <c r="C70" s="23">
        <f>[21]GtS!$H$14</f>
        <v>0</v>
      </c>
      <c r="D70" s="23">
        <f>[22]GtS!$H$14</f>
        <v>0</v>
      </c>
      <c r="E70" s="23">
        <f>[23]GtS!$H$14</f>
        <v>0</v>
      </c>
      <c r="F70" s="23">
        <f>[24]GtS!$H$14</f>
        <v>0</v>
      </c>
      <c r="G70" s="34">
        <f>[25]GtS!$H$14</f>
        <v>0</v>
      </c>
      <c r="H70" s="155">
        <f>IF('AW Schulen'!$B100=0,"x",C70/'AW Schulen'!$B100)</f>
        <v>0</v>
      </c>
      <c r="I70" s="155">
        <f>IF('AW Schulen'!$E100=0,"x",D70/'AW Schulen'!$E100)</f>
        <v>0</v>
      </c>
      <c r="J70" s="155">
        <f>IF('AW Schulen'!$H100=0,"x",E70/'AW Schulen'!$H100)</f>
        <v>0</v>
      </c>
      <c r="K70" s="155">
        <f>IF('AW Schulen'!$K100=0,"x",F70/'AW Schulen'!$K100)</f>
        <v>0</v>
      </c>
      <c r="L70" s="156">
        <f>IF('AW Schulen'!$N100=0,"x",G70/'AW Schulen'!$N100)</f>
        <v>0</v>
      </c>
    </row>
    <row r="71" spans="1:12" ht="9" customHeight="1">
      <c r="A71" s="21" t="s">
        <v>85</v>
      </c>
      <c r="B71" s="120"/>
      <c r="C71" s="23">
        <f>[26]GtS!$H$14</f>
        <v>58</v>
      </c>
      <c r="D71" s="23">
        <f>[27]GtS!$H$14</f>
        <v>57</v>
      </c>
      <c r="E71" s="23">
        <f>[28]GtS!$H$14</f>
        <v>56</v>
      </c>
      <c r="F71" s="23">
        <f>[29]GtS!$H$14</f>
        <v>56</v>
      </c>
      <c r="G71" s="34">
        <f>[30]GtS!$H$14</f>
        <v>53</v>
      </c>
      <c r="H71" s="155">
        <f>IF('AW Schulen'!$B101=0,"x",C71/'AW Schulen'!$B101)</f>
        <v>0.86567164179104472</v>
      </c>
      <c r="I71" s="155">
        <f>IF('AW Schulen'!$E101=0,"x",D71/'AW Schulen'!$E101)</f>
        <v>0.85074626865671643</v>
      </c>
      <c r="J71" s="155">
        <f>IF('AW Schulen'!$H101=0,"x",E71/'AW Schulen'!$H101)</f>
        <v>0.90322580645161288</v>
      </c>
      <c r="K71" s="155">
        <f>IF('AW Schulen'!$K101=0,"x",F71/'AW Schulen'!$K101)</f>
        <v>0.90322580645161288</v>
      </c>
      <c r="L71" s="156">
        <f>IF('AW Schulen'!$N101=0,"x",G71/'AW Schulen'!$N101)</f>
        <v>0.84126984126984128</v>
      </c>
    </row>
    <row r="72" spans="1:12" ht="9" customHeight="1">
      <c r="A72" s="21" t="s">
        <v>86</v>
      </c>
      <c r="B72" s="120"/>
      <c r="C72" s="23">
        <f>[66]GtS!$H$14</f>
        <v>215</v>
      </c>
      <c r="D72" s="23">
        <f>[67]GtS!$H$14</f>
        <v>214</v>
      </c>
      <c r="E72" s="23">
        <f>[68]GtS!$H$14</f>
        <v>213</v>
      </c>
      <c r="F72" s="23">
        <f>[69]GtS!$H$14</f>
        <v>214</v>
      </c>
      <c r="G72" s="34">
        <f>[70]GtS!$H$14</f>
        <v>214</v>
      </c>
      <c r="H72" s="155">
        <f>IF('AW Schulen'!$B102=0,"x",C72/'AW Schulen'!$B102)</f>
        <v>0.97285067873303166</v>
      </c>
      <c r="I72" s="155">
        <f>IF('AW Schulen'!$E102=0,"x",D72/'AW Schulen'!$E102)</f>
        <v>0.97272727272727277</v>
      </c>
      <c r="J72" s="155">
        <f>IF('AW Schulen'!$H102=0,"x",E72/'AW Schulen'!$H102)</f>
        <v>0.96818181818181814</v>
      </c>
      <c r="K72" s="155">
        <f>IF('AW Schulen'!$K102=0,"x",F72/'AW Schulen'!$K102)</f>
        <v>0.96832579185520362</v>
      </c>
      <c r="L72" s="156">
        <f>IF('AW Schulen'!$N102=0,"x",G72/'AW Schulen'!$N102)</f>
        <v>0.96832579185520362</v>
      </c>
    </row>
    <row r="73" spans="1:12" ht="9" customHeight="1">
      <c r="A73" s="21" t="s">
        <v>87</v>
      </c>
      <c r="B73" s="120"/>
      <c r="C73" s="23">
        <f>[31]GtS!$H$14</f>
        <v>21</v>
      </c>
      <c r="D73" s="23">
        <f>[32]GtS!$H$14</f>
        <v>22</v>
      </c>
      <c r="E73" s="23">
        <f>[33]GtS!$H$14</f>
        <v>22</v>
      </c>
      <c r="F73" s="23">
        <f>[34]GtS!$H$14</f>
        <v>20</v>
      </c>
      <c r="G73" s="34">
        <f>[35]GtS!$H$14</f>
        <v>15</v>
      </c>
      <c r="H73" s="155">
        <f>IF('AW Schulen'!$B103=0,"x",C73/'AW Schulen'!$B103)</f>
        <v>0.34426229508196721</v>
      </c>
      <c r="I73" s="155">
        <f>IF('AW Schulen'!$E103=0,"x",D73/'AW Schulen'!$E103)</f>
        <v>0.36666666666666664</v>
      </c>
      <c r="J73" s="155">
        <f>IF('AW Schulen'!$H103=0,"x",E73/'AW Schulen'!$H103)</f>
        <v>0.36666666666666664</v>
      </c>
      <c r="K73" s="155">
        <f>IF('AW Schulen'!$K103=0,"x",F73/'AW Schulen'!$K103)</f>
        <v>0.33333333333333331</v>
      </c>
      <c r="L73" s="156">
        <f>IF('AW Schulen'!$N103=0,"x",G73/'AW Schulen'!$N103)</f>
        <v>0.24590163934426229</v>
      </c>
    </row>
    <row r="74" spans="1:12" ht="9" customHeight="1">
      <c r="A74" s="21" t="s">
        <v>88</v>
      </c>
      <c r="B74" s="120"/>
      <c r="C74" s="23">
        <f>[71]GtS!$H$14</f>
        <v>193</v>
      </c>
      <c r="D74" s="23">
        <f>[72]GtS!$H$14</f>
        <v>208</v>
      </c>
      <c r="E74" s="23">
        <f>[73]GtS!$H$14</f>
        <v>211</v>
      </c>
      <c r="F74" s="23">
        <f>[74]GtS!$H$14</f>
        <v>208</v>
      </c>
      <c r="G74" s="34">
        <f>[75]GtS!$H$14</f>
        <v>211</v>
      </c>
      <c r="H74" s="155">
        <f>IF('AW Schulen'!$B104=0,"x",C74/'AW Schulen'!$B104)</f>
        <v>0.75390625</v>
      </c>
      <c r="I74" s="155">
        <f>IF('AW Schulen'!$E104=0,"x",D74/'AW Schulen'!$E104)</f>
        <v>0.8125</v>
      </c>
      <c r="J74" s="155">
        <f>IF('AW Schulen'!$H104=0,"x",E74/'AW Schulen'!$H104)</f>
        <v>0.82421875</v>
      </c>
      <c r="K74" s="155">
        <f>IF('AW Schulen'!$K104=0,"x",F74/'AW Schulen'!$K104)</f>
        <v>0.8125</v>
      </c>
      <c r="L74" s="156">
        <f>IF('AW Schulen'!$N104=0,"x",G74/'AW Schulen'!$N104)</f>
        <v>0.82421875</v>
      </c>
    </row>
    <row r="75" spans="1:12" ht="9" customHeight="1">
      <c r="A75" s="21" t="s">
        <v>89</v>
      </c>
      <c r="B75" s="120"/>
      <c r="C75" s="23">
        <f>[36]GtS!$H$14</f>
        <v>0</v>
      </c>
      <c r="D75" s="23">
        <f>[37]GtS!$H$14</f>
        <v>0</v>
      </c>
      <c r="E75" s="23">
        <f>[38]GtS!$H$14</f>
        <v>0</v>
      </c>
      <c r="F75" s="23">
        <f>[39]GtS!$H$14</f>
        <v>0</v>
      </c>
      <c r="G75" s="34">
        <f>[40]GtS!$H$14</f>
        <v>0</v>
      </c>
      <c r="H75" s="155">
        <f>IF('AW Schulen'!$B105=0,"x",C75/'AW Schulen'!$B105)</f>
        <v>0</v>
      </c>
      <c r="I75" s="155">
        <f>IF('AW Schulen'!$E105=0,"x",D75/'AW Schulen'!$E105)</f>
        <v>0</v>
      </c>
      <c r="J75" s="155">
        <f>IF('AW Schulen'!$H105=0,"x",E75/'AW Schulen'!$H105)</f>
        <v>0</v>
      </c>
      <c r="K75" s="155">
        <f>IF('AW Schulen'!$K105=0,"x",F75/'AW Schulen'!$K105)</f>
        <v>0</v>
      </c>
      <c r="L75" s="156">
        <f>IF('AW Schulen'!$N105=0,"x",G75/'AW Schulen'!$N105)</f>
        <v>0</v>
      </c>
    </row>
    <row r="76" spans="1:12" ht="9" customHeight="1">
      <c r="A76" s="21" t="s">
        <v>90</v>
      </c>
      <c r="B76" s="120"/>
      <c r="C76" s="23">
        <f>[41]GtS!$H$14</f>
        <v>3</v>
      </c>
      <c r="D76" s="23">
        <f>[42]GtS!$H$14</f>
        <v>3</v>
      </c>
      <c r="E76" s="23">
        <f>[43]GtS!$H$14</f>
        <v>3</v>
      </c>
      <c r="F76" s="23">
        <f>[44]GtS!$H$14</f>
        <v>1</v>
      </c>
      <c r="G76" s="34">
        <f>[45]GtS!$H$14</f>
        <v>1</v>
      </c>
      <c r="H76" s="155">
        <f>IF('AW Schulen'!$B106=0,"x",C76/'AW Schulen'!$B106)</f>
        <v>2.4390243902439025E-2</v>
      </c>
      <c r="I76" s="155">
        <f>IF('AW Schulen'!$E106=0,"x",D76/'AW Schulen'!$E106)</f>
        <v>2.4390243902439025E-2</v>
      </c>
      <c r="J76" s="155">
        <f>IF('AW Schulen'!$H106=0,"x",E76/'AW Schulen'!$H106)</f>
        <v>2.4390243902439025E-2</v>
      </c>
      <c r="K76" s="155">
        <f>IF('AW Schulen'!$K106=0,"x",F76/'AW Schulen'!$K106)</f>
        <v>8.130081300813009E-3</v>
      </c>
      <c r="L76" s="156">
        <f>IF('AW Schulen'!$N106=0,"x",G76/'AW Schulen'!$N106)</f>
        <v>8.130081300813009E-3</v>
      </c>
    </row>
    <row r="77" spans="1:12" ht="9" customHeight="1">
      <c r="A77" s="21" t="s">
        <v>91</v>
      </c>
      <c r="B77" s="120"/>
      <c r="C77" s="23">
        <f>[46]GtS!$H$14</f>
        <v>25</v>
      </c>
      <c r="D77" s="23">
        <f>[47]GtS!$H$14</f>
        <v>26</v>
      </c>
      <c r="E77" s="23">
        <f>[48]GtS!$H$14</f>
        <v>25</v>
      </c>
      <c r="F77" s="23">
        <f>[49]GtS!$H$14</f>
        <v>25</v>
      </c>
      <c r="G77" s="34">
        <f>[50]GtS!$H$14</f>
        <v>25</v>
      </c>
      <c r="H77" s="155">
        <f>IF('AW Schulen'!$B107=0,"x",C77/'AW Schulen'!$B107)</f>
        <v>0.8928571428571429</v>
      </c>
      <c r="I77" s="155">
        <f>IF('AW Schulen'!$E107=0,"x",D77/'AW Schulen'!$E107)</f>
        <v>0.9285714285714286</v>
      </c>
      <c r="J77" s="155">
        <f>IF('AW Schulen'!$H107=0,"x",E77/'AW Schulen'!$H107)</f>
        <v>0.8928571428571429</v>
      </c>
      <c r="K77" s="155">
        <f>IF('AW Schulen'!$K107=0,"x",F77/'AW Schulen'!$K107)</f>
        <v>0.8928571428571429</v>
      </c>
      <c r="L77" s="156">
        <f>IF('AW Schulen'!$N107=0,"x",G77/'AW Schulen'!$N107)</f>
        <v>0.8928571428571429</v>
      </c>
    </row>
    <row r="78" spans="1:12" ht="9" customHeight="1">
      <c r="A78" s="21" t="s">
        <v>92</v>
      </c>
      <c r="B78" s="120"/>
      <c r="C78" s="23">
        <f>[51]GtS!$H$14</f>
        <v>76</v>
      </c>
      <c r="D78" s="23">
        <f>[52]GtS!$H$14</f>
        <v>84</v>
      </c>
      <c r="E78" s="23">
        <f>[53]GtS!$H$14</f>
        <v>84</v>
      </c>
      <c r="F78" s="23">
        <f>[54]GtS!$H$14</f>
        <v>83</v>
      </c>
      <c r="G78" s="34">
        <f>[55]GtS!$H$14</f>
        <v>87</v>
      </c>
      <c r="H78" s="155">
        <f>IF('AW Schulen'!$B108=0,"x",C78/'AW Schulen'!$B108)</f>
        <v>0.6386554621848739</v>
      </c>
      <c r="I78" s="155">
        <f>IF('AW Schulen'!$E108=0,"x",D78/'AW Schulen'!$E108)</f>
        <v>0.70588235294117652</v>
      </c>
      <c r="J78" s="155">
        <f>IF('AW Schulen'!$H108=0,"x",E78/'AW Schulen'!$H108)</f>
        <v>0.7</v>
      </c>
      <c r="K78" s="155">
        <f>IF('AW Schulen'!$K108=0,"x",F78/'AW Schulen'!$K108)</f>
        <v>0.69166666666666665</v>
      </c>
      <c r="L78" s="156">
        <f>IF('AW Schulen'!$N108=0,"x",G78/'AW Schulen'!$N108)</f>
        <v>0.71900826446280997</v>
      </c>
    </row>
    <row r="79" spans="1:12" ht="9" customHeight="1">
      <c r="A79" s="21" t="s">
        <v>93</v>
      </c>
      <c r="B79" s="120"/>
      <c r="C79" s="23">
        <f>[76]GtS!$H$14</f>
        <v>15</v>
      </c>
      <c r="D79" s="23">
        <f>[77]GtS!$H$14</f>
        <v>16</v>
      </c>
      <c r="E79" s="23">
        <f>[78]GtS!$H$14</f>
        <v>15</v>
      </c>
      <c r="F79" s="23">
        <f>[79]GtS!$H$14</f>
        <v>15</v>
      </c>
      <c r="G79" s="34">
        <f>[80]GtS!$H$14</f>
        <v>16</v>
      </c>
      <c r="H79" s="155">
        <f>IF('AW Schulen'!$B109=0,"x",C79/'AW Schulen'!$B109)</f>
        <v>0.21428571428571427</v>
      </c>
      <c r="I79" s="155">
        <f>IF('AW Schulen'!$E109=0,"x",D79/'AW Schulen'!$E109)</f>
        <v>0.22857142857142856</v>
      </c>
      <c r="J79" s="155">
        <f>IF('AW Schulen'!$H109=0,"x",E79/'AW Schulen'!$H109)</f>
        <v>0.21739130434782608</v>
      </c>
      <c r="K79" s="155">
        <f>IF('AW Schulen'!$K109=0,"x",F79/'AW Schulen'!$K109)</f>
        <v>0.20833333333333334</v>
      </c>
      <c r="L79" s="156">
        <f>IF('AW Schulen'!$N109=0,"x",G79/'AW Schulen'!$N109)</f>
        <v>0.22222222222222221</v>
      </c>
    </row>
    <row r="80" spans="1:12" ht="9" customHeight="1">
      <c r="A80" s="21" t="s">
        <v>94</v>
      </c>
      <c r="B80" s="120"/>
      <c r="C80" s="23">
        <f>[56]GtS!$H$14</f>
        <v>68</v>
      </c>
      <c r="D80" s="23">
        <f>[57]GtS!$H$14</f>
        <v>69</v>
      </c>
      <c r="E80" s="23">
        <f>[58]GtS!$H$14</f>
        <v>70</v>
      </c>
      <c r="F80" s="23">
        <f>[59]GtS!$H$14</f>
        <v>69</v>
      </c>
      <c r="G80" s="34">
        <f>[60]GtS!$H$14</f>
        <v>70</v>
      </c>
      <c r="H80" s="155">
        <f>IF('AW Schulen'!$B110=0,"x",C80/'AW Schulen'!$B110)</f>
        <v>0.68</v>
      </c>
      <c r="I80" s="155">
        <f>IF('AW Schulen'!$E110=0,"x",D80/'AW Schulen'!$E110)</f>
        <v>0.69</v>
      </c>
      <c r="J80" s="155">
        <f>IF('AW Schulen'!$H110=0,"x",E80/'AW Schulen'!$H110)</f>
        <v>0.7</v>
      </c>
      <c r="K80" s="155">
        <f>IF('AW Schulen'!$K110=0,"x",F80/'AW Schulen'!$K110)</f>
        <v>0.69696969696969702</v>
      </c>
      <c r="L80" s="156">
        <f>IF('AW Schulen'!$N110=0,"x",G80/'AW Schulen'!$N110)</f>
        <v>0.70707070707070707</v>
      </c>
    </row>
    <row r="81" spans="1:12" ht="9" customHeight="1">
      <c r="A81" s="21" t="s">
        <v>95</v>
      </c>
      <c r="B81" s="120"/>
      <c r="C81" s="23">
        <f>[61]GtS!$H$14</f>
        <v>11</v>
      </c>
      <c r="D81" s="23">
        <f>[62]GtS!$H$14</f>
        <v>8</v>
      </c>
      <c r="E81" s="23">
        <f>[63]GtS!$H$14</f>
        <v>7</v>
      </c>
      <c r="F81" s="23">
        <f>[64]GtS!$H$14</f>
        <v>7</v>
      </c>
      <c r="G81" s="34">
        <f>[65]GtS!$H$14</f>
        <v>6</v>
      </c>
      <c r="H81" s="155">
        <f>IF('AW Schulen'!$B111=0,"x",C81/'AW Schulen'!$B111)</f>
        <v>0.125</v>
      </c>
      <c r="I81" s="155">
        <f>IF('AW Schulen'!$E111=0,"x",D81/'AW Schulen'!$E111)</f>
        <v>9.0909090909090912E-2</v>
      </c>
      <c r="J81" s="155">
        <f>IF('AW Schulen'!$H111=0,"x",E81/'AW Schulen'!$H111)</f>
        <v>7.9545454545454544E-2</v>
      </c>
      <c r="K81" s="155">
        <f>IF('AW Schulen'!$K111=0,"x",F81/'AW Schulen'!$K111)</f>
        <v>7.8651685393258425E-2</v>
      </c>
      <c r="L81" s="156">
        <f>IF('AW Schulen'!$N111=0,"x",G81/'AW Schulen'!$N111)</f>
        <v>6.8181818181818177E-2</v>
      </c>
    </row>
    <row r="82" spans="1:12" ht="9" customHeight="1">
      <c r="A82" s="24" t="s">
        <v>96</v>
      </c>
      <c r="B82" s="121"/>
      <c r="C82" s="26">
        <f t="shared" ref="C82:E82" si="39">SUM(C66:C81)</f>
        <v>1096</v>
      </c>
      <c r="D82" s="26">
        <f t="shared" si="39"/>
        <v>1135</v>
      </c>
      <c r="E82" s="26">
        <f t="shared" si="39"/>
        <v>1137</v>
      </c>
      <c r="F82" s="26">
        <f t="shared" ref="F82:G82" si="40">SUM(F66:F81)</f>
        <v>1149</v>
      </c>
      <c r="G82" s="47">
        <f t="shared" si="40"/>
        <v>1160</v>
      </c>
      <c r="H82" s="157">
        <f>IF('AW Schulen'!$B112=0,"x",C82/'AW Schulen'!$B112)</f>
        <v>0.426625145971195</v>
      </c>
      <c r="I82" s="157">
        <f>IF('AW Schulen'!$E112=0,"x",D82/'AW Schulen'!$E112)</f>
        <v>0.44301327088212333</v>
      </c>
      <c r="J82" s="157">
        <f>IF('AW Schulen'!$H112=0,"x",E82/'AW Schulen'!$H112)</f>
        <v>0.44605727736367201</v>
      </c>
      <c r="K82" s="157">
        <f>IF('AW Schulen'!$K112=0,"x",F82/'AW Schulen'!$K112)</f>
        <v>0.45147347740667976</v>
      </c>
      <c r="L82" s="158">
        <f>IF('AW Schulen'!$N112=0,"x",G82/'AW Schulen'!$N112)</f>
        <v>0.45490196078431372</v>
      </c>
    </row>
    <row r="83" spans="1:12" ht="18.75" customHeight="1">
      <c r="A83" s="396" t="s">
        <v>312</v>
      </c>
      <c r="B83" s="396"/>
      <c r="C83" s="396"/>
      <c r="D83" s="396"/>
      <c r="E83" s="396"/>
      <c r="F83" s="396"/>
      <c r="G83" s="396"/>
      <c r="H83" s="396"/>
      <c r="I83" s="396"/>
      <c r="J83" s="396"/>
      <c r="K83" s="396"/>
      <c r="L83" s="396"/>
    </row>
    <row r="84" spans="1:12" ht="10.15" customHeight="1">
      <c r="A84" s="399" t="s">
        <v>184</v>
      </c>
      <c r="B84" s="401"/>
      <c r="C84" s="401"/>
      <c r="D84" s="401"/>
      <c r="E84" s="401"/>
      <c r="F84" s="401"/>
      <c r="G84" s="401"/>
      <c r="H84" s="401"/>
      <c r="I84" s="238"/>
      <c r="J84" s="248"/>
      <c r="K84" s="317"/>
      <c r="L84" s="344"/>
    </row>
    <row r="85" spans="1:12" ht="10.15" customHeight="1">
      <c r="A85" s="306" t="s">
        <v>217</v>
      </c>
    </row>
  </sheetData>
  <mergeCells count="9">
    <mergeCell ref="A1:L1"/>
    <mergeCell ref="A84:H84"/>
    <mergeCell ref="H9:L9"/>
    <mergeCell ref="C9:G9"/>
    <mergeCell ref="A11:L11"/>
    <mergeCell ref="A47:L47"/>
    <mergeCell ref="A29:L29"/>
    <mergeCell ref="A65:L65"/>
    <mergeCell ref="A83:L83"/>
  </mergeCells>
  <phoneticPr fontId="18" type="noConversion"/>
  <conditionalFormatting sqref="N25">
    <cfRule type="cellIs" dxfId="50"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M87"/>
  <sheetViews>
    <sheetView view="pageBreakPreview" topLeftCell="A52" zoomScale="160" zoomScaleNormal="140" zoomScaleSheetLayoutView="16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'2.2.6'!A1:G1+1</f>
        <v>21</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4.1" customHeight="1">
      <c r="A5" s="13" t="s">
        <v>26</v>
      </c>
      <c r="B5" s="39" t="s">
        <v>134</v>
      </c>
      <c r="C5" s="14"/>
      <c r="D5" s="14"/>
      <c r="E5" s="14"/>
      <c r="F5" s="14"/>
      <c r="G5" s="14"/>
      <c r="H5" s="14"/>
      <c r="I5" s="14"/>
      <c r="J5" s="14"/>
      <c r="K5" s="14"/>
      <c r="L5" s="14"/>
    </row>
    <row r="6" spans="1:13" s="3" customFormat="1" ht="7.5" customHeight="1">
      <c r="A6" s="13"/>
      <c r="B6" s="48"/>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42">
        <f t="shared" ref="C12:D28" si="0">SUM(C30+C48+C66)</f>
        <v>61</v>
      </c>
      <c r="D12" s="42">
        <f t="shared" si="0"/>
        <v>177</v>
      </c>
      <c r="E12" s="42">
        <f t="shared" ref="E12:F12" si="1">SUM(E30+E48+E66)</f>
        <v>307</v>
      </c>
      <c r="F12" s="42">
        <f t="shared" si="1"/>
        <v>396</v>
      </c>
      <c r="G12" s="44">
        <f t="shared" ref="G12" si="2">SUM(G30+G48+G66)</f>
        <v>434</v>
      </c>
      <c r="H12" s="153">
        <f>IF('AW Schulen'!$B114=0,"x",C12/'AW Schulen'!$B114)</f>
        <v>0.77215189873417722</v>
      </c>
      <c r="I12" s="153">
        <f>IF('AW Schulen'!$E114=0,"x",D12/'AW Schulen'!$E114)</f>
        <v>0.75</v>
      </c>
      <c r="J12" s="153">
        <f>IF('AW Schulen'!$H114=0,"x",E12/'AW Schulen'!$H114)</f>
        <v>0.80577427821522307</v>
      </c>
      <c r="K12" s="153">
        <f>IF('AW Schulen'!$K114=0,"x",F12/'AW Schulen'!$K114)</f>
        <v>0.81818181818181823</v>
      </c>
      <c r="L12" s="154">
        <f>IF('AW Schulen'!$N114=0,"x",G12/'AW Schulen'!$N114)</f>
        <v>0.82041587901701318</v>
      </c>
    </row>
    <row r="13" spans="1:13" ht="9" customHeight="1">
      <c r="A13" s="21" t="s">
        <v>81</v>
      </c>
      <c r="B13" s="120"/>
      <c r="C13" s="42">
        <f t="shared" si="0"/>
        <v>2</v>
      </c>
      <c r="D13" s="42">
        <f t="shared" si="0"/>
        <v>2</v>
      </c>
      <c r="E13" s="42">
        <f t="shared" ref="E13:F13" si="3">SUM(E31+E49+E67)</f>
        <v>2</v>
      </c>
      <c r="F13" s="42" t="e">
        <f t="shared" si="3"/>
        <v>#VALUE!</v>
      </c>
      <c r="G13" s="44">
        <f t="shared" ref="G13" si="4">SUM(G31+G49+G67)</f>
        <v>2</v>
      </c>
      <c r="H13" s="153">
        <f>IF('AW Schulen'!$B115=0,"x",C13/'AW Schulen'!$B115)</f>
        <v>1</v>
      </c>
      <c r="I13" s="153">
        <f>IF('AW Schulen'!$E115=0,"x",D13/'AW Schulen'!$E115)</f>
        <v>1</v>
      </c>
      <c r="J13" s="153">
        <f>IF('AW Schulen'!$H115=0,"x",E13/'AW Schulen'!$H115)</f>
        <v>1</v>
      </c>
      <c r="K13" s="153" t="e">
        <f>IF('AW Schulen'!$K115=0,"x",F13/'AW Schulen'!$K115)</f>
        <v>#VALUE!</v>
      </c>
      <c r="L13" s="154">
        <f>IF('AW Schulen'!$N115=0,"x",G13/'AW Schulen'!$N115)</f>
        <v>1</v>
      </c>
    </row>
    <row r="14" spans="1:13" ht="9" customHeight="1">
      <c r="A14" s="21" t="s">
        <v>82</v>
      </c>
      <c r="B14" s="120"/>
      <c r="C14" s="42">
        <f t="shared" si="0"/>
        <v>121</v>
      </c>
      <c r="D14" s="42">
        <f t="shared" si="0"/>
        <v>121</v>
      </c>
      <c r="E14" s="42">
        <f t="shared" ref="E14:F14" si="5">SUM(E32+E50+E68)</f>
        <v>122</v>
      </c>
      <c r="F14" s="42">
        <f t="shared" si="5"/>
        <v>124</v>
      </c>
      <c r="G14" s="44">
        <f t="shared" ref="G14" si="6">SUM(G32+G50+G68)</f>
        <v>121</v>
      </c>
      <c r="H14" s="153">
        <f>IF('AW Schulen'!$B116=0,"x",C14/'AW Schulen'!$B116)</f>
        <v>1</v>
      </c>
      <c r="I14" s="153">
        <f>IF('AW Schulen'!$E116=0,"x",D14/'AW Schulen'!$E116)</f>
        <v>1</v>
      </c>
      <c r="J14" s="153">
        <f>IF('AW Schulen'!$H116=0,"x",E14/'AW Schulen'!$H116)</f>
        <v>0.93846153846153846</v>
      </c>
      <c r="K14" s="153">
        <f>IF('AW Schulen'!$K116=0,"x",F14/'AW Schulen'!$K116)</f>
        <v>0.93233082706766912</v>
      </c>
      <c r="L14" s="154">
        <f>IF('AW Schulen'!$N116=0,"x",G14/'AW Schulen'!$N116)</f>
        <v>0.90977443609022557</v>
      </c>
    </row>
    <row r="15" spans="1:13" ht="9" customHeight="1">
      <c r="A15" s="21" t="s">
        <v>83</v>
      </c>
      <c r="B15" s="120"/>
      <c r="C15" s="42">
        <f t="shared" si="0"/>
        <v>18</v>
      </c>
      <c r="D15" s="42">
        <f t="shared" si="0"/>
        <v>19</v>
      </c>
      <c r="E15" s="42">
        <f t="shared" ref="E15:F15" si="7">SUM(E33+E51+E69)</f>
        <v>18</v>
      </c>
      <c r="F15" s="42">
        <f t="shared" si="7"/>
        <v>18</v>
      </c>
      <c r="G15" s="44">
        <f t="shared" ref="G15" si="8">SUM(G33+G51+G69)</f>
        <v>19</v>
      </c>
      <c r="H15" s="153">
        <f>IF('AW Schulen'!$B117=0,"x",C15/'AW Schulen'!$B117)</f>
        <v>0.78260869565217395</v>
      </c>
      <c r="I15" s="153">
        <f>IF('AW Schulen'!$E117=0,"x",D15/'AW Schulen'!$E117)</f>
        <v>0.82608695652173914</v>
      </c>
      <c r="J15" s="153">
        <f>IF('AW Schulen'!$H117=0,"x",E15/'AW Schulen'!$H117)</f>
        <v>0.81818181818181823</v>
      </c>
      <c r="K15" s="153">
        <f>IF('AW Schulen'!$K117=0,"x",F15/'AW Schulen'!$K117)</f>
        <v>0.78260869565217395</v>
      </c>
      <c r="L15" s="154">
        <f>IF('AW Schulen'!$N117=0,"x",G15/'AW Schulen'!$N117)</f>
        <v>0.79166666666666663</v>
      </c>
    </row>
    <row r="16" spans="1:13" ht="9" customHeight="1">
      <c r="A16" s="21" t="s">
        <v>84</v>
      </c>
      <c r="B16" s="120"/>
      <c r="C16" s="42">
        <f t="shared" si="0"/>
        <v>29</v>
      </c>
      <c r="D16" s="42">
        <f t="shared" si="0"/>
        <v>30</v>
      </c>
      <c r="E16" s="42">
        <f t="shared" ref="E16:F16" si="9">SUM(E34+E52+E70)</f>
        <v>31</v>
      </c>
      <c r="F16" s="42">
        <f t="shared" si="9"/>
        <v>32</v>
      </c>
      <c r="G16" s="44">
        <f t="shared" ref="G16" si="10">SUM(G34+G52+G70)</f>
        <v>31</v>
      </c>
      <c r="H16" s="153">
        <f>IF('AW Schulen'!$B118=0,"x",C16/'AW Schulen'!$B118)</f>
        <v>0.50877192982456143</v>
      </c>
      <c r="I16" s="153">
        <f>IF('AW Schulen'!$E118=0,"x",D16/'AW Schulen'!$E118)</f>
        <v>0.52631578947368418</v>
      </c>
      <c r="J16" s="153">
        <f>IF('AW Schulen'!$H118=0,"x",E16/'AW Schulen'!$H118)</f>
        <v>0.5636363636363636</v>
      </c>
      <c r="K16" s="153">
        <f>IF('AW Schulen'!$K118=0,"x",F16/'AW Schulen'!$K118)</f>
        <v>0.56140350877192979</v>
      </c>
      <c r="L16" s="154">
        <f>IF('AW Schulen'!$N118=0,"x",G16/'AW Schulen'!$N118)</f>
        <v>0.58490566037735847</v>
      </c>
    </row>
    <row r="17" spans="1:12" ht="9" customHeight="1">
      <c r="A17" s="21" t="s">
        <v>85</v>
      </c>
      <c r="B17" s="120"/>
      <c r="C17" s="42">
        <f t="shared" si="0"/>
        <v>48</v>
      </c>
      <c r="D17" s="42">
        <f t="shared" si="0"/>
        <v>53</v>
      </c>
      <c r="E17" s="42">
        <f t="shared" ref="E17:F17" si="11">SUM(E35+E53+E71)</f>
        <v>57</v>
      </c>
      <c r="F17" s="42">
        <f t="shared" si="11"/>
        <v>58</v>
      </c>
      <c r="G17" s="44">
        <f t="shared" ref="G17" si="12">SUM(G35+G53+G71)</f>
        <v>59</v>
      </c>
      <c r="H17" s="153">
        <f>IF('AW Schulen'!$B119=0,"x",C17/'AW Schulen'!$B119)</f>
        <v>0.8</v>
      </c>
      <c r="I17" s="153">
        <f>IF('AW Schulen'!$E119=0,"x",D17/'AW Schulen'!$E119)</f>
        <v>0.86885245901639341</v>
      </c>
      <c r="J17" s="153">
        <f>IF('AW Schulen'!$H119=0,"x",E17/'AW Schulen'!$H119)</f>
        <v>0.96610169491525422</v>
      </c>
      <c r="K17" s="153">
        <f>IF('AW Schulen'!$K119=0,"x",F17/'AW Schulen'!$K119)</f>
        <v>0.96666666666666667</v>
      </c>
      <c r="L17" s="154">
        <f>IF('AW Schulen'!$N119=0,"x",G17/'AW Schulen'!$N119)</f>
        <v>0.96721311475409832</v>
      </c>
    </row>
    <row r="18" spans="1:12" ht="9" customHeight="1">
      <c r="A18" s="21" t="s">
        <v>86</v>
      </c>
      <c r="B18" s="120"/>
      <c r="C18" s="42">
        <f t="shared" si="0"/>
        <v>91</v>
      </c>
      <c r="D18" s="42">
        <f t="shared" si="0"/>
        <v>94</v>
      </c>
      <c r="E18" s="42">
        <f t="shared" ref="E18:F18" si="13">SUM(E36+E54+E72)</f>
        <v>95</v>
      </c>
      <c r="F18" s="42">
        <f t="shared" si="13"/>
        <v>96</v>
      </c>
      <c r="G18" s="44">
        <f t="shared" ref="G18" si="14">SUM(G36+G54+G72)</f>
        <v>98</v>
      </c>
      <c r="H18" s="153">
        <f>IF('AW Schulen'!$B120=0,"x",C18/'AW Schulen'!$B120)</f>
        <v>1</v>
      </c>
      <c r="I18" s="153">
        <f>IF('AW Schulen'!$E120=0,"x",D18/'AW Schulen'!$E120)</f>
        <v>1</v>
      </c>
      <c r="J18" s="153">
        <f>IF('AW Schulen'!$H120=0,"x",E18/'AW Schulen'!$H120)</f>
        <v>1</v>
      </c>
      <c r="K18" s="153">
        <f>IF('AW Schulen'!$K120=0,"x",F18/'AW Schulen'!$K120)</f>
        <v>0.98969072164948457</v>
      </c>
      <c r="L18" s="154">
        <f>IF('AW Schulen'!$N120=0,"x",G18/'AW Schulen'!$N120)</f>
        <v>0.98989898989898994</v>
      </c>
    </row>
    <row r="19" spans="1:12" ht="9" customHeight="1">
      <c r="A19" s="21" t="s">
        <v>87</v>
      </c>
      <c r="B19" s="120"/>
      <c r="C19" s="42">
        <f t="shared" si="0"/>
        <v>10</v>
      </c>
      <c r="D19" s="42">
        <f t="shared" si="0"/>
        <v>10</v>
      </c>
      <c r="E19" s="42">
        <f t="shared" ref="E19:F19" si="15">SUM(E37+E55+E73)</f>
        <v>9</v>
      </c>
      <c r="F19" s="42">
        <f t="shared" si="15"/>
        <v>9</v>
      </c>
      <c r="G19" s="44">
        <f t="shared" ref="G19" si="16">SUM(G37+G55+G73)</f>
        <v>8</v>
      </c>
      <c r="H19" s="153">
        <f>IF('AW Schulen'!$B121=0,"x",C19/'AW Schulen'!$B121)</f>
        <v>0.90909090909090906</v>
      </c>
      <c r="I19" s="153">
        <f>IF('AW Schulen'!$E121=0,"x",D19/'AW Schulen'!$E121)</f>
        <v>0.90909090909090906</v>
      </c>
      <c r="J19" s="153">
        <f>IF('AW Schulen'!$H121=0,"x",E19/'AW Schulen'!$H121)</f>
        <v>0.9</v>
      </c>
      <c r="K19" s="153">
        <f>IF('AW Schulen'!$K121=0,"x",F19/'AW Schulen'!$K121)</f>
        <v>0.9</v>
      </c>
      <c r="L19" s="154">
        <f>IF('AW Schulen'!$N121=0,"x",G19/'AW Schulen'!$N121)</f>
        <v>0.88888888888888884</v>
      </c>
    </row>
    <row r="20" spans="1:12" ht="9" customHeight="1">
      <c r="A20" s="21" t="s">
        <v>88</v>
      </c>
      <c r="B20" s="120"/>
      <c r="C20" s="42">
        <f t="shared" si="0"/>
        <v>66</v>
      </c>
      <c r="D20" s="42">
        <f t="shared" si="0"/>
        <v>71</v>
      </c>
      <c r="E20" s="42">
        <f t="shared" ref="E20:F20" si="17">SUM(E38+E56+E74)</f>
        <v>81</v>
      </c>
      <c r="F20" s="42">
        <f t="shared" si="17"/>
        <v>87</v>
      </c>
      <c r="G20" s="44">
        <f t="shared" ref="G20" si="18">SUM(G38+G56+G74)</f>
        <v>91</v>
      </c>
      <c r="H20" s="153">
        <f>IF('AW Schulen'!$B122=0,"x",C20/'AW Schulen'!$B122)</f>
        <v>1</v>
      </c>
      <c r="I20" s="153">
        <f>IF('AW Schulen'!$E122=0,"x",D20/'AW Schulen'!$E122)</f>
        <v>1</v>
      </c>
      <c r="J20" s="153">
        <f>IF('AW Schulen'!$H122=0,"x",E20/'AW Schulen'!$H122)</f>
        <v>1</v>
      </c>
      <c r="K20" s="153">
        <f>IF('AW Schulen'!$K122=0,"x",F20/'AW Schulen'!$K122)</f>
        <v>1</v>
      </c>
      <c r="L20" s="154">
        <f>IF('AW Schulen'!$N122=0,"x",G20/'AW Schulen'!$N122)</f>
        <v>1</v>
      </c>
    </row>
    <row r="21" spans="1:12" ht="9" customHeight="1">
      <c r="A21" s="21" t="s">
        <v>89</v>
      </c>
      <c r="B21" s="120"/>
      <c r="C21" s="42">
        <f t="shared" si="0"/>
        <v>232</v>
      </c>
      <c r="D21" s="42">
        <f t="shared" si="0"/>
        <v>261</v>
      </c>
      <c r="E21" s="42">
        <f t="shared" ref="E21:F21" si="19">SUM(E39+E57+E75)</f>
        <v>284</v>
      </c>
      <c r="F21" s="42">
        <f t="shared" si="19"/>
        <v>292</v>
      </c>
      <c r="G21" s="44">
        <f t="shared" ref="G21" si="20">SUM(G39+G57+G75)</f>
        <v>301</v>
      </c>
      <c r="H21" s="153">
        <f>IF('AW Schulen'!$B123=0,"x",C21/'AW Schulen'!$B123)</f>
        <v>1</v>
      </c>
      <c r="I21" s="153">
        <f>IF('AW Schulen'!$E123=0,"x",D21/'AW Schulen'!$E123)</f>
        <v>1</v>
      </c>
      <c r="J21" s="153">
        <f>IF('AW Schulen'!$H123=0,"x",E21/'AW Schulen'!$H123)</f>
        <v>1</v>
      </c>
      <c r="K21" s="153">
        <f>IF('AW Schulen'!$K123=0,"x",F21/'AW Schulen'!$K123)</f>
        <v>1</v>
      </c>
      <c r="L21" s="154">
        <f>IF('AW Schulen'!$N123=0,"x",G21/'AW Schulen'!$N123)</f>
        <v>1</v>
      </c>
    </row>
    <row r="22" spans="1:12" ht="9" customHeight="1">
      <c r="A22" s="21" t="s">
        <v>90</v>
      </c>
      <c r="B22" s="120"/>
      <c r="C22" s="42">
        <f t="shared" si="0"/>
        <v>47</v>
      </c>
      <c r="D22" s="42">
        <f t="shared" si="0"/>
        <v>48</v>
      </c>
      <c r="E22" s="42">
        <f t="shared" ref="E22:F22" si="21">SUM(E40+E58+E76)</f>
        <v>48</v>
      </c>
      <c r="F22" s="42">
        <f t="shared" si="21"/>
        <v>48</v>
      </c>
      <c r="G22" s="44">
        <f t="shared" ref="G22" si="22">SUM(G40+G58+G76)</f>
        <v>50</v>
      </c>
      <c r="H22" s="153">
        <f>IF('AW Schulen'!$B124=0,"x",C22/'AW Schulen'!$B124)</f>
        <v>0.8867924528301887</v>
      </c>
      <c r="I22" s="153">
        <f>IF('AW Schulen'!$E124=0,"x",D22/'AW Schulen'!$E124)</f>
        <v>0.88888888888888884</v>
      </c>
      <c r="J22" s="153">
        <f>IF('AW Schulen'!$H124=0,"x",E22/'AW Schulen'!$H124)</f>
        <v>0.88888888888888884</v>
      </c>
      <c r="K22" s="153">
        <f>IF('AW Schulen'!$K124=0,"x",F22/'AW Schulen'!$K124)</f>
        <v>0.88888888888888884</v>
      </c>
      <c r="L22" s="154">
        <f>IF('AW Schulen'!$N124=0,"x",G22/'AW Schulen'!$N124)</f>
        <v>0.92592592592592593</v>
      </c>
    </row>
    <row r="23" spans="1:12" ht="9" customHeight="1">
      <c r="A23" s="21" t="s">
        <v>91</v>
      </c>
      <c r="B23" s="120"/>
      <c r="C23" s="42">
        <f t="shared" si="0"/>
        <v>17</v>
      </c>
      <c r="D23" s="42">
        <f t="shared" si="0"/>
        <v>17</v>
      </c>
      <c r="E23" s="42">
        <f t="shared" ref="E23:F23" si="23">SUM(E41+E59+E77)</f>
        <v>64</v>
      </c>
      <c r="F23" s="42">
        <f t="shared" si="23"/>
        <v>60</v>
      </c>
      <c r="G23" s="44">
        <f t="shared" ref="G23" si="24">SUM(G41+G59+G77)</f>
        <v>58</v>
      </c>
      <c r="H23" s="153">
        <f>IF('AW Schulen'!$B125=0,"x",C23/'AW Schulen'!$B125)</f>
        <v>1</v>
      </c>
      <c r="I23" s="153">
        <f>IF('AW Schulen'!$E125=0,"x",D23/'AW Schulen'!$E125)</f>
        <v>1</v>
      </c>
      <c r="J23" s="153">
        <f>IF('AW Schulen'!$H125=0,"x",E23/'AW Schulen'!$H125)</f>
        <v>1</v>
      </c>
      <c r="K23" s="153">
        <f>IF('AW Schulen'!$K125=0,"x",F23/'AW Schulen'!$K125)</f>
        <v>1</v>
      </c>
      <c r="L23" s="154">
        <f>IF('AW Schulen'!$N125=0,"x",G23/'AW Schulen'!$N125)</f>
        <v>1</v>
      </c>
    </row>
    <row r="24" spans="1:12" ht="9" customHeight="1">
      <c r="A24" s="21" t="s">
        <v>92</v>
      </c>
      <c r="B24" s="120"/>
      <c r="C24" s="149">
        <f t="shared" si="0"/>
        <v>0</v>
      </c>
      <c r="D24" s="149">
        <f t="shared" si="0"/>
        <v>0</v>
      </c>
      <c r="E24" s="149">
        <f t="shared" ref="E24:F24" si="25">SUM(E42+E60+E78)</f>
        <v>0</v>
      </c>
      <c r="F24" s="149">
        <f t="shared" si="25"/>
        <v>0</v>
      </c>
      <c r="G24" s="150">
        <f t="shared" ref="G24" si="26">SUM(G42+G60+G78)</f>
        <v>0</v>
      </c>
      <c r="H24" s="153" t="str">
        <f>IF('AW Schulen'!$B126=0,"x",C24/'AW Schulen'!$B126)</f>
        <v>x</v>
      </c>
      <c r="I24" s="153" t="str">
        <f>IF('AW Schulen'!$E126=0,"x",D24/'AW Schulen'!$E126)</f>
        <v>x</v>
      </c>
      <c r="J24" s="153" t="str">
        <f>IF('AW Schulen'!$H126=0,"x",E24/'AW Schulen'!$H126)</f>
        <v>x</v>
      </c>
      <c r="K24" s="153" t="str">
        <f>IF('AW Schulen'!$K126=0,"x",F24/'AW Schulen'!$K126)</f>
        <v>x</v>
      </c>
      <c r="L24" s="154" t="str">
        <f>IF('AW Schulen'!$N126=0,"x",G24/'AW Schulen'!$N126)</f>
        <v>x</v>
      </c>
    </row>
    <row r="25" spans="1:12" ht="9" customHeight="1">
      <c r="A25" s="21" t="s">
        <v>93</v>
      </c>
      <c r="B25" s="120"/>
      <c r="C25" s="42">
        <f t="shared" si="0"/>
        <v>3</v>
      </c>
      <c r="D25" s="42">
        <f t="shared" si="0"/>
        <v>3</v>
      </c>
      <c r="E25" s="42">
        <f t="shared" ref="E25:F25" si="27">SUM(E43+E61+E79)</f>
        <v>12</v>
      </c>
      <c r="F25" s="42">
        <f t="shared" si="27"/>
        <v>19</v>
      </c>
      <c r="G25" s="44">
        <f t="shared" ref="G25" si="28">SUM(G43+G61+G79)</f>
        <v>22</v>
      </c>
      <c r="H25" s="153">
        <f>IF('AW Schulen'!$B127=0,"x",C25/'AW Schulen'!$B127)</f>
        <v>1</v>
      </c>
      <c r="I25" s="153">
        <f>IF('AW Schulen'!$E127=0,"x",D25/'AW Schulen'!$E127)</f>
        <v>1</v>
      </c>
      <c r="J25" s="153">
        <f>IF('AW Schulen'!$H127=0,"x",E25/'AW Schulen'!$H127)</f>
        <v>0.63157894736842102</v>
      </c>
      <c r="K25" s="153">
        <f>IF('AW Schulen'!$K127=0,"x",F25/'AW Schulen'!$K127)</f>
        <v>0.65517241379310343</v>
      </c>
      <c r="L25" s="154">
        <f>IF('AW Schulen'!$N127=0,"x",G25/'AW Schulen'!$N127)</f>
        <v>0.6470588235294118</v>
      </c>
    </row>
    <row r="26" spans="1:12" ht="9" customHeight="1">
      <c r="A26" s="21" t="s">
        <v>143</v>
      </c>
      <c r="B26" s="120"/>
      <c r="C26" s="42">
        <f t="shared" si="0"/>
        <v>137</v>
      </c>
      <c r="D26" s="42">
        <f t="shared" si="0"/>
        <v>149</v>
      </c>
      <c r="E26" s="42">
        <f t="shared" ref="E26:F26" si="29">SUM(E44+E62+E80)</f>
        <v>180</v>
      </c>
      <c r="F26" s="42">
        <f t="shared" si="29"/>
        <v>242</v>
      </c>
      <c r="G26" s="44">
        <f t="shared" ref="G26" si="30">SUM(G44+G62+G80)</f>
        <v>277</v>
      </c>
      <c r="H26" s="153">
        <f>IF('AW Schulen'!$B128=0,"x",C26/'AW Schulen'!$B128)</f>
        <v>1</v>
      </c>
      <c r="I26" s="153">
        <f>IF('AW Schulen'!$E128=0,"x",D26/'AW Schulen'!$E128)</f>
        <v>1</v>
      </c>
      <c r="J26" s="153">
        <f>IF('AW Schulen'!$H128=0,"x",E26/'AW Schulen'!$H128)</f>
        <v>0.92307692307692313</v>
      </c>
      <c r="K26" s="153">
        <f>IF('AW Schulen'!$K128=0,"x",F26/'AW Schulen'!$K128)</f>
        <v>0.95652173913043481</v>
      </c>
      <c r="L26" s="154">
        <f>IF('AW Schulen'!$N128=0,"x",G26/'AW Schulen'!$N128)</f>
        <v>0.93898305084745759</v>
      </c>
    </row>
    <row r="27" spans="1:12" ht="9" customHeight="1">
      <c r="A27" s="21" t="s">
        <v>95</v>
      </c>
      <c r="B27" s="120"/>
      <c r="C27" s="42">
        <f t="shared" si="0"/>
        <v>15</v>
      </c>
      <c r="D27" s="42">
        <f t="shared" si="0"/>
        <v>22</v>
      </c>
      <c r="E27" s="42">
        <f t="shared" ref="E27:F27" si="31">SUM(E45+E63+E81)</f>
        <v>28</v>
      </c>
      <c r="F27" s="42">
        <f t="shared" si="31"/>
        <v>37</v>
      </c>
      <c r="G27" s="44">
        <f t="shared" ref="G27" si="32">SUM(G45+G63+G81)</f>
        <v>42</v>
      </c>
      <c r="H27" s="153">
        <f>IF('AW Schulen'!$B129=0,"x",C27/'AW Schulen'!$B129)</f>
        <v>0.83333333333333337</v>
      </c>
      <c r="I27" s="153">
        <f>IF('AW Schulen'!$E129=0,"x",D27/'AW Schulen'!$E129)</f>
        <v>0.88</v>
      </c>
      <c r="J27" s="153">
        <f>IF('AW Schulen'!$H129=0,"x",E27/'AW Schulen'!$H129)</f>
        <v>0.875</v>
      </c>
      <c r="K27" s="153">
        <f>IF('AW Schulen'!$K129=0,"x",F27/'AW Schulen'!$K129)</f>
        <v>0.94871794871794868</v>
      </c>
      <c r="L27" s="154">
        <f>IF('AW Schulen'!$N129=0,"x",G27/'AW Schulen'!$N129)</f>
        <v>0.8936170212765957</v>
      </c>
    </row>
    <row r="28" spans="1:12" ht="9" customHeight="1">
      <c r="A28" s="21" t="s">
        <v>96</v>
      </c>
      <c r="B28" s="120"/>
      <c r="C28" s="42">
        <f t="shared" si="0"/>
        <v>897</v>
      </c>
      <c r="D28" s="42">
        <f t="shared" si="0"/>
        <v>1077</v>
      </c>
      <c r="E28" s="42">
        <f t="shared" ref="E28:F28" si="33">SUM(E46+E64+E82)</f>
        <v>1338</v>
      </c>
      <c r="F28" s="42">
        <f t="shared" si="33"/>
        <v>1520</v>
      </c>
      <c r="G28" s="44">
        <f t="shared" ref="G28" si="34">SUM(G46+G64+G82)</f>
        <v>1613</v>
      </c>
      <c r="H28" s="153">
        <f>IF('AW Schulen'!$B130=0,"x",C28/'AW Schulen'!$B130)</f>
        <v>0.92474226804123716</v>
      </c>
      <c r="I28" s="153">
        <f>IF('AW Schulen'!$E130=0,"x",D28/'AW Schulen'!$E130)</f>
        <v>0.90886075949367084</v>
      </c>
      <c r="J28" s="153">
        <f>IF('AW Schulen'!$H130=0,"x",E28/'AW Schulen'!$H130)</f>
        <v>0.90222521915037091</v>
      </c>
      <c r="K28" s="153">
        <f>IF('AW Schulen'!$K130=0,"x",F28/'AW Schulen'!$K130)</f>
        <v>0.90476190476190477</v>
      </c>
      <c r="L28" s="154">
        <f>IF('AW Schulen'!$N130=0,"x",G28/'AW Schulen'!$N130)</f>
        <v>0.90111731843575416</v>
      </c>
    </row>
    <row r="29" spans="1:12" ht="12.75" customHeight="1">
      <c r="A29" s="391" t="s">
        <v>98</v>
      </c>
      <c r="B29" s="392"/>
      <c r="C29" s="392"/>
      <c r="D29" s="392"/>
      <c r="E29" s="392"/>
      <c r="F29" s="392"/>
      <c r="G29" s="392"/>
      <c r="H29" s="392"/>
      <c r="I29" s="392"/>
      <c r="J29" s="392"/>
      <c r="K29" s="392"/>
      <c r="L29" s="393"/>
    </row>
    <row r="30" spans="1:12" ht="9" customHeight="1">
      <c r="A30" s="21" t="s">
        <v>172</v>
      </c>
      <c r="B30" s="120"/>
      <c r="C30" s="23">
        <f>[1]GtS!$F$15</f>
        <v>47</v>
      </c>
      <c r="D30" s="23">
        <f>[2]GtS!$F$15</f>
        <v>134</v>
      </c>
      <c r="E30" s="23">
        <f>[3]GtS!$F$15</f>
        <v>221</v>
      </c>
      <c r="F30" s="23">
        <f>[4]GtS!$F$15</f>
        <v>287</v>
      </c>
      <c r="G30" s="34">
        <f>[5]GtS!$F$15</f>
        <v>315</v>
      </c>
      <c r="H30" s="155">
        <f>IF('AW Schulen'!$B114=0,"x",C30/'AW Schulen'!$B114)</f>
        <v>0.59493670886075944</v>
      </c>
      <c r="I30" s="155">
        <f>IF('AW Schulen'!$E114=0,"x",D30/'AW Schulen'!$E114)</f>
        <v>0.56779661016949157</v>
      </c>
      <c r="J30" s="155">
        <f>IF('AW Schulen'!$H114=0,"x",E30/'AW Schulen'!$H114)</f>
        <v>0.58005249343832022</v>
      </c>
      <c r="K30" s="155">
        <f>IF('AW Schulen'!$K114=0,"x",F30/'AW Schulen'!$K114)</f>
        <v>0.59297520661157022</v>
      </c>
      <c r="L30" s="156">
        <f>IF('AW Schulen'!$N114=0,"x",G30/'AW Schulen'!$N114)</f>
        <v>0.5954631379962193</v>
      </c>
    </row>
    <row r="31" spans="1:12" ht="9" customHeight="1">
      <c r="A31" s="21" t="s">
        <v>81</v>
      </c>
      <c r="B31" s="120"/>
      <c r="C31" s="23">
        <f>[6]GtS!$F$15</f>
        <v>0</v>
      </c>
      <c r="D31" s="23">
        <f>[7]GtS!$F$15</f>
        <v>0</v>
      </c>
      <c r="E31" s="23">
        <f>[8]GtS!$F$15</f>
        <v>0</v>
      </c>
      <c r="F31" s="23" t="str">
        <f>[9]GtS!$F$15</f>
        <v xml:space="preserve">                                      -   </v>
      </c>
      <c r="G31" s="34">
        <f>[10]GtS!$F$15</f>
        <v>1</v>
      </c>
      <c r="H31" s="155">
        <f>IF('AW Schulen'!$B115=0,"x",C31/'AW Schulen'!$B115)</f>
        <v>0</v>
      </c>
      <c r="I31" s="155">
        <f>IF('AW Schulen'!$E115=0,"x",D31/'AW Schulen'!$E115)</f>
        <v>0</v>
      </c>
      <c r="J31" s="155">
        <f>IF('AW Schulen'!$H115=0,"x",E31/'AW Schulen'!$H115)</f>
        <v>0</v>
      </c>
      <c r="K31" s="155" t="e">
        <f>IF('AW Schulen'!$K115=0,"x",F31/'AW Schulen'!$K115)</f>
        <v>#VALUE!</v>
      </c>
      <c r="L31" s="156">
        <f>IF('AW Schulen'!$N115=0,"x",G31/'AW Schulen'!$N115)</f>
        <v>0.5</v>
      </c>
    </row>
    <row r="32" spans="1:12" ht="9" customHeight="1">
      <c r="A32" s="21" t="s">
        <v>82</v>
      </c>
      <c r="B32" s="120"/>
      <c r="C32" s="23">
        <f>[11]GtS!$F$15</f>
        <v>42</v>
      </c>
      <c r="D32" s="23">
        <f>[12]GtS!$F$15</f>
        <v>46</v>
      </c>
      <c r="E32" s="23">
        <f>[13]GtS!$F$15</f>
        <v>51</v>
      </c>
      <c r="F32" s="23">
        <f>[14]GtS!$F$15</f>
        <v>38</v>
      </c>
      <c r="G32" s="34">
        <f>[15]GtS!$F$15</f>
        <v>55</v>
      </c>
      <c r="H32" s="155">
        <f>IF('AW Schulen'!$B116=0,"x",C32/'AW Schulen'!$B116)</f>
        <v>0.34710743801652894</v>
      </c>
      <c r="I32" s="155">
        <f>IF('AW Schulen'!$E116=0,"x",D32/'AW Schulen'!$E116)</f>
        <v>0.38016528925619836</v>
      </c>
      <c r="J32" s="155">
        <f>IF('AW Schulen'!$H116=0,"x",E32/'AW Schulen'!$H116)</f>
        <v>0.3923076923076923</v>
      </c>
      <c r="K32" s="155">
        <f>IF('AW Schulen'!$K116=0,"x",F32/'AW Schulen'!$K116)</f>
        <v>0.2857142857142857</v>
      </c>
      <c r="L32" s="156">
        <f>IF('AW Schulen'!$N116=0,"x",G32/'AW Schulen'!$N116)</f>
        <v>0.41353383458646614</v>
      </c>
    </row>
    <row r="33" spans="1:12" ht="9" customHeight="1">
      <c r="A33" s="21" t="s">
        <v>83</v>
      </c>
      <c r="B33" s="120"/>
      <c r="C33" s="23">
        <f>[16]GtS!$F$15</f>
        <v>12</v>
      </c>
      <c r="D33" s="23">
        <f>[17]GtS!$F$15</f>
        <v>13</v>
      </c>
      <c r="E33" s="23">
        <f>[18]GtS!$F$15</f>
        <v>13</v>
      </c>
      <c r="F33" s="23">
        <f>[19]GtS!$F$15</f>
        <v>13</v>
      </c>
      <c r="G33" s="34">
        <f>[20]GtS!$F$15</f>
        <v>13</v>
      </c>
      <c r="H33" s="155">
        <f>IF('AW Schulen'!$B117=0,"x",C33/'AW Schulen'!$B117)</f>
        <v>0.52173913043478259</v>
      </c>
      <c r="I33" s="155">
        <f>IF('AW Schulen'!$E117=0,"x",D33/'AW Schulen'!$E117)</f>
        <v>0.56521739130434778</v>
      </c>
      <c r="J33" s="155">
        <f>IF('AW Schulen'!$H117=0,"x",E33/'AW Schulen'!$H117)</f>
        <v>0.59090909090909094</v>
      </c>
      <c r="K33" s="155">
        <f>IF('AW Schulen'!$K117=0,"x",F33/'AW Schulen'!$K117)</f>
        <v>0.56521739130434778</v>
      </c>
      <c r="L33" s="156">
        <f>IF('AW Schulen'!$N117=0,"x",G33/'AW Schulen'!$N117)</f>
        <v>0.54166666666666663</v>
      </c>
    </row>
    <row r="34" spans="1:12" ht="9" customHeight="1">
      <c r="A34" s="21" t="s">
        <v>84</v>
      </c>
      <c r="B34" s="120"/>
      <c r="C34" s="23">
        <f>[21]GtS!$F$15</f>
        <v>4</v>
      </c>
      <c r="D34" s="23">
        <f>[22]GtS!$F$15</f>
        <v>4</v>
      </c>
      <c r="E34" s="23">
        <f>[23]GtS!$F$15</f>
        <v>5</v>
      </c>
      <c r="F34" s="23">
        <f>[24]GtS!$F$15</f>
        <v>5</v>
      </c>
      <c r="G34" s="34">
        <f>[25]GtS!$F$15</f>
        <v>5</v>
      </c>
      <c r="H34" s="155">
        <f>IF('AW Schulen'!$B118=0,"x",C34/'AW Schulen'!$B118)</f>
        <v>7.0175438596491224E-2</v>
      </c>
      <c r="I34" s="155">
        <f>IF('AW Schulen'!$E118=0,"x",D34/'AW Schulen'!$E118)</f>
        <v>7.0175438596491224E-2</v>
      </c>
      <c r="J34" s="155">
        <f>IF('AW Schulen'!$H118=0,"x",E34/'AW Schulen'!$H118)</f>
        <v>9.0909090909090912E-2</v>
      </c>
      <c r="K34" s="155">
        <f>IF('AW Schulen'!$K118=0,"x",F34/'AW Schulen'!$K118)</f>
        <v>8.771929824561403E-2</v>
      </c>
      <c r="L34" s="156">
        <f>IF('AW Schulen'!$N118=0,"x",G34/'AW Schulen'!$N118)</f>
        <v>9.4339622641509441E-2</v>
      </c>
    </row>
    <row r="35" spans="1:12" ht="9" customHeight="1">
      <c r="A35" s="21" t="s">
        <v>85</v>
      </c>
      <c r="B35" s="120"/>
      <c r="C35" s="23">
        <f>[26]GtS!$F$15</f>
        <v>24</v>
      </c>
      <c r="D35" s="23">
        <f>[27]GtS!$F$15</f>
        <v>28</v>
      </c>
      <c r="E35" s="23">
        <f>[28]GtS!$F$15</f>
        <v>26</v>
      </c>
      <c r="F35" s="23">
        <f>[29]GtS!$F$15</f>
        <v>25</v>
      </c>
      <c r="G35" s="34">
        <f>[30]GtS!$F$15</f>
        <v>26</v>
      </c>
      <c r="H35" s="155">
        <f>IF('AW Schulen'!$B119=0,"x",C35/'AW Schulen'!$B119)</f>
        <v>0.4</v>
      </c>
      <c r="I35" s="155">
        <f>IF('AW Schulen'!$E119=0,"x",D35/'AW Schulen'!$E119)</f>
        <v>0.45901639344262296</v>
      </c>
      <c r="J35" s="155">
        <f>IF('AW Schulen'!$H119=0,"x",E35/'AW Schulen'!$H119)</f>
        <v>0.44067796610169491</v>
      </c>
      <c r="K35" s="155">
        <f>IF('AW Schulen'!$K119=0,"x",F35/'AW Schulen'!$K119)</f>
        <v>0.41666666666666669</v>
      </c>
      <c r="L35" s="156">
        <f>IF('AW Schulen'!$N119=0,"x",G35/'AW Schulen'!$N119)</f>
        <v>0.42622950819672129</v>
      </c>
    </row>
    <row r="36" spans="1:12" ht="9" customHeight="1">
      <c r="A36" s="21" t="s">
        <v>86</v>
      </c>
      <c r="B36" s="120"/>
      <c r="C36" s="23">
        <f>[66]GtS!$F$15</f>
        <v>11</v>
      </c>
      <c r="D36" s="23">
        <f>[67]GtS!$F$15</f>
        <v>13</v>
      </c>
      <c r="E36" s="23">
        <f>[68]GtS!$F$15</f>
        <v>13</v>
      </c>
      <c r="F36" s="23">
        <f>[69]GtS!$F$15</f>
        <v>14</v>
      </c>
      <c r="G36" s="34">
        <f>[70]GtS!$F$15</f>
        <v>15</v>
      </c>
      <c r="H36" s="155">
        <f>IF('AW Schulen'!$B120=0,"x",C36/'AW Schulen'!$B120)</f>
        <v>0.12087912087912088</v>
      </c>
      <c r="I36" s="155">
        <f>IF('AW Schulen'!$E120=0,"x",D36/'AW Schulen'!$E120)</f>
        <v>0.13829787234042554</v>
      </c>
      <c r="J36" s="155">
        <f>IF('AW Schulen'!$H120=0,"x",E36/'AW Schulen'!$H120)</f>
        <v>0.1368421052631579</v>
      </c>
      <c r="K36" s="155">
        <f>IF('AW Schulen'!$K120=0,"x",F36/'AW Schulen'!$K120)</f>
        <v>0.14432989690721648</v>
      </c>
      <c r="L36" s="156">
        <f>IF('AW Schulen'!$N120=0,"x",G36/'AW Schulen'!$N120)</f>
        <v>0.15151515151515152</v>
      </c>
    </row>
    <row r="37" spans="1:12" ht="9" customHeight="1">
      <c r="A37" s="21" t="s">
        <v>87</v>
      </c>
      <c r="B37" s="120"/>
      <c r="C37" s="23">
        <f>[31]GtS!$F$15</f>
        <v>5</v>
      </c>
      <c r="D37" s="23">
        <f>[32]GtS!$F$15</f>
        <v>5</v>
      </c>
      <c r="E37" s="23">
        <f>[33]GtS!$F$15</f>
        <v>4</v>
      </c>
      <c r="F37" s="23">
        <f>[34]GtS!$F$15</f>
        <v>5</v>
      </c>
      <c r="G37" s="34">
        <f>[35]GtS!$F$15</f>
        <v>4</v>
      </c>
      <c r="H37" s="155">
        <f>IF('AW Schulen'!$B121=0,"x",C37/'AW Schulen'!$B121)</f>
        <v>0.45454545454545453</v>
      </c>
      <c r="I37" s="155">
        <f>IF('AW Schulen'!$E121=0,"x",D37/'AW Schulen'!$E121)</f>
        <v>0.45454545454545453</v>
      </c>
      <c r="J37" s="155">
        <f>IF('AW Schulen'!$H121=0,"x",E37/'AW Schulen'!$H121)</f>
        <v>0.4</v>
      </c>
      <c r="K37" s="155">
        <f>IF('AW Schulen'!$K121=0,"x",F37/'AW Schulen'!$K121)</f>
        <v>0.5</v>
      </c>
      <c r="L37" s="156">
        <f>IF('AW Schulen'!$N121=0,"x",G37/'AW Schulen'!$N121)</f>
        <v>0.44444444444444442</v>
      </c>
    </row>
    <row r="38" spans="1:12" ht="9" customHeight="1">
      <c r="A38" s="21" t="s">
        <v>88</v>
      </c>
      <c r="B38" s="120"/>
      <c r="C38" s="23">
        <f>[71]GtS!$F$15</f>
        <v>24</v>
      </c>
      <c r="D38" s="23">
        <f>[72]GtS!$F$15</f>
        <v>24</v>
      </c>
      <c r="E38" s="23">
        <f>[73]GtS!$F$15</f>
        <v>31</v>
      </c>
      <c r="F38" s="23">
        <f>[74]GtS!$F$15</f>
        <v>37</v>
      </c>
      <c r="G38" s="34">
        <f>[75]GtS!$F$15</f>
        <v>36</v>
      </c>
      <c r="H38" s="155">
        <f>IF('AW Schulen'!$B122=0,"x",C38/'AW Schulen'!$B122)</f>
        <v>0.36363636363636365</v>
      </c>
      <c r="I38" s="155">
        <f>IF('AW Schulen'!$E122=0,"x",D38/'AW Schulen'!$E122)</f>
        <v>0.3380281690140845</v>
      </c>
      <c r="J38" s="155">
        <f>IF('AW Schulen'!$H122=0,"x",E38/'AW Schulen'!$H122)</f>
        <v>0.38271604938271603</v>
      </c>
      <c r="K38" s="155">
        <f>IF('AW Schulen'!$K122=0,"x",F38/'AW Schulen'!$K122)</f>
        <v>0.42528735632183906</v>
      </c>
      <c r="L38" s="156">
        <f>IF('AW Schulen'!$N122=0,"x",G38/'AW Schulen'!$N122)</f>
        <v>0.39560439560439559</v>
      </c>
    </row>
    <row r="39" spans="1:12" ht="9" customHeight="1">
      <c r="A39" s="21" t="s">
        <v>89</v>
      </c>
      <c r="B39" s="120"/>
      <c r="C39" s="23">
        <f>[36]GtS!$F$15</f>
        <v>232</v>
      </c>
      <c r="D39" s="23">
        <f>[37]GtS!$F$15</f>
        <v>260</v>
      </c>
      <c r="E39" s="23">
        <f>[38]GtS!$F$15</f>
        <v>279</v>
      </c>
      <c r="F39" s="23">
        <f>[39]GtS!$F$15</f>
        <v>288</v>
      </c>
      <c r="G39" s="34">
        <f>[40]GtS!$F$15</f>
        <v>297</v>
      </c>
      <c r="H39" s="155">
        <f>IF('AW Schulen'!$B123=0,"x",C39/'AW Schulen'!$B123)</f>
        <v>1</v>
      </c>
      <c r="I39" s="155">
        <f>IF('AW Schulen'!$E123=0,"x",D39/'AW Schulen'!$E123)</f>
        <v>0.99616858237547889</v>
      </c>
      <c r="J39" s="155">
        <f>IF('AW Schulen'!$H123=0,"x",E39/'AW Schulen'!$H123)</f>
        <v>0.98239436619718312</v>
      </c>
      <c r="K39" s="155">
        <f>IF('AW Schulen'!$K123=0,"x",F39/'AW Schulen'!$K123)</f>
        <v>0.98630136986301364</v>
      </c>
      <c r="L39" s="156">
        <f>IF('AW Schulen'!$N123=0,"x",G39/'AW Schulen'!$N123)</f>
        <v>0.98671096345514953</v>
      </c>
    </row>
    <row r="40" spans="1:12" ht="9" customHeight="1">
      <c r="A40" s="21" t="s">
        <v>90</v>
      </c>
      <c r="B40" s="120"/>
      <c r="C40" s="23">
        <f>[41]GtS!$F$15</f>
        <v>1</v>
      </c>
      <c r="D40" s="23">
        <f>[42]GtS!$F$15</f>
        <v>1</v>
      </c>
      <c r="E40" s="23">
        <f>[43]GtS!$F$15</f>
        <v>1</v>
      </c>
      <c r="F40" s="23">
        <f>[44]GtS!$F$15</f>
        <v>1</v>
      </c>
      <c r="G40" s="34">
        <f>[45]GtS!$F$15</f>
        <v>1</v>
      </c>
      <c r="H40" s="155">
        <f>IF('AW Schulen'!$B124=0,"x",C40/'AW Schulen'!$B124)</f>
        <v>1.8867924528301886E-2</v>
      </c>
      <c r="I40" s="155">
        <f>IF('AW Schulen'!$E124=0,"x",D40/'AW Schulen'!$E124)</f>
        <v>1.8518518518518517E-2</v>
      </c>
      <c r="J40" s="155">
        <f>IF('AW Schulen'!$H124=0,"x",E40/'AW Schulen'!$H124)</f>
        <v>1.8518518518518517E-2</v>
      </c>
      <c r="K40" s="155">
        <f>IF('AW Schulen'!$K124=0,"x",F40/'AW Schulen'!$K124)</f>
        <v>1.8518518518518517E-2</v>
      </c>
      <c r="L40" s="156">
        <f>IF('AW Schulen'!$N124=0,"x",G40/'AW Schulen'!$N124)</f>
        <v>1.8518518518518517E-2</v>
      </c>
    </row>
    <row r="41" spans="1:12" ht="9" customHeight="1">
      <c r="A41" s="21" t="s">
        <v>91</v>
      </c>
      <c r="B41" s="120"/>
      <c r="C41" s="23">
        <f>[46]GtS!$F$15</f>
        <v>3</v>
      </c>
      <c r="D41" s="23">
        <f>[47]GtS!$F$15</f>
        <v>3</v>
      </c>
      <c r="E41" s="23">
        <f>[48]GtS!$F$15</f>
        <v>7</v>
      </c>
      <c r="F41" s="23">
        <f>[49]GtS!$F$15</f>
        <v>7</v>
      </c>
      <c r="G41" s="34">
        <f>[50]GtS!$F$15</f>
        <v>8</v>
      </c>
      <c r="H41" s="155">
        <f>IF('AW Schulen'!$B125=0,"x",C41/'AW Schulen'!$B125)</f>
        <v>0.17647058823529413</v>
      </c>
      <c r="I41" s="155">
        <f>IF('AW Schulen'!$E125=0,"x",D41/'AW Schulen'!$E125)</f>
        <v>0.17647058823529413</v>
      </c>
      <c r="J41" s="155">
        <f>IF('AW Schulen'!$H125=0,"x",E41/'AW Schulen'!$H125)</f>
        <v>0.109375</v>
      </c>
      <c r="K41" s="155">
        <f>IF('AW Schulen'!$K125=0,"x",F41/'AW Schulen'!$K125)</f>
        <v>0.11666666666666667</v>
      </c>
      <c r="L41" s="156">
        <f>IF('AW Schulen'!$N125=0,"x",G41/'AW Schulen'!$N125)</f>
        <v>0.13793103448275862</v>
      </c>
    </row>
    <row r="42" spans="1:12" ht="9" customHeight="1">
      <c r="A42" s="21" t="s">
        <v>92</v>
      </c>
      <c r="B42" s="120"/>
      <c r="C42" s="151">
        <f>[51]GtS!$F$15</f>
        <v>0</v>
      </c>
      <c r="D42" s="151">
        <f>[52]GtS!$F$15</f>
        <v>0</v>
      </c>
      <c r="E42" s="151">
        <f>[53]GtS!$F$15</f>
        <v>0</v>
      </c>
      <c r="F42" s="151">
        <f>[54]GtS!$F$15</f>
        <v>0</v>
      </c>
      <c r="G42" s="152">
        <f>[55]GtS!$F$15</f>
        <v>0</v>
      </c>
      <c r="H42" s="155" t="str">
        <f>IF('AW Schulen'!$B126=0,"x",C42/'AW Schulen'!$B126)</f>
        <v>x</v>
      </c>
      <c r="I42" s="155" t="str">
        <f>IF('AW Schulen'!$E126=0,"x",D42/'AW Schulen'!$E126)</f>
        <v>x</v>
      </c>
      <c r="J42" s="155" t="str">
        <f>IF('AW Schulen'!$H126=0,"x",E42/'AW Schulen'!$H126)</f>
        <v>x</v>
      </c>
      <c r="K42" s="155" t="str">
        <f>IF('AW Schulen'!$K126=0,"x",F42/'AW Schulen'!$K126)</f>
        <v>x</v>
      </c>
      <c r="L42" s="156" t="str">
        <f>IF('AW Schulen'!$N126=0,"x",G42/'AW Schulen'!$N126)</f>
        <v>x</v>
      </c>
    </row>
    <row r="43" spans="1:12" ht="9" customHeight="1">
      <c r="A43" s="21" t="s">
        <v>93</v>
      </c>
      <c r="B43" s="120"/>
      <c r="C43" s="23">
        <f>[76]GtS!$F$15</f>
        <v>1</v>
      </c>
      <c r="D43" s="23">
        <f>[77]GtS!$F$15</f>
        <v>1</v>
      </c>
      <c r="E43" s="23">
        <f>[78]GtS!$F$15</f>
        <v>4</v>
      </c>
      <c r="F43" s="23">
        <f>[79]GtS!$F$15</f>
        <v>6</v>
      </c>
      <c r="G43" s="34">
        <f>[80]GtS!$F$15</f>
        <v>6</v>
      </c>
      <c r="H43" s="155">
        <f>IF('AW Schulen'!$B127=0,"x",C43/'AW Schulen'!$B127)</f>
        <v>0.33333333333333331</v>
      </c>
      <c r="I43" s="155">
        <f>IF('AW Schulen'!$E127=0,"x",D43/'AW Schulen'!$E127)</f>
        <v>0.33333333333333331</v>
      </c>
      <c r="J43" s="155">
        <f>IF('AW Schulen'!$H127=0,"x",E43/'AW Schulen'!$H127)</f>
        <v>0.21052631578947367</v>
      </c>
      <c r="K43" s="155">
        <f>IF('AW Schulen'!$K127=0,"x",F43/'AW Schulen'!$K127)</f>
        <v>0.20689655172413793</v>
      </c>
      <c r="L43" s="156">
        <f>IF('AW Schulen'!$N127=0,"x",G43/'AW Schulen'!$N127)</f>
        <v>0.17647058823529413</v>
      </c>
    </row>
    <row r="44" spans="1:12" ht="9" customHeight="1">
      <c r="A44" s="21" t="s">
        <v>143</v>
      </c>
      <c r="B44" s="120"/>
      <c r="C44" s="23">
        <f>[56]GtS!$F$15</f>
        <v>4</v>
      </c>
      <c r="D44" s="23">
        <f>[57]GtS!$F$15</f>
        <v>4</v>
      </c>
      <c r="E44" s="23">
        <f>[58]GtS!$F$15</f>
        <v>4</v>
      </c>
      <c r="F44" s="23">
        <f>[59]GtS!$F$15</f>
        <v>6</v>
      </c>
      <c r="G44" s="34">
        <f>[60]GtS!$F$15</f>
        <v>8</v>
      </c>
      <c r="H44" s="155">
        <f>IF('AW Schulen'!$B128=0,"x",C44/'AW Schulen'!$B128)</f>
        <v>2.9197080291970802E-2</v>
      </c>
      <c r="I44" s="155">
        <f>IF('AW Schulen'!$E128=0,"x",D44/'AW Schulen'!$E128)</f>
        <v>2.6845637583892617E-2</v>
      </c>
      <c r="J44" s="155">
        <f>IF('AW Schulen'!$H128=0,"x",E44/'AW Schulen'!$H128)</f>
        <v>2.0512820512820513E-2</v>
      </c>
      <c r="K44" s="155">
        <f>IF('AW Schulen'!$K128=0,"x",F44/'AW Schulen'!$K128)</f>
        <v>2.3715415019762844E-2</v>
      </c>
      <c r="L44" s="156">
        <f>IF('AW Schulen'!$N128=0,"x",G44/'AW Schulen'!$N128)</f>
        <v>2.7118644067796609E-2</v>
      </c>
    </row>
    <row r="45" spans="1:12" ht="9" customHeight="1">
      <c r="A45" s="21" t="s">
        <v>95</v>
      </c>
      <c r="B45" s="120"/>
      <c r="C45" s="23">
        <f>[61]GtS!$F$15</f>
        <v>3</v>
      </c>
      <c r="D45" s="23">
        <f>[62]GtS!$F$15</f>
        <v>4</v>
      </c>
      <c r="E45" s="23">
        <f>[63]GtS!$F$15</f>
        <v>2</v>
      </c>
      <c r="F45" s="23">
        <f>[64]GtS!$F$15</f>
        <v>2</v>
      </c>
      <c r="G45" s="34">
        <f>[65]GtS!$F$15</f>
        <v>2</v>
      </c>
      <c r="H45" s="155">
        <f>IF('AW Schulen'!$B129=0,"x",C45/'AW Schulen'!$B129)</f>
        <v>0.16666666666666666</v>
      </c>
      <c r="I45" s="155">
        <f>IF('AW Schulen'!$E129=0,"x",D45/'AW Schulen'!$E129)</f>
        <v>0.16</v>
      </c>
      <c r="J45" s="155">
        <f>IF('AW Schulen'!$H129=0,"x",E45/'AW Schulen'!$H129)</f>
        <v>6.25E-2</v>
      </c>
      <c r="K45" s="155">
        <f>IF('AW Schulen'!$K129=0,"x",F45/'AW Schulen'!$K129)</f>
        <v>5.128205128205128E-2</v>
      </c>
      <c r="L45" s="156">
        <f>IF('AW Schulen'!$N129=0,"x",G45/'AW Schulen'!$N129)</f>
        <v>4.2553191489361701E-2</v>
      </c>
    </row>
    <row r="46" spans="1:12" ht="9" customHeight="1">
      <c r="A46" s="21" t="s">
        <v>96</v>
      </c>
      <c r="B46" s="120"/>
      <c r="C46" s="23">
        <f t="shared" ref="C46:E46" si="35">SUM(C30:C45)</f>
        <v>413</v>
      </c>
      <c r="D46" s="23">
        <f t="shared" si="35"/>
        <v>540</v>
      </c>
      <c r="E46" s="23">
        <f t="shared" si="35"/>
        <v>661</v>
      </c>
      <c r="F46" s="23">
        <f t="shared" ref="F46:G46" si="36">SUM(F30:F45)</f>
        <v>734</v>
      </c>
      <c r="G46" s="34">
        <f t="shared" si="36"/>
        <v>792</v>
      </c>
      <c r="H46" s="155">
        <f>IF('AW Schulen'!$B130=0,"x",C46/'AW Schulen'!$B130)</f>
        <v>0.42577319587628865</v>
      </c>
      <c r="I46" s="155">
        <f>IF('AW Schulen'!$E130=0,"x",D46/'AW Schulen'!$E130)</f>
        <v>0.45569620253164556</v>
      </c>
      <c r="J46" s="155">
        <f>IF('AW Schulen'!$H130=0,"x",E46/'AW Schulen'!$H130)</f>
        <v>0.44571813890761969</v>
      </c>
      <c r="K46" s="155">
        <f>IF('AW Schulen'!$K130=0,"x",F46/'AW Schulen'!$K130)</f>
        <v>0.43690476190476191</v>
      </c>
      <c r="L46" s="156">
        <f>IF('AW Schulen'!$N130=0,"x",G46/'AW Schulen'!$N130)</f>
        <v>0.4424581005586592</v>
      </c>
    </row>
    <row r="47" spans="1:12" ht="12.75" customHeight="1">
      <c r="A47" s="391" t="s">
        <v>99</v>
      </c>
      <c r="B47" s="392"/>
      <c r="C47" s="392"/>
      <c r="D47" s="392"/>
      <c r="E47" s="392"/>
      <c r="F47" s="392"/>
      <c r="G47" s="392"/>
      <c r="H47" s="392"/>
      <c r="I47" s="392"/>
      <c r="J47" s="392"/>
      <c r="K47" s="392"/>
      <c r="L47" s="393"/>
    </row>
    <row r="48" spans="1:12" ht="9" customHeight="1">
      <c r="A48" s="21" t="s">
        <v>172</v>
      </c>
      <c r="B48" s="120"/>
      <c r="C48" s="23">
        <f>[1]GtS!$G$15</f>
        <v>6</v>
      </c>
      <c r="D48" s="23">
        <f>[2]GtS!$G$15</f>
        <v>9</v>
      </c>
      <c r="E48" s="23">
        <f>[3]GtS!$G$15</f>
        <v>18</v>
      </c>
      <c r="F48" s="23">
        <f>[4]GtS!$G$15</f>
        <v>20</v>
      </c>
      <c r="G48" s="34">
        <f>[5]GtS!$G$15</f>
        <v>21</v>
      </c>
      <c r="H48" s="155">
        <f>IF('AW Schulen'!$B114=0,"x",C48/'AW Schulen'!$B114)</f>
        <v>7.5949367088607597E-2</v>
      </c>
      <c r="I48" s="155">
        <f>IF('AW Schulen'!$E114=0,"x",D48/'AW Schulen'!$E114)</f>
        <v>3.8135593220338986E-2</v>
      </c>
      <c r="J48" s="155">
        <f>IF('AW Schulen'!$H114=0,"x",E48/'AW Schulen'!$H114)</f>
        <v>4.7244094488188976E-2</v>
      </c>
      <c r="K48" s="155">
        <f>IF('AW Schulen'!$K114=0,"x",F48/'AW Schulen'!$K114)</f>
        <v>4.1322314049586778E-2</v>
      </c>
      <c r="L48" s="156">
        <f>IF('AW Schulen'!$N114=0,"x",G48/'AW Schulen'!$N114)</f>
        <v>3.9697542533081283E-2</v>
      </c>
    </row>
    <row r="49" spans="1:12" ht="9" customHeight="1">
      <c r="A49" s="21" t="s">
        <v>81</v>
      </c>
      <c r="B49" s="120"/>
      <c r="C49" s="23">
        <f>[6]GtS!$G$15</f>
        <v>1</v>
      </c>
      <c r="D49" s="23">
        <f>[7]GtS!$G$15</f>
        <v>2</v>
      </c>
      <c r="E49" s="23">
        <f>[8]GtS!$G$15</f>
        <v>2</v>
      </c>
      <c r="F49" s="23">
        <f>[9]GtS!$G$15</f>
        <v>2</v>
      </c>
      <c r="G49" s="34">
        <f>[10]GtS!$G$15</f>
        <v>1</v>
      </c>
      <c r="H49" s="155">
        <f>IF('AW Schulen'!$B115=0,"x",C49/'AW Schulen'!$B115)</f>
        <v>0.5</v>
      </c>
      <c r="I49" s="155">
        <f>IF('AW Schulen'!$E115=0,"x",D49/'AW Schulen'!$E115)</f>
        <v>1</v>
      </c>
      <c r="J49" s="155">
        <f>IF('AW Schulen'!$H115=0,"x",E49/'AW Schulen'!$H115)</f>
        <v>1</v>
      </c>
      <c r="K49" s="155">
        <f>IF('AW Schulen'!$K115=0,"x",F49/'AW Schulen'!$K115)</f>
        <v>1</v>
      </c>
      <c r="L49" s="156">
        <f>IF('AW Schulen'!$N115=0,"x",G49/'AW Schulen'!$N115)</f>
        <v>0.5</v>
      </c>
    </row>
    <row r="50" spans="1:12" ht="9" customHeight="1">
      <c r="A50" s="21" t="s">
        <v>82</v>
      </c>
      <c r="B50" s="120"/>
      <c r="C50" s="23">
        <f>[11]GtS!$G$15</f>
        <v>62</v>
      </c>
      <c r="D50" s="23">
        <f>[12]GtS!$G$15</f>
        <v>49</v>
      </c>
      <c r="E50" s="23">
        <f>[13]GtS!$G$15</f>
        <v>55</v>
      </c>
      <c r="F50" s="23">
        <f>[14]GtS!$G$15</f>
        <v>67</v>
      </c>
      <c r="G50" s="34">
        <f>[15]GtS!$G$15</f>
        <v>46</v>
      </c>
      <c r="H50" s="155">
        <f>IF('AW Schulen'!$B116=0,"x",C50/'AW Schulen'!$B116)</f>
        <v>0.51239669421487599</v>
      </c>
      <c r="I50" s="155">
        <f>IF('AW Schulen'!$E116=0,"x",D50/'AW Schulen'!$E116)</f>
        <v>0.4049586776859504</v>
      </c>
      <c r="J50" s="155">
        <f>IF('AW Schulen'!$H116=0,"x",E50/'AW Schulen'!$H116)</f>
        <v>0.42307692307692307</v>
      </c>
      <c r="K50" s="155">
        <f>IF('AW Schulen'!$K116=0,"x",F50/'AW Schulen'!$K116)</f>
        <v>0.50375939849624063</v>
      </c>
      <c r="L50" s="156">
        <f>IF('AW Schulen'!$N116=0,"x",G50/'AW Schulen'!$N116)</f>
        <v>0.34586466165413532</v>
      </c>
    </row>
    <row r="51" spans="1:12" ht="9" customHeight="1">
      <c r="A51" s="21" t="s">
        <v>83</v>
      </c>
      <c r="B51" s="120"/>
      <c r="C51" s="23">
        <f>[16]GtS!$G$15</f>
        <v>1</v>
      </c>
      <c r="D51" s="23">
        <f>[17]GtS!$G$15</f>
        <v>1</v>
      </c>
      <c r="E51" s="23">
        <f>[18]GtS!$G$15</f>
        <v>1</v>
      </c>
      <c r="F51" s="23">
        <f>[19]GtS!$G$15</f>
        <v>1</v>
      </c>
      <c r="G51" s="34">
        <f>[20]GtS!$G$15</f>
        <v>2</v>
      </c>
      <c r="H51" s="155">
        <f>IF('AW Schulen'!$B117=0,"x",C51/'AW Schulen'!$B117)</f>
        <v>4.3478260869565216E-2</v>
      </c>
      <c r="I51" s="155">
        <f>IF('AW Schulen'!$E117=0,"x",D51/'AW Schulen'!$E117)</f>
        <v>4.3478260869565216E-2</v>
      </c>
      <c r="J51" s="155">
        <f>IF('AW Schulen'!$H117=0,"x",E51/'AW Schulen'!$H117)</f>
        <v>4.5454545454545456E-2</v>
      </c>
      <c r="K51" s="155">
        <f>IF('AW Schulen'!$K117=0,"x",F51/'AW Schulen'!$K117)</f>
        <v>4.3478260869565216E-2</v>
      </c>
      <c r="L51" s="156">
        <f>IF('AW Schulen'!$N117=0,"x",G51/'AW Schulen'!$N117)</f>
        <v>8.3333333333333329E-2</v>
      </c>
    </row>
    <row r="52" spans="1:12" ht="9" customHeight="1">
      <c r="A52" s="21" t="s">
        <v>84</v>
      </c>
      <c r="B52" s="120"/>
      <c r="C52" s="23">
        <f>[21]GtS!$G$15</f>
        <v>22</v>
      </c>
      <c r="D52" s="23">
        <f>[22]GtS!$G$15</f>
        <v>22</v>
      </c>
      <c r="E52" s="23">
        <f>[23]GtS!$G$15</f>
        <v>22</v>
      </c>
      <c r="F52" s="23">
        <f>[24]GtS!$G$15</f>
        <v>23</v>
      </c>
      <c r="G52" s="34">
        <f>[25]GtS!$G$15</f>
        <v>22</v>
      </c>
      <c r="H52" s="155">
        <f>IF('AW Schulen'!$B118=0,"x",C52/'AW Schulen'!$B118)</f>
        <v>0.38596491228070173</v>
      </c>
      <c r="I52" s="155">
        <f>IF('AW Schulen'!$E118=0,"x",D52/'AW Schulen'!$E118)</f>
        <v>0.38596491228070173</v>
      </c>
      <c r="J52" s="155">
        <f>IF('AW Schulen'!$H118=0,"x",E52/'AW Schulen'!$H118)</f>
        <v>0.4</v>
      </c>
      <c r="K52" s="155">
        <f>IF('AW Schulen'!$K118=0,"x",F52/'AW Schulen'!$K118)</f>
        <v>0.40350877192982454</v>
      </c>
      <c r="L52" s="156">
        <f>IF('AW Schulen'!$N118=0,"x",G52/'AW Schulen'!$N118)</f>
        <v>0.41509433962264153</v>
      </c>
    </row>
    <row r="53" spans="1:12" ht="9" customHeight="1">
      <c r="A53" s="21" t="s">
        <v>85</v>
      </c>
      <c r="B53" s="120"/>
      <c r="C53" s="23">
        <f>[26]GtS!$G$15</f>
        <v>13</v>
      </c>
      <c r="D53" s="23">
        <f>[27]GtS!$G$15</f>
        <v>16</v>
      </c>
      <c r="E53" s="23">
        <f>[28]GtS!$G$15</f>
        <v>19</v>
      </c>
      <c r="F53" s="23">
        <f>[29]GtS!$G$15</f>
        <v>19</v>
      </c>
      <c r="G53" s="34">
        <f>[30]GtS!$G$15</f>
        <v>21</v>
      </c>
      <c r="H53" s="155">
        <f>IF('AW Schulen'!$B119=0,"x",C53/'AW Schulen'!$B119)</f>
        <v>0.21666666666666667</v>
      </c>
      <c r="I53" s="155">
        <f>IF('AW Schulen'!$E119=0,"x",D53/'AW Schulen'!$E119)</f>
        <v>0.26229508196721313</v>
      </c>
      <c r="J53" s="155">
        <f>IF('AW Schulen'!$H119=0,"x",E53/'AW Schulen'!$H119)</f>
        <v>0.32203389830508472</v>
      </c>
      <c r="K53" s="155">
        <f>IF('AW Schulen'!$K119=0,"x",F53/'AW Schulen'!$K119)</f>
        <v>0.31666666666666665</v>
      </c>
      <c r="L53" s="156">
        <f>IF('AW Schulen'!$N119=0,"x",G53/'AW Schulen'!$N119)</f>
        <v>0.34426229508196721</v>
      </c>
    </row>
    <row r="54" spans="1:12" ht="9" customHeight="1">
      <c r="A54" s="21" t="s">
        <v>86</v>
      </c>
      <c r="B54" s="120"/>
      <c r="C54" s="23">
        <f>[66]GtS!$G$15</f>
        <v>0</v>
      </c>
      <c r="D54" s="23">
        <f>[67]GtS!$G$15</f>
        <v>0</v>
      </c>
      <c r="E54" s="23">
        <f>[68]GtS!$G$15</f>
        <v>0</v>
      </c>
      <c r="F54" s="23">
        <f>[69]GtS!$G$15</f>
        <v>0</v>
      </c>
      <c r="G54" s="34">
        <f>[70]GtS!$G$15</f>
        <v>0</v>
      </c>
      <c r="H54" s="155">
        <f>IF('AW Schulen'!$B120=0,"x",C54/'AW Schulen'!$B120)</f>
        <v>0</v>
      </c>
      <c r="I54" s="155">
        <f>IF('AW Schulen'!$E120=0,"x",D54/'AW Schulen'!$E120)</f>
        <v>0</v>
      </c>
      <c r="J54" s="155">
        <f>IF('AW Schulen'!$H120=0,"x",E54/'AW Schulen'!$H120)</f>
        <v>0</v>
      </c>
      <c r="K54" s="155">
        <f>IF('AW Schulen'!$K120=0,"x",F54/'AW Schulen'!$K120)</f>
        <v>0</v>
      </c>
      <c r="L54" s="156">
        <f>IF('AW Schulen'!$N120=0,"x",G54/'AW Schulen'!$N120)</f>
        <v>0</v>
      </c>
    </row>
    <row r="55" spans="1:12" ht="9" customHeight="1">
      <c r="A55" s="21" t="s">
        <v>87</v>
      </c>
      <c r="B55" s="120"/>
      <c r="C55" s="23">
        <f>[31]GtS!$G$15</f>
        <v>4</v>
      </c>
      <c r="D55" s="23">
        <f>[32]GtS!$G$15</f>
        <v>4</v>
      </c>
      <c r="E55" s="23">
        <f>[33]GtS!$G$15</f>
        <v>4</v>
      </c>
      <c r="F55" s="23">
        <f>[34]GtS!$G$15</f>
        <v>3</v>
      </c>
      <c r="G55" s="34">
        <f>[35]GtS!$G$15</f>
        <v>4</v>
      </c>
      <c r="H55" s="155">
        <f>IF('AW Schulen'!$B121=0,"x",C55/'AW Schulen'!$B121)</f>
        <v>0.36363636363636365</v>
      </c>
      <c r="I55" s="155">
        <f>IF('AW Schulen'!$E121=0,"x",D55/'AW Schulen'!$E121)</f>
        <v>0.36363636363636365</v>
      </c>
      <c r="J55" s="155">
        <f>IF('AW Schulen'!$H121=0,"x",E55/'AW Schulen'!$H121)</f>
        <v>0.4</v>
      </c>
      <c r="K55" s="155">
        <f>IF('AW Schulen'!$K121=0,"x",F55/'AW Schulen'!$K121)</f>
        <v>0.3</v>
      </c>
      <c r="L55" s="156">
        <f>IF('AW Schulen'!$N121=0,"x",G55/'AW Schulen'!$N121)</f>
        <v>0.44444444444444442</v>
      </c>
    </row>
    <row r="56" spans="1:12" ht="9" customHeight="1">
      <c r="A56" s="21" t="s">
        <v>88</v>
      </c>
      <c r="B56" s="120"/>
      <c r="C56" s="23">
        <f>[71]GtS!$G$15</f>
        <v>8</v>
      </c>
      <c r="D56" s="23">
        <f>[72]GtS!$G$15</f>
        <v>8</v>
      </c>
      <c r="E56" s="23">
        <f>[73]GtS!$G$15</f>
        <v>27</v>
      </c>
      <c r="F56" s="23">
        <f>[74]GtS!$G$15</f>
        <v>45</v>
      </c>
      <c r="G56" s="34">
        <f>[75]GtS!$G$15</f>
        <v>51</v>
      </c>
      <c r="H56" s="155">
        <f>IF('AW Schulen'!$B122=0,"x",C56/'AW Schulen'!$B122)</f>
        <v>0.12121212121212122</v>
      </c>
      <c r="I56" s="155">
        <f>IF('AW Schulen'!$E122=0,"x",D56/'AW Schulen'!$E122)</f>
        <v>0.11267605633802817</v>
      </c>
      <c r="J56" s="155">
        <f>IF('AW Schulen'!$H122=0,"x",E56/'AW Schulen'!$H122)</f>
        <v>0.33333333333333331</v>
      </c>
      <c r="K56" s="155">
        <f>IF('AW Schulen'!$K122=0,"x",F56/'AW Schulen'!$K122)</f>
        <v>0.51724137931034486</v>
      </c>
      <c r="L56" s="156">
        <f>IF('AW Schulen'!$N122=0,"x",G56/'AW Schulen'!$N122)</f>
        <v>0.56043956043956045</v>
      </c>
    </row>
    <row r="57" spans="1:12" ht="9" customHeight="1">
      <c r="A57" s="21" t="s">
        <v>89</v>
      </c>
      <c r="B57" s="120"/>
      <c r="C57" s="23">
        <f>[36]GtS!$G$15</f>
        <v>0</v>
      </c>
      <c r="D57" s="23">
        <f>[37]GtS!$G$15</f>
        <v>0</v>
      </c>
      <c r="E57" s="23">
        <f>[38]GtS!$G$15</f>
        <v>3</v>
      </c>
      <c r="F57" s="23">
        <f>[39]GtS!$G$15</f>
        <v>2</v>
      </c>
      <c r="G57" s="34">
        <f>[40]GtS!$G$15</f>
        <v>2</v>
      </c>
      <c r="H57" s="155">
        <f>IF('AW Schulen'!$B123=0,"x",C57/'AW Schulen'!$B123)</f>
        <v>0</v>
      </c>
      <c r="I57" s="155">
        <f>IF('AW Schulen'!$E123=0,"x",D57/'AW Schulen'!$E123)</f>
        <v>0</v>
      </c>
      <c r="J57" s="155">
        <f>IF('AW Schulen'!$H123=0,"x",E57/'AW Schulen'!$H123)</f>
        <v>1.0563380281690141E-2</v>
      </c>
      <c r="K57" s="155">
        <f>IF('AW Schulen'!$K123=0,"x",F57/'AW Schulen'!$K123)</f>
        <v>6.8493150684931503E-3</v>
      </c>
      <c r="L57" s="156">
        <f>IF('AW Schulen'!$N123=0,"x",G57/'AW Schulen'!$N123)</f>
        <v>6.6445182724252493E-3</v>
      </c>
    </row>
    <row r="58" spans="1:12" ht="9" customHeight="1">
      <c r="A58" s="21" t="s">
        <v>90</v>
      </c>
      <c r="B58" s="120"/>
      <c r="C58" s="23">
        <f>[41]GtS!$G$15</f>
        <v>46</v>
      </c>
      <c r="D58" s="23">
        <f>[42]GtS!$G$15</f>
        <v>47</v>
      </c>
      <c r="E58" s="23">
        <f>[43]GtS!$G$15</f>
        <v>47</v>
      </c>
      <c r="F58" s="23">
        <f>[44]GtS!$G$15</f>
        <v>47</v>
      </c>
      <c r="G58" s="34">
        <f>[45]GtS!$G$15</f>
        <v>49</v>
      </c>
      <c r="H58" s="155">
        <f>IF('AW Schulen'!$B124=0,"x",C58/'AW Schulen'!$B124)</f>
        <v>0.86792452830188682</v>
      </c>
      <c r="I58" s="155">
        <f>IF('AW Schulen'!$E124=0,"x",D58/'AW Schulen'!$E124)</f>
        <v>0.87037037037037035</v>
      </c>
      <c r="J58" s="155">
        <f>IF('AW Schulen'!$H124=0,"x",E58/'AW Schulen'!$H124)</f>
        <v>0.87037037037037035</v>
      </c>
      <c r="K58" s="155">
        <f>IF('AW Schulen'!$K124=0,"x",F58/'AW Schulen'!$K124)</f>
        <v>0.87037037037037035</v>
      </c>
      <c r="L58" s="156">
        <f>IF('AW Schulen'!$N124=0,"x",G58/'AW Schulen'!$N124)</f>
        <v>0.90740740740740744</v>
      </c>
    </row>
    <row r="59" spans="1:12" ht="9" customHeight="1">
      <c r="A59" s="21" t="s">
        <v>91</v>
      </c>
      <c r="B59" s="120"/>
      <c r="C59" s="23">
        <f>[46]GtS!$G$15</f>
        <v>1</v>
      </c>
      <c r="D59" s="23">
        <f>[47]GtS!$G$15</f>
        <v>1</v>
      </c>
      <c r="E59" s="23">
        <f>[48]GtS!$G$15</f>
        <v>7</v>
      </c>
      <c r="F59" s="23">
        <f>[49]GtS!$G$15</f>
        <v>7</v>
      </c>
      <c r="G59" s="34">
        <f>[50]GtS!$G$15</f>
        <v>6</v>
      </c>
      <c r="H59" s="155">
        <f>IF('AW Schulen'!$B125=0,"x",C59/'AW Schulen'!$B125)</f>
        <v>5.8823529411764705E-2</v>
      </c>
      <c r="I59" s="155">
        <f>IF('AW Schulen'!$E125=0,"x",D59/'AW Schulen'!$E125)</f>
        <v>5.8823529411764705E-2</v>
      </c>
      <c r="J59" s="155">
        <f>IF('AW Schulen'!$H125=0,"x",E59/'AW Schulen'!$H125)</f>
        <v>0.109375</v>
      </c>
      <c r="K59" s="155">
        <f>IF('AW Schulen'!$K125=0,"x",F59/'AW Schulen'!$K125)</f>
        <v>0.11666666666666667</v>
      </c>
      <c r="L59" s="156">
        <f>IF('AW Schulen'!$N125=0,"x",G59/'AW Schulen'!$N125)</f>
        <v>0.10344827586206896</v>
      </c>
    </row>
    <row r="60" spans="1:12" ht="9" customHeight="1">
      <c r="A60" s="21" t="s">
        <v>92</v>
      </c>
      <c r="B60" s="120"/>
      <c r="C60" s="151">
        <f>[51]GtS!$G$15</f>
        <v>0</v>
      </c>
      <c r="D60" s="151">
        <f>[52]GtS!$G$15</f>
        <v>0</v>
      </c>
      <c r="E60" s="151">
        <f>[53]GtS!$G$15</f>
        <v>0</v>
      </c>
      <c r="F60" s="151">
        <f>[54]GtS!$G$15</f>
        <v>0</v>
      </c>
      <c r="G60" s="152">
        <f>[55]GtS!$G$15</f>
        <v>0</v>
      </c>
      <c r="H60" s="155" t="str">
        <f>IF('AW Schulen'!$B126=0,"x",C60/'AW Schulen'!$B126)</f>
        <v>x</v>
      </c>
      <c r="I60" s="155" t="str">
        <f>IF('AW Schulen'!$E126=0,"x",D60/'AW Schulen'!$E126)</f>
        <v>x</v>
      </c>
      <c r="J60" s="155" t="str">
        <f>IF('AW Schulen'!$H126=0,"x",E60/'AW Schulen'!$H126)</f>
        <v>x</v>
      </c>
      <c r="K60" s="155" t="str">
        <f>IF('AW Schulen'!$K126=0,"x",F60/'AW Schulen'!$K126)</f>
        <v>x</v>
      </c>
      <c r="L60" s="156" t="str">
        <f>IF('AW Schulen'!$N126=0,"x",G60/'AW Schulen'!$N126)</f>
        <v>x</v>
      </c>
    </row>
    <row r="61" spans="1:12" ht="9" customHeight="1">
      <c r="A61" s="21" t="s">
        <v>93</v>
      </c>
      <c r="B61" s="120"/>
      <c r="C61" s="23">
        <f>[76]GtS!$G$15</f>
        <v>0</v>
      </c>
      <c r="D61" s="23">
        <f>[77]GtS!$G$15</f>
        <v>0</v>
      </c>
      <c r="E61" s="23">
        <f>[78]GtS!$G$15</f>
        <v>3</v>
      </c>
      <c r="F61" s="23">
        <f>[79]GtS!$G$15</f>
        <v>5</v>
      </c>
      <c r="G61" s="34">
        <f>[80]GtS!$G$15</f>
        <v>6</v>
      </c>
      <c r="H61" s="155">
        <f>IF('AW Schulen'!$B127=0,"x",C61/'AW Schulen'!$B127)</f>
        <v>0</v>
      </c>
      <c r="I61" s="155">
        <f>IF('AW Schulen'!$E127=0,"x",D61/'AW Schulen'!$E127)</f>
        <v>0</v>
      </c>
      <c r="J61" s="155">
        <f>IF('AW Schulen'!$H127=0,"x",E61/'AW Schulen'!$H127)</f>
        <v>0.15789473684210525</v>
      </c>
      <c r="K61" s="155">
        <f>IF('AW Schulen'!$K127=0,"x",F61/'AW Schulen'!$K127)</f>
        <v>0.17241379310344829</v>
      </c>
      <c r="L61" s="156">
        <f>IF('AW Schulen'!$N127=0,"x",G61/'AW Schulen'!$N127)</f>
        <v>0.17647058823529413</v>
      </c>
    </row>
    <row r="62" spans="1:12" ht="9" customHeight="1">
      <c r="A62" s="21" t="s">
        <v>143</v>
      </c>
      <c r="B62" s="120"/>
      <c r="C62" s="23">
        <f>[56]GtS!$G$15</f>
        <v>19</v>
      </c>
      <c r="D62" s="23">
        <f>[57]GtS!$G$15</f>
        <v>19</v>
      </c>
      <c r="E62" s="23">
        <f>[58]GtS!$G$15</f>
        <v>19</v>
      </c>
      <c r="F62" s="23">
        <f>[59]GtS!$G$15</f>
        <v>21</v>
      </c>
      <c r="G62" s="34">
        <f>[60]GtS!$G$15</f>
        <v>29</v>
      </c>
      <c r="H62" s="155">
        <f>IF('AW Schulen'!$B128=0,"x",C62/'AW Schulen'!$B128)</f>
        <v>0.13868613138686131</v>
      </c>
      <c r="I62" s="155">
        <f>IF('AW Schulen'!$E128=0,"x",D62/'AW Schulen'!$E128)</f>
        <v>0.12751677852348994</v>
      </c>
      <c r="J62" s="155">
        <f>IF('AW Schulen'!$H128=0,"x",E62/'AW Schulen'!$H128)</f>
        <v>9.7435897435897437E-2</v>
      </c>
      <c r="K62" s="155">
        <f>IF('AW Schulen'!$K128=0,"x",F62/'AW Schulen'!$K128)</f>
        <v>8.3003952569169967E-2</v>
      </c>
      <c r="L62" s="156">
        <f>IF('AW Schulen'!$N128=0,"x",G62/'AW Schulen'!$N128)</f>
        <v>9.8305084745762716E-2</v>
      </c>
    </row>
    <row r="63" spans="1:12" ht="9" customHeight="1">
      <c r="A63" s="21" t="s">
        <v>95</v>
      </c>
      <c r="B63" s="120"/>
      <c r="C63" s="23">
        <f>[61]GtS!$G$15</f>
        <v>5</v>
      </c>
      <c r="D63" s="23">
        <f>[62]GtS!$G$15</f>
        <v>9</v>
      </c>
      <c r="E63" s="23">
        <f>[63]GtS!$G$15</f>
        <v>18</v>
      </c>
      <c r="F63" s="23">
        <f>[64]GtS!$G$15</f>
        <v>22</v>
      </c>
      <c r="G63" s="34">
        <f>[65]GtS!$G$15</f>
        <v>26</v>
      </c>
      <c r="H63" s="155">
        <f>IF('AW Schulen'!$B129=0,"x",C63/'AW Schulen'!$B129)</f>
        <v>0.27777777777777779</v>
      </c>
      <c r="I63" s="155">
        <f>IF('AW Schulen'!$E129=0,"x",D63/'AW Schulen'!$E129)</f>
        <v>0.36</v>
      </c>
      <c r="J63" s="155">
        <f>IF('AW Schulen'!$H129=0,"x",E63/'AW Schulen'!$H129)</f>
        <v>0.5625</v>
      </c>
      <c r="K63" s="155">
        <f>IF('AW Schulen'!$K129=0,"x",F63/'AW Schulen'!$K129)</f>
        <v>0.5641025641025641</v>
      </c>
      <c r="L63" s="156">
        <f>IF('AW Schulen'!$N129=0,"x",G63/'AW Schulen'!$N129)</f>
        <v>0.55319148936170215</v>
      </c>
    </row>
    <row r="64" spans="1:12" ht="8.65" customHeight="1">
      <c r="A64" s="21" t="s">
        <v>96</v>
      </c>
      <c r="B64" s="120"/>
      <c r="C64" s="23">
        <f t="shared" ref="C64:E64" si="37">SUM(C48:C63)</f>
        <v>188</v>
      </c>
      <c r="D64" s="23">
        <f t="shared" si="37"/>
        <v>187</v>
      </c>
      <c r="E64" s="23">
        <f t="shared" si="37"/>
        <v>245</v>
      </c>
      <c r="F64" s="23">
        <f t="shared" ref="F64:G64" si="38">SUM(F48:F63)</f>
        <v>284</v>
      </c>
      <c r="G64" s="34">
        <f t="shared" si="38"/>
        <v>286</v>
      </c>
      <c r="H64" s="155">
        <f>IF('AW Schulen'!$B130=0,"x",C64/'AW Schulen'!$B130)</f>
        <v>0.19381443298969073</v>
      </c>
      <c r="I64" s="155">
        <f>IF('AW Schulen'!$E130=0,"x",D64/'AW Schulen'!$E130)</f>
        <v>0.15780590717299578</v>
      </c>
      <c r="J64" s="155">
        <f>IF('AW Schulen'!$H130=0,"x",E64/'AW Schulen'!$H130)</f>
        <v>0.16520566419420094</v>
      </c>
      <c r="K64" s="155">
        <f>IF('AW Schulen'!$K130=0,"x",F64/'AW Schulen'!$K130)</f>
        <v>0.16904761904761906</v>
      </c>
      <c r="L64" s="156">
        <f>IF('AW Schulen'!$N130=0,"x",G64/'AW Schulen'!$N130)</f>
        <v>0.15977653631284916</v>
      </c>
    </row>
    <row r="65" spans="1:12" ht="12.6" customHeight="1">
      <c r="A65" s="391" t="s">
        <v>100</v>
      </c>
      <c r="B65" s="392"/>
      <c r="C65" s="392"/>
      <c r="D65" s="392"/>
      <c r="E65" s="392"/>
      <c r="F65" s="392"/>
      <c r="G65" s="392"/>
      <c r="H65" s="392"/>
      <c r="I65" s="392"/>
      <c r="J65" s="392"/>
      <c r="K65" s="392"/>
      <c r="L65" s="393"/>
    </row>
    <row r="66" spans="1:12" ht="10.15" customHeight="1">
      <c r="A66" s="224" t="s">
        <v>172</v>
      </c>
      <c r="B66" s="120"/>
      <c r="C66" s="23">
        <f>[1]GtS!$H$15</f>
        <v>8</v>
      </c>
      <c r="D66" s="23">
        <f>[2]GtS!$H$15</f>
        <v>34</v>
      </c>
      <c r="E66" s="23">
        <f>[3]GtS!$H$15</f>
        <v>68</v>
      </c>
      <c r="F66" s="23">
        <f>[4]GtS!$H$15</f>
        <v>89</v>
      </c>
      <c r="G66" s="34">
        <f>[5]GtS!$H$15</f>
        <v>98</v>
      </c>
      <c r="H66" s="155">
        <f>IF('AW Schulen'!$B114=0,"x",C66/'AW Schulen'!$B114)</f>
        <v>0.10126582278481013</v>
      </c>
      <c r="I66" s="155">
        <f>IF('AW Schulen'!$E114=0,"x",D66/'AW Schulen'!$E114)</f>
        <v>0.1440677966101695</v>
      </c>
      <c r="J66" s="155">
        <f>IF('AW Schulen'!$H114=0,"x",E66/'AW Schulen'!$H114)</f>
        <v>0.17847769028871391</v>
      </c>
      <c r="K66" s="155">
        <f>IF('AW Schulen'!$K114=0,"x",F66/'AW Schulen'!$K114)</f>
        <v>0.18388429752066116</v>
      </c>
      <c r="L66" s="156">
        <f>IF('AW Schulen'!$N114=0,"x",G66/'AW Schulen'!$N114)</f>
        <v>0.18525519848771266</v>
      </c>
    </row>
    <row r="67" spans="1:12" ht="10.15" customHeight="1">
      <c r="A67" s="224" t="s">
        <v>81</v>
      </c>
      <c r="B67" s="120"/>
      <c r="C67" s="23">
        <f>[6]GtS!$H$15</f>
        <v>1</v>
      </c>
      <c r="D67" s="23">
        <f>[7]GtS!$H$15</f>
        <v>0</v>
      </c>
      <c r="E67" s="23">
        <f>[8]GtS!$H$15</f>
        <v>0</v>
      </c>
      <c r="F67" s="23" t="str">
        <f>[9]GtS!$H$15</f>
        <v xml:space="preserve">                                      -   </v>
      </c>
      <c r="G67" s="34">
        <f>[10]GtS!$H$15</f>
        <v>0</v>
      </c>
      <c r="H67" s="155">
        <f>IF('AW Schulen'!$B115=0,"x",C67/'AW Schulen'!$B115)</f>
        <v>0.5</v>
      </c>
      <c r="I67" s="155">
        <f>IF('AW Schulen'!$E115=0,"x",D67/'AW Schulen'!$E115)</f>
        <v>0</v>
      </c>
      <c r="J67" s="155">
        <f>IF('AW Schulen'!$H115=0,"x",E67/'AW Schulen'!$H115)</f>
        <v>0</v>
      </c>
      <c r="K67" s="155" t="e">
        <f>IF('AW Schulen'!$K115=0,"x",F67/'AW Schulen'!$K115)</f>
        <v>#VALUE!</v>
      </c>
      <c r="L67" s="156">
        <f>IF('AW Schulen'!$N115=0,"x",G67/'AW Schulen'!$N115)</f>
        <v>0</v>
      </c>
    </row>
    <row r="68" spans="1:12" ht="10.15" customHeight="1">
      <c r="A68" s="224" t="s">
        <v>82</v>
      </c>
      <c r="B68" s="120"/>
      <c r="C68" s="23">
        <f>[11]GtS!$H$15</f>
        <v>17</v>
      </c>
      <c r="D68" s="23">
        <f>[12]GtS!$H$15</f>
        <v>26</v>
      </c>
      <c r="E68" s="23">
        <f>[13]GtS!$H$15</f>
        <v>16</v>
      </c>
      <c r="F68" s="23">
        <f>[14]GtS!$H$15</f>
        <v>19</v>
      </c>
      <c r="G68" s="34">
        <f>[15]GtS!$H$15</f>
        <v>20</v>
      </c>
      <c r="H68" s="155">
        <f>IF('AW Schulen'!$B116=0,"x",C68/'AW Schulen'!$B116)</f>
        <v>0.14049586776859505</v>
      </c>
      <c r="I68" s="155">
        <f>IF('AW Schulen'!$E116=0,"x",D68/'AW Schulen'!$E116)</f>
        <v>0.21487603305785125</v>
      </c>
      <c r="J68" s="155">
        <f>IF('AW Schulen'!$H116=0,"x",E68/'AW Schulen'!$H116)</f>
        <v>0.12307692307692308</v>
      </c>
      <c r="K68" s="155">
        <f>IF('AW Schulen'!$K116=0,"x",F68/'AW Schulen'!$K116)</f>
        <v>0.14285714285714285</v>
      </c>
      <c r="L68" s="156">
        <f>IF('AW Schulen'!$N116=0,"x",G68/'AW Schulen'!$N116)</f>
        <v>0.15037593984962405</v>
      </c>
    </row>
    <row r="69" spans="1:12" ht="9" customHeight="1">
      <c r="A69" s="21" t="s">
        <v>83</v>
      </c>
      <c r="B69" s="120"/>
      <c r="C69" s="23">
        <f>[16]GtS!$H$15</f>
        <v>5</v>
      </c>
      <c r="D69" s="23">
        <f>[17]GtS!$H$15</f>
        <v>5</v>
      </c>
      <c r="E69" s="23">
        <f>[18]GtS!$H$15</f>
        <v>4</v>
      </c>
      <c r="F69" s="23">
        <f>[19]GtS!$H$15</f>
        <v>4</v>
      </c>
      <c r="G69" s="34">
        <f>[20]GtS!$H$15</f>
        <v>4</v>
      </c>
      <c r="H69" s="155">
        <f>IF('AW Schulen'!$B117=0,"x",C69/'AW Schulen'!$B117)</f>
        <v>0.21739130434782608</v>
      </c>
      <c r="I69" s="155">
        <f>IF('AW Schulen'!$E117=0,"x",D69/'AW Schulen'!$E117)</f>
        <v>0.21739130434782608</v>
      </c>
      <c r="J69" s="155">
        <f>IF('AW Schulen'!$H117=0,"x",E69/'AW Schulen'!$H117)</f>
        <v>0.18181818181818182</v>
      </c>
      <c r="K69" s="155">
        <f>IF('AW Schulen'!$K117=0,"x",F69/'AW Schulen'!$K117)</f>
        <v>0.17391304347826086</v>
      </c>
      <c r="L69" s="156">
        <f>IF('AW Schulen'!$N117=0,"x",G69/'AW Schulen'!$N117)</f>
        <v>0.16666666666666666</v>
      </c>
    </row>
    <row r="70" spans="1:12" ht="9" customHeight="1">
      <c r="A70" s="21" t="s">
        <v>84</v>
      </c>
      <c r="B70" s="120"/>
      <c r="C70" s="23">
        <f>[21]GtS!$H$15</f>
        <v>3</v>
      </c>
      <c r="D70" s="23">
        <f>[22]GtS!$H$15</f>
        <v>4</v>
      </c>
      <c r="E70" s="23">
        <f>[23]GtS!$H$15</f>
        <v>4</v>
      </c>
      <c r="F70" s="23">
        <f>[24]GtS!$H$15</f>
        <v>4</v>
      </c>
      <c r="G70" s="34">
        <f>[25]GtS!$H$15</f>
        <v>4</v>
      </c>
      <c r="H70" s="155">
        <f>IF('AW Schulen'!$B118=0,"x",C70/'AW Schulen'!$B118)</f>
        <v>5.2631578947368418E-2</v>
      </c>
      <c r="I70" s="155">
        <f>IF('AW Schulen'!$E118=0,"x",D70/'AW Schulen'!$E118)</f>
        <v>7.0175438596491224E-2</v>
      </c>
      <c r="J70" s="155">
        <f>IF('AW Schulen'!$H118=0,"x",E70/'AW Schulen'!$H118)</f>
        <v>7.2727272727272724E-2</v>
      </c>
      <c r="K70" s="155">
        <f>IF('AW Schulen'!$K118=0,"x",F70/'AW Schulen'!$K118)</f>
        <v>7.0175438596491224E-2</v>
      </c>
      <c r="L70" s="156">
        <f>IF('AW Schulen'!$N118=0,"x",G70/'AW Schulen'!$N118)</f>
        <v>7.5471698113207544E-2</v>
      </c>
    </row>
    <row r="71" spans="1:12" ht="9" customHeight="1">
      <c r="A71" s="21" t="s">
        <v>85</v>
      </c>
      <c r="B71" s="120"/>
      <c r="C71" s="23">
        <f>[26]GtS!$H$15</f>
        <v>11</v>
      </c>
      <c r="D71" s="23">
        <f>[27]GtS!$H$15</f>
        <v>9</v>
      </c>
      <c r="E71" s="23">
        <f>[28]GtS!$H$15</f>
        <v>12</v>
      </c>
      <c r="F71" s="23">
        <f>[29]GtS!$H$15</f>
        <v>14</v>
      </c>
      <c r="G71" s="34">
        <f>[30]GtS!$H$15</f>
        <v>12</v>
      </c>
      <c r="H71" s="155">
        <f>IF('AW Schulen'!$B119=0,"x",C71/'AW Schulen'!$B119)</f>
        <v>0.18333333333333332</v>
      </c>
      <c r="I71" s="155">
        <f>IF('AW Schulen'!$E119=0,"x",D71/'AW Schulen'!$E119)</f>
        <v>0.14754098360655737</v>
      </c>
      <c r="J71" s="155">
        <f>IF('AW Schulen'!$H119=0,"x",E71/'AW Schulen'!$H119)</f>
        <v>0.20338983050847459</v>
      </c>
      <c r="K71" s="155">
        <f>IF('AW Schulen'!$K119=0,"x",F71/'AW Schulen'!$K119)</f>
        <v>0.23333333333333334</v>
      </c>
      <c r="L71" s="156">
        <f>IF('AW Schulen'!$N119=0,"x",G71/'AW Schulen'!$N119)</f>
        <v>0.19672131147540983</v>
      </c>
    </row>
    <row r="72" spans="1:12" ht="9" customHeight="1">
      <c r="A72" s="21" t="s">
        <v>86</v>
      </c>
      <c r="B72" s="120"/>
      <c r="C72" s="23">
        <f>[66]GtS!$H$15</f>
        <v>80</v>
      </c>
      <c r="D72" s="23">
        <f>[67]GtS!$H$15</f>
        <v>81</v>
      </c>
      <c r="E72" s="23">
        <f>[68]GtS!$H$15</f>
        <v>82</v>
      </c>
      <c r="F72" s="23">
        <f>[69]GtS!$H$15</f>
        <v>82</v>
      </c>
      <c r="G72" s="34">
        <f>[70]GtS!$H$15</f>
        <v>83</v>
      </c>
      <c r="H72" s="155">
        <f>IF('AW Schulen'!$B120=0,"x",C72/'AW Schulen'!$B120)</f>
        <v>0.87912087912087911</v>
      </c>
      <c r="I72" s="155">
        <f>IF('AW Schulen'!$E120=0,"x",D72/'AW Schulen'!$E120)</f>
        <v>0.86170212765957444</v>
      </c>
      <c r="J72" s="155">
        <f>IF('AW Schulen'!$H120=0,"x",E72/'AW Schulen'!$H120)</f>
        <v>0.86315789473684212</v>
      </c>
      <c r="K72" s="155">
        <f>IF('AW Schulen'!$K120=0,"x",F72/'AW Schulen'!$K120)</f>
        <v>0.84536082474226804</v>
      </c>
      <c r="L72" s="156">
        <f>IF('AW Schulen'!$N120=0,"x",G72/'AW Schulen'!$N120)</f>
        <v>0.83838383838383834</v>
      </c>
    </row>
    <row r="73" spans="1:12" ht="9" customHeight="1">
      <c r="A73" s="21" t="s">
        <v>87</v>
      </c>
      <c r="B73" s="120"/>
      <c r="C73" s="23">
        <f>[31]GtS!$H$15</f>
        <v>1</v>
      </c>
      <c r="D73" s="23">
        <f>[32]GtS!$H$15</f>
        <v>1</v>
      </c>
      <c r="E73" s="23">
        <f>[33]GtS!$H$15</f>
        <v>1</v>
      </c>
      <c r="F73" s="23">
        <f>[34]GtS!$H$15</f>
        <v>1</v>
      </c>
      <c r="G73" s="34">
        <f>[35]GtS!$H$15</f>
        <v>0</v>
      </c>
      <c r="H73" s="155">
        <f>IF('AW Schulen'!$B121=0,"x",C73/'AW Schulen'!$B121)</f>
        <v>9.0909090909090912E-2</v>
      </c>
      <c r="I73" s="155">
        <f>IF('AW Schulen'!$E121=0,"x",D73/'AW Schulen'!$E121)</f>
        <v>9.0909090909090912E-2</v>
      </c>
      <c r="J73" s="155">
        <f>IF('AW Schulen'!$H121=0,"x",E73/'AW Schulen'!$H121)</f>
        <v>0.1</v>
      </c>
      <c r="K73" s="155">
        <f>IF('AW Schulen'!$K121=0,"x",F73/'AW Schulen'!$K121)</f>
        <v>0.1</v>
      </c>
      <c r="L73" s="156">
        <f>IF('AW Schulen'!$N121=0,"x",G73/'AW Schulen'!$N121)</f>
        <v>0</v>
      </c>
    </row>
    <row r="74" spans="1:12" ht="9" customHeight="1">
      <c r="A74" s="21" t="s">
        <v>88</v>
      </c>
      <c r="B74" s="120"/>
      <c r="C74" s="23">
        <f>[71]GtS!$H$15</f>
        <v>34</v>
      </c>
      <c r="D74" s="23">
        <f>[72]GtS!$H$15</f>
        <v>39</v>
      </c>
      <c r="E74" s="23">
        <f>[73]GtS!$H$15</f>
        <v>23</v>
      </c>
      <c r="F74" s="23">
        <f>[74]GtS!$H$15</f>
        <v>5</v>
      </c>
      <c r="G74" s="34">
        <f>[75]GtS!$H$15</f>
        <v>4</v>
      </c>
      <c r="H74" s="155">
        <f>IF('AW Schulen'!$B122=0,"x",C74/'AW Schulen'!$B122)</f>
        <v>0.51515151515151514</v>
      </c>
      <c r="I74" s="155">
        <f>IF('AW Schulen'!$E122=0,"x",D74/'AW Schulen'!$E122)</f>
        <v>0.54929577464788737</v>
      </c>
      <c r="J74" s="155">
        <f>IF('AW Schulen'!$H122=0,"x",E74/'AW Schulen'!$H122)</f>
        <v>0.2839506172839506</v>
      </c>
      <c r="K74" s="155">
        <f>IF('AW Schulen'!$K122=0,"x",F74/'AW Schulen'!$K122)</f>
        <v>5.7471264367816091E-2</v>
      </c>
      <c r="L74" s="156">
        <f>IF('AW Schulen'!$N122=0,"x",G74/'AW Schulen'!$N122)</f>
        <v>4.3956043956043959E-2</v>
      </c>
    </row>
    <row r="75" spans="1:12" ht="9" customHeight="1">
      <c r="A75" s="21" t="s">
        <v>89</v>
      </c>
      <c r="B75" s="120"/>
      <c r="C75" s="23">
        <f>[36]GtS!$H$15</f>
        <v>0</v>
      </c>
      <c r="D75" s="23">
        <f>[37]GtS!$H$15</f>
        <v>1</v>
      </c>
      <c r="E75" s="23">
        <f>[38]GtS!$H$15</f>
        <v>2</v>
      </c>
      <c r="F75" s="23">
        <f>[39]GtS!$H$15</f>
        <v>2</v>
      </c>
      <c r="G75" s="34">
        <f>[40]GtS!$H$15</f>
        <v>2</v>
      </c>
      <c r="H75" s="155">
        <f>IF('AW Schulen'!$B123=0,"x",C75/'AW Schulen'!$B123)</f>
        <v>0</v>
      </c>
      <c r="I75" s="155">
        <f>IF('AW Schulen'!$E123=0,"x",D75/'AW Schulen'!$E123)</f>
        <v>3.8314176245210726E-3</v>
      </c>
      <c r="J75" s="155">
        <f>IF('AW Schulen'!$H123=0,"x",E75/'AW Schulen'!$H123)</f>
        <v>7.0422535211267607E-3</v>
      </c>
      <c r="K75" s="155">
        <f>IF('AW Schulen'!$K123=0,"x",F75/'AW Schulen'!$K123)</f>
        <v>6.8493150684931503E-3</v>
      </c>
      <c r="L75" s="156">
        <f>IF('AW Schulen'!$N123=0,"x",G75/'AW Schulen'!$N123)</f>
        <v>6.6445182724252493E-3</v>
      </c>
    </row>
    <row r="76" spans="1:12" ht="9" customHeight="1">
      <c r="A76" s="21" t="s">
        <v>90</v>
      </c>
      <c r="B76" s="120"/>
      <c r="C76" s="23">
        <f>[41]GtS!$H$15</f>
        <v>0</v>
      </c>
      <c r="D76" s="23">
        <f>[42]GtS!$H$15</f>
        <v>0</v>
      </c>
      <c r="E76" s="23">
        <f>[43]GtS!$H$15</f>
        <v>0</v>
      </c>
      <c r="F76" s="23">
        <f>[44]GtS!$H$15</f>
        <v>0</v>
      </c>
      <c r="G76" s="34">
        <f>[45]GtS!$H$15</f>
        <v>0</v>
      </c>
      <c r="H76" s="155">
        <f>IF('AW Schulen'!$B124=0,"x",C76/'AW Schulen'!$B124)</f>
        <v>0</v>
      </c>
      <c r="I76" s="155">
        <f>IF('AW Schulen'!$E124=0,"x",D76/'AW Schulen'!$E124)</f>
        <v>0</v>
      </c>
      <c r="J76" s="155">
        <f>IF('AW Schulen'!$H124=0,"x",E76/'AW Schulen'!$H124)</f>
        <v>0</v>
      </c>
      <c r="K76" s="155">
        <f>IF('AW Schulen'!$K124=0,"x",F76/'AW Schulen'!$K124)</f>
        <v>0</v>
      </c>
      <c r="L76" s="156">
        <f>IF('AW Schulen'!$N124=0,"x",G76/'AW Schulen'!$N124)</f>
        <v>0</v>
      </c>
    </row>
    <row r="77" spans="1:12" ht="9" customHeight="1">
      <c r="A77" s="21" t="s">
        <v>91</v>
      </c>
      <c r="B77" s="120"/>
      <c r="C77" s="23">
        <f>[46]GtS!$H$15</f>
        <v>13</v>
      </c>
      <c r="D77" s="23">
        <f>[47]GtS!$H$15</f>
        <v>13</v>
      </c>
      <c r="E77" s="23">
        <f>[48]GtS!$H$15</f>
        <v>50</v>
      </c>
      <c r="F77" s="23">
        <f>[49]GtS!$H$15</f>
        <v>46</v>
      </c>
      <c r="G77" s="34">
        <f>[50]GtS!$H$15</f>
        <v>44</v>
      </c>
      <c r="H77" s="155">
        <f>IF('AW Schulen'!$B125=0,"x",C77/'AW Schulen'!$B125)</f>
        <v>0.76470588235294112</v>
      </c>
      <c r="I77" s="155">
        <f>IF('AW Schulen'!$E125=0,"x",D77/'AW Schulen'!$E125)</f>
        <v>0.76470588235294112</v>
      </c>
      <c r="J77" s="155">
        <f>IF('AW Schulen'!$H125=0,"x",E77/'AW Schulen'!$H125)</f>
        <v>0.78125</v>
      </c>
      <c r="K77" s="155">
        <f>IF('AW Schulen'!$K125=0,"x",F77/'AW Schulen'!$K125)</f>
        <v>0.76666666666666672</v>
      </c>
      <c r="L77" s="156">
        <f>IF('AW Schulen'!$N125=0,"x",G77/'AW Schulen'!$N125)</f>
        <v>0.75862068965517238</v>
      </c>
    </row>
    <row r="78" spans="1:12" ht="9" customHeight="1">
      <c r="A78" s="21" t="s">
        <v>92</v>
      </c>
      <c r="B78" s="120"/>
      <c r="C78" s="151">
        <f>[51]GtS!$H$15</f>
        <v>0</v>
      </c>
      <c r="D78" s="151">
        <f>[52]GtS!$H$15</f>
        <v>0</v>
      </c>
      <c r="E78" s="151">
        <f>[53]GtS!$H$15</f>
        <v>0</v>
      </c>
      <c r="F78" s="151">
        <f>[54]GtS!$H$15</f>
        <v>0</v>
      </c>
      <c r="G78" s="152">
        <f>[55]GtS!$H$15</f>
        <v>0</v>
      </c>
      <c r="H78" s="155" t="str">
        <f>IF('AW Schulen'!$B126=0,"x",C78/'AW Schulen'!$B126)</f>
        <v>x</v>
      </c>
      <c r="I78" s="155" t="str">
        <f>IF('AW Schulen'!$E126=0,"x",D78/'AW Schulen'!$E126)</f>
        <v>x</v>
      </c>
      <c r="J78" s="155" t="str">
        <f>IF('AW Schulen'!$H126=0,"x",E78/'AW Schulen'!$H126)</f>
        <v>x</v>
      </c>
      <c r="K78" s="155" t="str">
        <f>IF('AW Schulen'!$K126=0,"x",F78/'AW Schulen'!$K126)</f>
        <v>x</v>
      </c>
      <c r="L78" s="156" t="str">
        <f>IF('AW Schulen'!$N126=0,"x",G78/'AW Schulen'!$N126)</f>
        <v>x</v>
      </c>
    </row>
    <row r="79" spans="1:12" ht="9" customHeight="1">
      <c r="A79" s="21" t="s">
        <v>93</v>
      </c>
      <c r="B79" s="120"/>
      <c r="C79" s="23">
        <f>[76]GtS!$H$15</f>
        <v>2</v>
      </c>
      <c r="D79" s="23">
        <f>[77]GtS!$H$15</f>
        <v>2</v>
      </c>
      <c r="E79" s="23">
        <f>[78]GtS!$H$15</f>
        <v>5</v>
      </c>
      <c r="F79" s="23">
        <f>[79]GtS!$H$15</f>
        <v>8</v>
      </c>
      <c r="G79" s="34">
        <f>[80]GtS!$H$15</f>
        <v>10</v>
      </c>
      <c r="H79" s="155">
        <f>IF('AW Schulen'!$B127=0,"x",C79/'AW Schulen'!$B127)</f>
        <v>0.66666666666666663</v>
      </c>
      <c r="I79" s="155">
        <f>IF('AW Schulen'!$E127=0,"x",D79/'AW Schulen'!$E127)</f>
        <v>0.66666666666666663</v>
      </c>
      <c r="J79" s="155">
        <f>IF('AW Schulen'!$H127=0,"x",E79/'AW Schulen'!$H127)</f>
        <v>0.26315789473684209</v>
      </c>
      <c r="K79" s="155">
        <f>IF('AW Schulen'!$K127=0,"x",F79/'AW Schulen'!$K127)</f>
        <v>0.27586206896551724</v>
      </c>
      <c r="L79" s="156">
        <f>IF('AW Schulen'!$N127=0,"x",G79/'AW Schulen'!$N127)</f>
        <v>0.29411764705882354</v>
      </c>
    </row>
    <row r="80" spans="1:12" ht="9" customHeight="1">
      <c r="A80" s="21" t="s">
        <v>143</v>
      </c>
      <c r="B80" s="120"/>
      <c r="C80" s="23">
        <f>[56]GtS!$H$15</f>
        <v>114</v>
      </c>
      <c r="D80" s="23">
        <f>[57]GtS!$H$15</f>
        <v>126</v>
      </c>
      <c r="E80" s="23">
        <f>[58]GtS!$H$15</f>
        <v>157</v>
      </c>
      <c r="F80" s="23">
        <f>[59]GtS!$H$15</f>
        <v>215</v>
      </c>
      <c r="G80" s="34">
        <f>[60]GtS!$H$15</f>
        <v>240</v>
      </c>
      <c r="H80" s="155">
        <f>IF('AW Schulen'!$B128=0,"x",C80/'AW Schulen'!$B128)</f>
        <v>0.83211678832116787</v>
      </c>
      <c r="I80" s="155">
        <f>IF('AW Schulen'!$E128=0,"x",D80/'AW Schulen'!$E128)</f>
        <v>0.84563758389261745</v>
      </c>
      <c r="J80" s="155">
        <f>IF('AW Schulen'!$H128=0,"x",E80/'AW Schulen'!$H128)</f>
        <v>0.80512820512820515</v>
      </c>
      <c r="K80" s="155">
        <f>IF('AW Schulen'!$K128=0,"x",F80/'AW Schulen'!$K128)</f>
        <v>0.84980237154150196</v>
      </c>
      <c r="L80" s="156">
        <f>IF('AW Schulen'!$N128=0,"x",G80/'AW Schulen'!$N128)</f>
        <v>0.81355932203389836</v>
      </c>
    </row>
    <row r="81" spans="1:12" ht="9" customHeight="1">
      <c r="A81" s="21" t="s">
        <v>95</v>
      </c>
      <c r="B81" s="120"/>
      <c r="C81" s="23">
        <f>[61]GtS!$H$15</f>
        <v>7</v>
      </c>
      <c r="D81" s="23">
        <f>[62]GtS!$H$15</f>
        <v>9</v>
      </c>
      <c r="E81" s="23">
        <f>[63]GtS!$H$15</f>
        <v>8</v>
      </c>
      <c r="F81" s="23">
        <f>[64]GtS!$H$15</f>
        <v>13</v>
      </c>
      <c r="G81" s="34">
        <f>[65]GtS!$H$15</f>
        <v>14</v>
      </c>
      <c r="H81" s="155">
        <f>IF('AW Schulen'!$B129=0,"x",C81/'AW Schulen'!$B129)</f>
        <v>0.3888888888888889</v>
      </c>
      <c r="I81" s="155">
        <f>IF('AW Schulen'!$E129=0,"x",D81/'AW Schulen'!$E129)</f>
        <v>0.36</v>
      </c>
      <c r="J81" s="155">
        <f>IF('AW Schulen'!$H129=0,"x",E81/'AW Schulen'!$H129)</f>
        <v>0.25</v>
      </c>
      <c r="K81" s="155">
        <f>IF('AW Schulen'!$K129=0,"x",F81/'AW Schulen'!$K129)</f>
        <v>0.33333333333333331</v>
      </c>
      <c r="L81" s="156">
        <f>IF('AW Schulen'!$N129=0,"x",G81/'AW Schulen'!$N129)</f>
        <v>0.2978723404255319</v>
      </c>
    </row>
    <row r="82" spans="1:12" ht="9" customHeight="1">
      <c r="A82" s="24" t="s">
        <v>96</v>
      </c>
      <c r="B82" s="121"/>
      <c r="C82" s="26">
        <f t="shared" ref="C82:E82" si="39">SUM(C66:C81)</f>
        <v>296</v>
      </c>
      <c r="D82" s="26">
        <f t="shared" si="39"/>
        <v>350</v>
      </c>
      <c r="E82" s="26">
        <f t="shared" si="39"/>
        <v>432</v>
      </c>
      <c r="F82" s="26">
        <f t="shared" ref="F82:G82" si="40">SUM(F66:F81)</f>
        <v>502</v>
      </c>
      <c r="G82" s="47">
        <f t="shared" si="40"/>
        <v>535</v>
      </c>
      <c r="H82" s="157">
        <f>IF('AW Schulen'!$B130=0,"x",C82/'AW Schulen'!$B130)</f>
        <v>0.30515463917525776</v>
      </c>
      <c r="I82" s="157">
        <f>IF('AW Schulen'!$E130=0,"x",D82/'AW Schulen'!$E130)</f>
        <v>0.29535864978902954</v>
      </c>
      <c r="J82" s="157">
        <f>IF('AW Schulen'!$H130=0,"x",E82/'AW Schulen'!$H130)</f>
        <v>0.29130141604855025</v>
      </c>
      <c r="K82" s="157">
        <f>IF('AW Schulen'!$K130=0,"x",F82/'AW Schulen'!$K130)</f>
        <v>0.2988095238095238</v>
      </c>
      <c r="L82" s="158">
        <f>IF('AW Schulen'!$N130=0,"x",G82/'AW Schulen'!$N130)</f>
        <v>0.2988826815642458</v>
      </c>
    </row>
    <row r="83" spans="1:12" ht="18.75" customHeight="1">
      <c r="A83" s="396" t="s">
        <v>312</v>
      </c>
      <c r="B83" s="396"/>
      <c r="C83" s="396"/>
      <c r="D83" s="396"/>
      <c r="E83" s="396"/>
      <c r="F83" s="396"/>
      <c r="G83" s="396"/>
      <c r="H83" s="396"/>
      <c r="I83" s="396"/>
      <c r="J83" s="396"/>
      <c r="K83" s="396"/>
      <c r="L83" s="396"/>
    </row>
    <row r="84" spans="1:12" ht="10.15" customHeight="1">
      <c r="A84" s="399" t="s">
        <v>184</v>
      </c>
      <c r="B84" s="399"/>
      <c r="C84" s="399"/>
      <c r="D84" s="399"/>
      <c r="E84" s="399"/>
      <c r="F84" s="399"/>
      <c r="G84" s="399"/>
      <c r="H84" s="399"/>
      <c r="I84" s="285"/>
      <c r="J84" s="285"/>
      <c r="K84" s="315"/>
      <c r="L84" s="342"/>
    </row>
    <row r="85" spans="1:12" ht="19.5" customHeight="1">
      <c r="A85" s="387" t="s">
        <v>291</v>
      </c>
      <c r="B85" s="387"/>
      <c r="C85" s="387"/>
      <c r="D85" s="387"/>
      <c r="E85" s="387"/>
      <c r="F85" s="387"/>
      <c r="G85" s="387"/>
      <c r="H85" s="387"/>
      <c r="I85" s="394"/>
      <c r="J85" s="395"/>
      <c r="K85" s="395"/>
      <c r="L85" s="395"/>
    </row>
    <row r="86" spans="1:12" ht="10.15" customHeight="1">
      <c r="A86" s="285" t="s">
        <v>203</v>
      </c>
    </row>
    <row r="87" spans="1:12" ht="10.15" customHeight="1">
      <c r="A87" s="285" t="s">
        <v>101</v>
      </c>
    </row>
  </sheetData>
  <mergeCells count="10">
    <mergeCell ref="A1:L1"/>
    <mergeCell ref="A85:L85"/>
    <mergeCell ref="A84:H84"/>
    <mergeCell ref="H9:L9"/>
    <mergeCell ref="C9:G9"/>
    <mergeCell ref="A11:L11"/>
    <mergeCell ref="A47:L47"/>
    <mergeCell ref="A29:L29"/>
    <mergeCell ref="A65:L65"/>
    <mergeCell ref="A83:L83"/>
  </mergeCells>
  <phoneticPr fontId="18" type="noConversion"/>
  <conditionalFormatting sqref="N25">
    <cfRule type="cellIs" dxfId="49"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view="pageBreakPreview" topLeftCell="A70" zoomScale="170" zoomScaleNormal="140" zoomScaleSheetLayoutView="17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'2.2.7'!A1:J1+1</f>
        <v>22</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4.1" customHeight="1">
      <c r="A5" s="13" t="s">
        <v>26</v>
      </c>
      <c r="B5" s="39" t="s">
        <v>74</v>
      </c>
      <c r="C5" s="14"/>
      <c r="D5" s="14"/>
      <c r="E5" s="14"/>
      <c r="F5" s="14"/>
      <c r="G5" s="14"/>
      <c r="H5" s="14"/>
      <c r="I5" s="14"/>
      <c r="J5" s="14"/>
      <c r="K5" s="14"/>
      <c r="L5" s="14"/>
    </row>
    <row r="6" spans="1:13" s="3" customFormat="1" ht="14.25" customHeight="1">
      <c r="A6" s="13" t="s">
        <v>233</v>
      </c>
      <c r="B6" s="48" t="s">
        <v>279</v>
      </c>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182">
        <v>0</v>
      </c>
      <c r="D12" s="42">
        <f t="shared" ref="D12:E27" si="0">SUM(D30+D48+D66)</f>
        <v>46</v>
      </c>
      <c r="E12" s="42">
        <f t="shared" si="0"/>
        <v>95</v>
      </c>
      <c r="F12" s="42">
        <f t="shared" ref="F12:G12" si="1">SUM(F30+F48+F66)</f>
        <v>122</v>
      </c>
      <c r="G12" s="44">
        <f t="shared" si="1"/>
        <v>132</v>
      </c>
      <c r="H12" s="182">
        <v>0</v>
      </c>
      <c r="I12" s="297">
        <f>IF('AW Schulen'!$E114=0,"x",(IF('AW Schulen'!$E132=0,"-",D12/'AW Schulen'!$E132)))</f>
        <v>0.43809523809523809</v>
      </c>
      <c r="J12" s="297">
        <f>IF('AW Schulen'!$H114=0,"x",(IF('AW Schulen'!$H132=0,"-",E12/'AW Schulen'!$H132)))</f>
        <v>0.56213017751479288</v>
      </c>
      <c r="K12" s="297">
        <f>IF('AW Schulen'!$K114=0,"x",(IF('AW Schulen'!$K132=0,"-",F12/'AW Schulen'!$K132)))</f>
        <v>0.580952380952381</v>
      </c>
      <c r="L12" s="298">
        <f>IF('AW Schulen'!$N114=0,"x",(IF('AW Schulen'!$N132=0,"-",G12/'AW Schulen'!$N132)))</f>
        <v>0.58149779735682816</v>
      </c>
    </row>
    <row r="13" spans="1:13" ht="9" customHeight="1">
      <c r="A13" s="21" t="s">
        <v>81</v>
      </c>
      <c r="B13" s="120"/>
      <c r="C13" s="182">
        <v>0</v>
      </c>
      <c r="D13" s="42">
        <f t="shared" si="0"/>
        <v>0</v>
      </c>
      <c r="E13" s="42">
        <f t="shared" ref="E13:F13" si="2">SUM(E31+E49+E67)</f>
        <v>0</v>
      </c>
      <c r="F13" s="42" t="e">
        <f t="shared" si="2"/>
        <v>#VALUE!</v>
      </c>
      <c r="G13" s="44">
        <f t="shared" ref="G13" si="3">SUM(G31+G49+G67)</f>
        <v>0</v>
      </c>
      <c r="H13" s="182">
        <v>0</v>
      </c>
      <c r="I13" s="297" t="str">
        <f>IF('AW Schulen'!$E115=0,"x",(IF('AW Schulen'!$E133=0,"-",D13/'AW Schulen'!$E133)))</f>
        <v>-</v>
      </c>
      <c r="J13" s="297" t="str">
        <f>IF('AW Schulen'!$H115=0,"x",(IF('AW Schulen'!$H133=0,"-",E13/'AW Schulen'!$H133)))</f>
        <v>-</v>
      </c>
      <c r="K13" s="297" t="e">
        <f>IF('AW Schulen'!$K115=0,"x",(IF('AW Schulen'!$K133=0,"-",F13/'AW Schulen'!$K133)))</f>
        <v>#VALUE!</v>
      </c>
      <c r="L13" s="298" t="str">
        <f>IF('AW Schulen'!$N115=0,"x",(IF('AW Schulen'!$N133=0,"-",G13/'AW Schulen'!$N133)))</f>
        <v>-</v>
      </c>
    </row>
    <row r="14" spans="1:13" ht="9" customHeight="1">
      <c r="A14" s="21" t="s">
        <v>82</v>
      </c>
      <c r="B14" s="120"/>
      <c r="C14" s="182">
        <v>0</v>
      </c>
      <c r="D14" s="42">
        <f t="shared" si="0"/>
        <v>79</v>
      </c>
      <c r="E14" s="42">
        <f t="shared" ref="E14:F14" si="4">SUM(E32+E50+E68)</f>
        <v>19</v>
      </c>
      <c r="F14" s="42">
        <f t="shared" si="4"/>
        <v>22</v>
      </c>
      <c r="G14" s="44">
        <f t="shared" ref="G14" si="5">SUM(G32+G50+G68)</f>
        <v>23</v>
      </c>
      <c r="H14" s="182">
        <v>0</v>
      </c>
      <c r="I14" s="297">
        <f>IF('AW Schulen'!$E116=0,"x",(IF('AW Schulen'!$E134=0,"-",D14/'AW Schulen'!$E134)))</f>
        <v>0.65289256198347112</v>
      </c>
      <c r="J14" s="297">
        <f>IF('AW Schulen'!$H116=0,"x",(IF('AW Schulen'!$H134=0,"-",E14/'AW Schulen'!$H134)))</f>
        <v>1</v>
      </c>
      <c r="K14" s="297">
        <f>IF('AW Schulen'!$K116=0,"x",(IF('AW Schulen'!$K134=0,"-",F14/'AW Schulen'!$K134)))</f>
        <v>1</v>
      </c>
      <c r="L14" s="298">
        <f>IF('AW Schulen'!$N116=0,"x",(IF('AW Schulen'!$N134=0,"-",G14/'AW Schulen'!$N134)))</f>
        <v>1</v>
      </c>
    </row>
    <row r="15" spans="1:13" ht="9" customHeight="1">
      <c r="A15" s="21" t="s">
        <v>83</v>
      </c>
      <c r="B15" s="120"/>
      <c r="C15" s="182">
        <v>0</v>
      </c>
      <c r="D15" s="42">
        <f t="shared" si="0"/>
        <v>1</v>
      </c>
      <c r="E15" s="42">
        <f t="shared" ref="E15:F15" si="6">SUM(E33+E51+E69)</f>
        <v>1</v>
      </c>
      <c r="F15" s="42">
        <f t="shared" si="6"/>
        <v>1</v>
      </c>
      <c r="G15" s="44">
        <f t="shared" ref="G15" si="7">SUM(G33+G51+G69)</f>
        <v>2</v>
      </c>
      <c r="H15" s="182">
        <v>0</v>
      </c>
      <c r="I15" s="297">
        <f>IF('AW Schulen'!$E117=0,"x",(IF('AW Schulen'!$E135=0,"-",D15/'AW Schulen'!$E135)))</f>
        <v>0.5</v>
      </c>
      <c r="J15" s="297">
        <f>IF('AW Schulen'!$H117=0,"x",(IF('AW Schulen'!$H135=0,"-",E15/'AW Schulen'!$H135)))</f>
        <v>0.5</v>
      </c>
      <c r="K15" s="297">
        <f>IF('AW Schulen'!$K117=0,"x",(IF('AW Schulen'!$K135=0,"-",F15/'AW Schulen'!$K135)))</f>
        <v>0.5</v>
      </c>
      <c r="L15" s="298">
        <f>IF('AW Schulen'!$N117=0,"x",(IF('AW Schulen'!$N135=0,"-",G15/'AW Schulen'!$N135)))</f>
        <v>0.66666666666666663</v>
      </c>
    </row>
    <row r="16" spans="1:13" ht="9" customHeight="1">
      <c r="A16" s="21" t="s">
        <v>84</v>
      </c>
      <c r="B16" s="120"/>
      <c r="C16" s="182">
        <v>0</v>
      </c>
      <c r="D16" s="42">
        <f t="shared" si="0"/>
        <v>0</v>
      </c>
      <c r="E16" s="42">
        <f t="shared" ref="E16:F16" si="8">SUM(E34+E52+E70)</f>
        <v>0</v>
      </c>
      <c r="F16" s="42">
        <f t="shared" si="8"/>
        <v>0</v>
      </c>
      <c r="G16" s="44">
        <f t="shared" ref="G16" si="9">SUM(G34+G52+G70)</f>
        <v>0</v>
      </c>
      <c r="H16" s="182">
        <v>0</v>
      </c>
      <c r="I16" s="297" t="str">
        <f>IF('AW Schulen'!$E118=0,"x",(IF('AW Schulen'!$E136=0,"-",D16/'AW Schulen'!$E136)))</f>
        <v>-</v>
      </c>
      <c r="J16" s="297" t="str">
        <f>IF('AW Schulen'!$H118=0,"x",(IF('AW Schulen'!$H136=0,"-",E16/'AW Schulen'!$H136)))</f>
        <v>-</v>
      </c>
      <c r="K16" s="297" t="str">
        <f>IF('AW Schulen'!$K118=0,"x",(IF('AW Schulen'!$K136=0,"-",F16/'AW Schulen'!$K136)))</f>
        <v>-</v>
      </c>
      <c r="L16" s="298" t="str">
        <f>IF('AW Schulen'!$N118=0,"x",(IF('AW Schulen'!$N136=0,"-",G16/'AW Schulen'!$N136)))</f>
        <v>-</v>
      </c>
    </row>
    <row r="17" spans="1:12" ht="9" customHeight="1">
      <c r="A17" s="21" t="s">
        <v>85</v>
      </c>
      <c r="B17" s="120"/>
      <c r="C17" s="182">
        <v>0</v>
      </c>
      <c r="D17" s="42">
        <f t="shared" si="0"/>
        <v>10</v>
      </c>
      <c r="E17" s="42">
        <f t="shared" ref="E17:F17" si="10">SUM(E35+E53+E71)</f>
        <v>12</v>
      </c>
      <c r="F17" s="42">
        <f t="shared" si="10"/>
        <v>13</v>
      </c>
      <c r="G17" s="44">
        <f t="shared" ref="G17" si="11">SUM(G35+G53+G71)</f>
        <v>13</v>
      </c>
      <c r="H17" s="182">
        <v>0</v>
      </c>
      <c r="I17" s="297">
        <f>IF('AW Schulen'!$E119=0,"x",(IF('AW Schulen'!$E137=0,"-",D17/'AW Schulen'!$E137)))</f>
        <v>0.76923076923076927</v>
      </c>
      <c r="J17" s="297">
        <f>IF('AW Schulen'!$H119=0,"x",(IF('AW Schulen'!$H137=0,"-",E17/'AW Schulen'!$H137)))</f>
        <v>0.92307692307692313</v>
      </c>
      <c r="K17" s="297">
        <f>IF('AW Schulen'!$K119=0,"x",(IF('AW Schulen'!$K137=0,"-",F17/'AW Schulen'!$K137)))</f>
        <v>1</v>
      </c>
      <c r="L17" s="298">
        <f>IF('AW Schulen'!$N119=0,"x",(IF('AW Schulen'!$N137=0,"-",G17/'AW Schulen'!$N137)))</f>
        <v>1</v>
      </c>
    </row>
    <row r="18" spans="1:12" ht="9" customHeight="1">
      <c r="A18" s="21" t="s">
        <v>86</v>
      </c>
      <c r="B18" s="120"/>
      <c r="C18" s="182">
        <v>0</v>
      </c>
      <c r="D18" s="42">
        <f t="shared" si="0"/>
        <v>11</v>
      </c>
      <c r="E18" s="42">
        <f t="shared" ref="E18:F18" si="12">SUM(E36+E54+E72)</f>
        <v>12</v>
      </c>
      <c r="F18" s="42">
        <f t="shared" si="12"/>
        <v>12</v>
      </c>
      <c r="G18" s="44">
        <f t="shared" ref="G18" si="13">SUM(G36+G54+G72)</f>
        <v>14</v>
      </c>
      <c r="H18" s="182">
        <v>0</v>
      </c>
      <c r="I18" s="297">
        <f>IF('AW Schulen'!$E120=0,"x",(IF('AW Schulen'!$E138=0,"-",D18/'AW Schulen'!$E138)))</f>
        <v>1</v>
      </c>
      <c r="J18" s="297">
        <f>IF('AW Schulen'!$H120=0,"x",(IF('AW Schulen'!$H138=0,"-",E18/'AW Schulen'!$H138)))</f>
        <v>1</v>
      </c>
      <c r="K18" s="297">
        <f>IF('AW Schulen'!$K120=0,"x",(IF('AW Schulen'!$K138=0,"-",F18/'AW Schulen'!$K138)))</f>
        <v>1</v>
      </c>
      <c r="L18" s="298">
        <f>IF('AW Schulen'!$N120=0,"x",(IF('AW Schulen'!$N138=0,"-",G18/'AW Schulen'!$N138)))</f>
        <v>1</v>
      </c>
    </row>
    <row r="19" spans="1:12" ht="9" customHeight="1">
      <c r="A19" s="21" t="s">
        <v>87</v>
      </c>
      <c r="B19" s="120"/>
      <c r="C19" s="182">
        <v>0</v>
      </c>
      <c r="D19" s="42">
        <f t="shared" si="0"/>
        <v>0</v>
      </c>
      <c r="E19" s="42">
        <f t="shared" ref="E19:F19" si="14">SUM(E37+E55+E73)</f>
        <v>0</v>
      </c>
      <c r="F19" s="42">
        <f t="shared" si="14"/>
        <v>0</v>
      </c>
      <c r="G19" s="44">
        <f t="shared" ref="G19" si="15">SUM(G37+G55+G73)</f>
        <v>0</v>
      </c>
      <c r="H19" s="182">
        <v>0</v>
      </c>
      <c r="I19" s="297" t="str">
        <f>IF('AW Schulen'!$E121=0,"x",(IF('AW Schulen'!$E139=0,"-",D19/'AW Schulen'!$E139)))</f>
        <v>-</v>
      </c>
      <c r="J19" s="297" t="str">
        <f>IF('AW Schulen'!$H121=0,"x",(IF('AW Schulen'!$H139=0,"-",E19/'AW Schulen'!$H139)))</f>
        <v>-</v>
      </c>
      <c r="K19" s="297" t="str">
        <f>IF('AW Schulen'!$K121=0,"x",(IF('AW Schulen'!$K139=0,"-",F19/'AW Schulen'!$K139)))</f>
        <v>-</v>
      </c>
      <c r="L19" s="298" t="str">
        <f>IF('AW Schulen'!$N121=0,"x",(IF('AW Schulen'!$N139=0,"-",G19/'AW Schulen'!$N139)))</f>
        <v>-</v>
      </c>
    </row>
    <row r="20" spans="1:12" ht="9" customHeight="1">
      <c r="A20" s="21" t="s">
        <v>88</v>
      </c>
      <c r="B20" s="120"/>
      <c r="C20" s="182">
        <v>0</v>
      </c>
      <c r="D20" s="42">
        <f t="shared" si="0"/>
        <v>1</v>
      </c>
      <c r="E20" s="42">
        <f t="shared" ref="E20:F20" si="16">SUM(E38+E56+E74)</f>
        <v>1</v>
      </c>
      <c r="F20" s="42">
        <f t="shared" si="16"/>
        <v>1</v>
      </c>
      <c r="G20" s="44">
        <f t="shared" ref="G20" si="17">SUM(G38+G56+G74)</f>
        <v>1</v>
      </c>
      <c r="H20" s="182">
        <v>0</v>
      </c>
      <c r="I20" s="297">
        <f>IF('AW Schulen'!$E122=0,"x",(IF('AW Schulen'!$E140=0,"-",D20/'AW Schulen'!$E140)))</f>
        <v>1</v>
      </c>
      <c r="J20" s="297">
        <f>IF('AW Schulen'!$H122=0,"x",(IF('AW Schulen'!$H140=0,"-",E20/'AW Schulen'!$H140)))</f>
        <v>1</v>
      </c>
      <c r="K20" s="297">
        <f>IF('AW Schulen'!$K122=0,"x",(IF('AW Schulen'!$K140=0,"-",F20/'AW Schulen'!$K140)))</f>
        <v>1</v>
      </c>
      <c r="L20" s="298">
        <f>IF('AW Schulen'!$N122=0,"x",(IF('AW Schulen'!$N140=0,"-",G20/'AW Schulen'!$N140)))</f>
        <v>1</v>
      </c>
    </row>
    <row r="21" spans="1:12" ht="9" customHeight="1">
      <c r="A21" s="21" t="s">
        <v>89</v>
      </c>
      <c r="B21" s="120"/>
      <c r="C21" s="182">
        <v>0</v>
      </c>
      <c r="D21" s="42">
        <f t="shared" si="0"/>
        <v>2</v>
      </c>
      <c r="E21" s="42">
        <f t="shared" ref="E21:F21" si="18">SUM(E39+E57+E75)</f>
        <v>5</v>
      </c>
      <c r="F21" s="42">
        <f t="shared" si="18"/>
        <v>5</v>
      </c>
      <c r="G21" s="44">
        <f t="shared" ref="G21" si="19">SUM(G39+G57+G75)</f>
        <v>5</v>
      </c>
      <c r="H21" s="182">
        <v>0</v>
      </c>
      <c r="I21" s="297">
        <f>IF('AW Schulen'!$E123=0,"x",(IF('AW Schulen'!$E141=0,"-",D21/'AW Schulen'!$E141)))</f>
        <v>1</v>
      </c>
      <c r="J21" s="297">
        <f>IF('AW Schulen'!$H123=0,"x",(IF('AW Schulen'!$H141=0,"-",E21/'AW Schulen'!$H141)))</f>
        <v>1</v>
      </c>
      <c r="K21" s="297">
        <f>IF('AW Schulen'!$K123=0,"x",(IF('AW Schulen'!$K141=0,"-",F21/'AW Schulen'!$K141)))</f>
        <v>1</v>
      </c>
      <c r="L21" s="298">
        <f>IF('AW Schulen'!$N123=0,"x",(IF('AW Schulen'!$N141=0,"-",G21/'AW Schulen'!$N141)))</f>
        <v>1</v>
      </c>
    </row>
    <row r="22" spans="1:12" ht="9" customHeight="1">
      <c r="A22" s="21" t="s">
        <v>90</v>
      </c>
      <c r="B22" s="120"/>
      <c r="C22" s="182">
        <v>0</v>
      </c>
      <c r="D22" s="42">
        <f t="shared" si="0"/>
        <v>0</v>
      </c>
      <c r="E22" s="42">
        <f t="shared" ref="E22:F22" si="20">SUM(E40+E58+E76)</f>
        <v>0</v>
      </c>
      <c r="F22" s="42">
        <f t="shared" si="20"/>
        <v>0</v>
      </c>
      <c r="G22" s="44">
        <f t="shared" ref="G22" si="21">SUM(G40+G58+G76)</f>
        <v>0</v>
      </c>
      <c r="H22" s="182">
        <v>0</v>
      </c>
      <c r="I22" s="297" t="str">
        <f>IF('AW Schulen'!$E124=0,"x",(IF('AW Schulen'!$E142=0,"-",D22/'AW Schulen'!$E142)))</f>
        <v>-</v>
      </c>
      <c r="J22" s="297" t="str">
        <f>IF('AW Schulen'!$H124=0,"x",(IF('AW Schulen'!$H142=0,"-",E22/'AW Schulen'!$H142)))</f>
        <v>-</v>
      </c>
      <c r="K22" s="297" t="str">
        <f>IF('AW Schulen'!$K124=0,"x",(IF('AW Schulen'!$K142=0,"-",F22/'AW Schulen'!$K142)))</f>
        <v>-</v>
      </c>
      <c r="L22" s="298" t="str">
        <f>IF('AW Schulen'!$N124=0,"x",(IF('AW Schulen'!$N142=0,"-",G22/'AW Schulen'!$N142)))</f>
        <v>-</v>
      </c>
    </row>
    <row r="23" spans="1:12" ht="9" customHeight="1">
      <c r="A23" s="21" t="s">
        <v>91</v>
      </c>
      <c r="B23" s="120"/>
      <c r="C23" s="182">
        <v>0</v>
      </c>
      <c r="D23" s="42">
        <f t="shared" si="0"/>
        <v>0</v>
      </c>
      <c r="E23" s="42">
        <f t="shared" ref="E23:F23" si="22">SUM(E41+E59+E77)</f>
        <v>0</v>
      </c>
      <c r="F23" s="42">
        <f t="shared" si="22"/>
        <v>0</v>
      </c>
      <c r="G23" s="44">
        <f t="shared" ref="G23" si="23">SUM(G41+G59+G77)</f>
        <v>0</v>
      </c>
      <c r="H23" s="182">
        <v>0</v>
      </c>
      <c r="I23" s="297" t="str">
        <f>IF('AW Schulen'!$E125=0,"x",(IF('AW Schulen'!$E143=0,"-",D23/'AW Schulen'!$E143)))</f>
        <v>-</v>
      </c>
      <c r="J23" s="297" t="str">
        <f>IF('AW Schulen'!$H125=0,"x",(IF('AW Schulen'!$H143=0,"-",E23/'AW Schulen'!$H143)))</f>
        <v>-</v>
      </c>
      <c r="K23" s="297" t="str">
        <f>IF('AW Schulen'!$K125=0,"x",(IF('AW Schulen'!$K143=0,"-",F23/'AW Schulen'!$K143)))</f>
        <v>-</v>
      </c>
      <c r="L23" s="298" t="str">
        <f>IF('AW Schulen'!$N125=0,"x",(IF('AW Schulen'!$N143=0,"-",G23/'AW Schulen'!$N143)))</f>
        <v>-</v>
      </c>
    </row>
    <row r="24" spans="1:12" ht="9" customHeight="1">
      <c r="A24" s="21" t="s">
        <v>92</v>
      </c>
      <c r="B24" s="120"/>
      <c r="C24" s="182">
        <v>0</v>
      </c>
      <c r="D24" s="149">
        <f t="shared" si="0"/>
        <v>0</v>
      </c>
      <c r="E24" s="149">
        <f t="shared" ref="E24:F24" si="24">SUM(E42+E60+E78)</f>
        <v>0</v>
      </c>
      <c r="F24" s="149">
        <f t="shared" si="24"/>
        <v>0</v>
      </c>
      <c r="G24" s="150">
        <f t="shared" ref="G24" si="25">SUM(G42+G60+G78)</f>
        <v>0</v>
      </c>
      <c r="H24" s="182">
        <v>0</v>
      </c>
      <c r="I24" s="297" t="str">
        <f>IF('AW Schulen'!$E126=0,"x",(IF('AW Schulen'!$E144=0,"-",D24/'AW Schulen'!$E144)))</f>
        <v>x</v>
      </c>
      <c r="J24" s="297" t="str">
        <f>IF('AW Schulen'!$H126=0,"x",(IF('AW Schulen'!$H144=0,"-",E24/'AW Schulen'!$H144)))</f>
        <v>x</v>
      </c>
      <c r="K24" s="297" t="str">
        <f>IF('AW Schulen'!$K126=0,"x",(IF('AW Schulen'!$K144=0,"-",F24/'AW Schulen'!$K144)))</f>
        <v>x</v>
      </c>
      <c r="L24" s="298" t="str">
        <f>IF('AW Schulen'!$N126=0,"x",(IF('AW Schulen'!$N144=0,"-",G24/'AW Schulen'!$N144)))</f>
        <v>x</v>
      </c>
    </row>
    <row r="25" spans="1:12" ht="9" customHeight="1">
      <c r="A25" s="21" t="s">
        <v>93</v>
      </c>
      <c r="B25" s="120"/>
      <c r="C25" s="182">
        <v>0</v>
      </c>
      <c r="D25" s="42">
        <f t="shared" si="0"/>
        <v>0</v>
      </c>
      <c r="E25" s="42">
        <f t="shared" ref="E25:F25" si="26">SUM(E43+E61+E79)</f>
        <v>0</v>
      </c>
      <c r="F25" s="42">
        <f t="shared" si="26"/>
        <v>0</v>
      </c>
      <c r="G25" s="44">
        <f t="shared" ref="G25" si="27">SUM(G43+G61+G79)</f>
        <v>0</v>
      </c>
      <c r="H25" s="182">
        <v>0</v>
      </c>
      <c r="I25" s="297" t="str">
        <f>IF('AW Schulen'!$E127=0,"x",(IF('AW Schulen'!$E145=0,"-",D25/'AW Schulen'!$E145)))</f>
        <v>-</v>
      </c>
      <c r="J25" s="297" t="str">
        <f>IF('AW Schulen'!$H127=0,"x",(IF('AW Schulen'!$H145=0,"-",E25/'AW Schulen'!$H145)))</f>
        <v>-</v>
      </c>
      <c r="K25" s="297" t="str">
        <f>IF('AW Schulen'!$K127=0,"x",(IF('AW Schulen'!$K145=0,"-",F25/'AW Schulen'!$K145)))</f>
        <v>-</v>
      </c>
      <c r="L25" s="298" t="str">
        <f>IF('AW Schulen'!$N127=0,"x",(IF('AW Schulen'!$N145=0,"-",G25/'AW Schulen'!$N145)))</f>
        <v>-</v>
      </c>
    </row>
    <row r="26" spans="1:12" ht="9" customHeight="1">
      <c r="A26" s="21" t="s">
        <v>143</v>
      </c>
      <c r="B26" s="120"/>
      <c r="C26" s="182">
        <v>0</v>
      </c>
      <c r="D26" s="42">
        <f t="shared" si="0"/>
        <v>0</v>
      </c>
      <c r="E26" s="42">
        <f t="shared" ref="E26:F26" si="28">SUM(E44+E62+E80)</f>
        <v>0</v>
      </c>
      <c r="F26" s="42">
        <f t="shared" si="28"/>
        <v>0</v>
      </c>
      <c r="G26" s="44">
        <f t="shared" ref="G26" si="29">SUM(G44+G62+G80)</f>
        <v>0</v>
      </c>
      <c r="H26" s="182">
        <v>0</v>
      </c>
      <c r="I26" s="297" t="str">
        <f>IF('AW Schulen'!$E128=0,"x",(IF('AW Schulen'!$E146=0,"-",D26/'AW Schulen'!$E146)))</f>
        <v>-</v>
      </c>
      <c r="J26" s="297" t="str">
        <f>IF('AW Schulen'!$H128=0,"x",(IF('AW Schulen'!$H146=0,"-",E26/'AW Schulen'!$H146)))</f>
        <v>-</v>
      </c>
      <c r="K26" s="297" t="str">
        <f>IF('AW Schulen'!$K128=0,"x",(IF('AW Schulen'!$K146=0,"-",F26/'AW Schulen'!$K146)))</f>
        <v>-</v>
      </c>
      <c r="L26" s="298" t="str">
        <f>IF('AW Schulen'!$N128=0,"x",(IF('AW Schulen'!$N146=0,"-",G26/'AW Schulen'!$N146)))</f>
        <v>-</v>
      </c>
    </row>
    <row r="27" spans="1:12" ht="9" customHeight="1">
      <c r="A27" s="21" t="s">
        <v>95</v>
      </c>
      <c r="B27" s="120"/>
      <c r="C27" s="182">
        <v>0</v>
      </c>
      <c r="D27" s="42">
        <f t="shared" si="0"/>
        <v>11</v>
      </c>
      <c r="E27" s="42">
        <f t="shared" ref="E27:F27" si="30">SUM(E45+E63+E81)</f>
        <v>14</v>
      </c>
      <c r="F27" s="42">
        <f t="shared" si="30"/>
        <v>19</v>
      </c>
      <c r="G27" s="44">
        <f t="shared" ref="G27" si="31">SUM(G45+G63+G81)</f>
        <v>23</v>
      </c>
      <c r="H27" s="182">
        <v>0</v>
      </c>
      <c r="I27" s="297">
        <f>IF('AW Schulen'!$E129=0,"x",(IF('AW Schulen'!$E147=0,"-",D27/'AW Schulen'!$E147)))</f>
        <v>1</v>
      </c>
      <c r="J27" s="297">
        <f>IF('AW Schulen'!$H129=0,"x",(IF('AW Schulen'!$H147=0,"-",E27/'AW Schulen'!$H147)))</f>
        <v>1</v>
      </c>
      <c r="K27" s="297">
        <f>IF('AW Schulen'!$K129=0,"x",(IF('AW Schulen'!$K147=0,"-",F27/'AW Schulen'!$K147)))</f>
        <v>1</v>
      </c>
      <c r="L27" s="298">
        <f>IF('AW Schulen'!$N129=0,"x",(IF('AW Schulen'!$N147=0,"-",G27/'AW Schulen'!$N147)))</f>
        <v>1</v>
      </c>
    </row>
    <row r="28" spans="1:12" ht="9" customHeight="1">
      <c r="A28" s="21" t="s">
        <v>96</v>
      </c>
      <c r="B28" s="120"/>
      <c r="C28" s="182">
        <v>0</v>
      </c>
      <c r="D28" s="42">
        <f t="shared" ref="D28" si="32">SUM(D46+D64+D82)</f>
        <v>161</v>
      </c>
      <c r="E28" s="42">
        <f t="shared" ref="E28:F28" si="33">SUM(E46+E64+E82)</f>
        <v>159</v>
      </c>
      <c r="F28" s="42">
        <f t="shared" si="33"/>
        <v>195</v>
      </c>
      <c r="G28" s="44">
        <f t="shared" ref="G28" si="34">SUM(G46+G64+G82)</f>
        <v>213</v>
      </c>
      <c r="H28" s="182">
        <v>0</v>
      </c>
      <c r="I28" s="297">
        <f>IF('AW Schulen'!$E130=0,"x",(IF('AW Schulen'!$E148=0,"-",D28/'AW Schulen'!$E148)))</f>
        <v>0.60526315789473684</v>
      </c>
      <c r="J28" s="297">
        <f>IF('AW Schulen'!$H130=0,"x",(IF('AW Schulen'!$H148=0,"-",E28/'AW Schulen'!$H148)))</f>
        <v>0.67659574468085104</v>
      </c>
      <c r="K28" s="297">
        <f>IF('AW Schulen'!$K130=0,"x",(IF('AW Schulen'!$K148=0,"-",F28/'AW Schulen'!$K148)))</f>
        <v>0.68661971830985913</v>
      </c>
      <c r="L28" s="298">
        <f>IF('AW Schulen'!$N130=0,"x",(IF('AW Schulen'!$N148=0,"-",G28/'AW Schulen'!$N148)))</f>
        <v>0.68932038834951459</v>
      </c>
    </row>
    <row r="29" spans="1:12" ht="12.75" customHeight="1">
      <c r="A29" s="391" t="s">
        <v>98</v>
      </c>
      <c r="B29" s="392"/>
      <c r="C29" s="392"/>
      <c r="D29" s="392"/>
      <c r="E29" s="392"/>
      <c r="F29" s="392"/>
      <c r="G29" s="392"/>
      <c r="H29" s="392"/>
      <c r="I29" s="392"/>
      <c r="J29" s="392"/>
      <c r="K29" s="392"/>
      <c r="L29" s="393"/>
    </row>
    <row r="30" spans="1:12" ht="9" customHeight="1">
      <c r="A30" s="21" t="s">
        <v>172</v>
      </c>
      <c r="B30" s="120"/>
      <c r="C30" s="183">
        <v>0</v>
      </c>
      <c r="D30" s="23">
        <f>[2]GtS!$F$16</f>
        <v>3</v>
      </c>
      <c r="E30" s="23">
        <f>[3]GtS!$F$16</f>
        <v>9</v>
      </c>
      <c r="F30" s="23">
        <f>[4]GtS!$F$16</f>
        <v>13</v>
      </c>
      <c r="G30" s="34">
        <f>[5]GtS!$F$16</f>
        <v>13</v>
      </c>
      <c r="H30" s="183">
        <v>0</v>
      </c>
      <c r="I30" s="299">
        <f>IF('AW Schulen'!$E114=0,"x",(IF('AW Schulen'!$E132=0,"-",D30/'AW Schulen'!$E132)))</f>
        <v>2.8571428571428571E-2</v>
      </c>
      <c r="J30" s="299">
        <f>IF('AW Schulen'!$H114=0,"x",(IF('AW Schulen'!$H132=0,"-",E30/'AW Schulen'!$H132)))</f>
        <v>5.3254437869822487E-2</v>
      </c>
      <c r="K30" s="299">
        <f>IF('AW Schulen'!$K114=0,"x",(IF('AW Schulen'!$K132=0,"-",F30/'AW Schulen'!$K132)))</f>
        <v>6.1904761904761907E-2</v>
      </c>
      <c r="L30" s="300">
        <f>IF('AW Schulen'!$N114=0,"x",(IF('AW Schulen'!$N132=0,"-",G30/'AW Schulen'!$N132)))</f>
        <v>5.7268722466960353E-2</v>
      </c>
    </row>
    <row r="31" spans="1:12" ht="9" customHeight="1">
      <c r="A31" s="21" t="s">
        <v>81</v>
      </c>
      <c r="B31" s="120"/>
      <c r="C31" s="183">
        <v>0</v>
      </c>
      <c r="D31" s="23">
        <f>[7]GtS!$F$16</f>
        <v>0</v>
      </c>
      <c r="E31" s="23">
        <f>[8]GtS!$F$16</f>
        <v>0</v>
      </c>
      <c r="F31" s="23" t="str">
        <f>[9]GtS!$F$16</f>
        <v xml:space="preserve">                                      -   </v>
      </c>
      <c r="G31" s="34">
        <f>[10]GtS!$F$16</f>
        <v>0</v>
      </c>
      <c r="H31" s="183">
        <v>0</v>
      </c>
      <c r="I31" s="299" t="str">
        <f>IF('AW Schulen'!$E115=0,"x",(IF('AW Schulen'!$E133=0,"-",D31/'AW Schulen'!$E133)))</f>
        <v>-</v>
      </c>
      <c r="J31" s="299" t="str">
        <f>IF('AW Schulen'!$H115=0,"x",(IF('AW Schulen'!$H133=0,"-",E31/'AW Schulen'!$H133)))</f>
        <v>-</v>
      </c>
      <c r="K31" s="299" t="e">
        <f>IF('AW Schulen'!$K115=0,"x",(IF('AW Schulen'!$K133=0,"-",F31/'AW Schulen'!$K133)))</f>
        <v>#VALUE!</v>
      </c>
      <c r="L31" s="300" t="str">
        <f>IF('AW Schulen'!$N115=0,"x",(IF('AW Schulen'!$N133=0,"-",G31/'AW Schulen'!$N133)))</f>
        <v>-</v>
      </c>
    </row>
    <row r="32" spans="1:12" ht="9" customHeight="1">
      <c r="A32" s="21" t="s">
        <v>82</v>
      </c>
      <c r="B32" s="120"/>
      <c r="C32" s="183">
        <v>0</v>
      </c>
      <c r="D32" s="23">
        <f>[12]GtS!$F$16</f>
        <v>46</v>
      </c>
      <c r="E32" s="23">
        <f>[13]GtS!$F$16</f>
        <v>10</v>
      </c>
      <c r="F32" s="23">
        <f>[14]GtS!$F$16</f>
        <v>10</v>
      </c>
      <c r="G32" s="34">
        <f>[15]GtS!$F$16</f>
        <v>10</v>
      </c>
      <c r="H32" s="183">
        <v>0</v>
      </c>
      <c r="I32" s="299">
        <f>IF('AW Schulen'!$E116=0,"x",(IF('AW Schulen'!$E134=0,"-",D32/'AW Schulen'!$E134)))</f>
        <v>0.38016528925619836</v>
      </c>
      <c r="J32" s="299">
        <f>IF('AW Schulen'!$H116=0,"x",(IF('AW Schulen'!$H134=0,"-",E32/'AW Schulen'!$H134)))</f>
        <v>0.52631578947368418</v>
      </c>
      <c r="K32" s="299">
        <f>IF('AW Schulen'!$K116=0,"x",(IF('AW Schulen'!$K134=0,"-",F32/'AW Schulen'!$K134)))</f>
        <v>0.45454545454545453</v>
      </c>
      <c r="L32" s="300">
        <f>IF('AW Schulen'!$N116=0,"x",(IF('AW Schulen'!$N134=0,"-",G32/'AW Schulen'!$N134)))</f>
        <v>0.43478260869565216</v>
      </c>
    </row>
    <row r="33" spans="1:12" ht="9" customHeight="1">
      <c r="A33" s="21" t="s">
        <v>83</v>
      </c>
      <c r="B33" s="120"/>
      <c r="C33" s="183">
        <v>0</v>
      </c>
      <c r="D33" s="23">
        <f>[17]GtS!$F$16</f>
        <v>0</v>
      </c>
      <c r="E33" s="23">
        <f>[18]GtS!$F$16</f>
        <v>0</v>
      </c>
      <c r="F33" s="23">
        <f>[19]GtS!$F$16</f>
        <v>0</v>
      </c>
      <c r="G33" s="34">
        <f>[20]GtS!$F$16</f>
        <v>0</v>
      </c>
      <c r="H33" s="183">
        <v>0</v>
      </c>
      <c r="I33" s="299">
        <f>IF('AW Schulen'!$E117=0,"x",(IF('AW Schulen'!$E135=0,"-",D33/'AW Schulen'!$E135)))</f>
        <v>0</v>
      </c>
      <c r="J33" s="299">
        <f>IF('AW Schulen'!$H117=0,"x",(IF('AW Schulen'!$H135=0,"-",E33/'AW Schulen'!$H135)))</f>
        <v>0</v>
      </c>
      <c r="K33" s="299">
        <f>IF('AW Schulen'!$K117=0,"x",(IF('AW Schulen'!$K135=0,"-",F33/'AW Schulen'!$K135)))</f>
        <v>0</v>
      </c>
      <c r="L33" s="300">
        <f>IF('AW Schulen'!$N117=0,"x",(IF('AW Schulen'!$N135=0,"-",G33/'AW Schulen'!$N135)))</f>
        <v>0</v>
      </c>
    </row>
    <row r="34" spans="1:12" ht="9" customHeight="1">
      <c r="A34" s="21" t="s">
        <v>84</v>
      </c>
      <c r="B34" s="120"/>
      <c r="C34" s="183">
        <v>0</v>
      </c>
      <c r="D34" s="23">
        <f>[22]GtS!$F$16</f>
        <v>0</v>
      </c>
      <c r="E34" s="23">
        <f>[23]GtS!$F$16</f>
        <v>0</v>
      </c>
      <c r="F34" s="23">
        <f>[24]GtS!$F$16</f>
        <v>0</v>
      </c>
      <c r="G34" s="34">
        <f>[25]GtS!$F$16</f>
        <v>0</v>
      </c>
      <c r="H34" s="183">
        <v>0</v>
      </c>
      <c r="I34" s="299" t="str">
        <f>IF('AW Schulen'!$E118=0,"x",(IF('AW Schulen'!$E136=0,"-",D34/'AW Schulen'!$E136)))</f>
        <v>-</v>
      </c>
      <c r="J34" s="299" t="str">
        <f>IF('AW Schulen'!$H118=0,"x",(IF('AW Schulen'!$H136=0,"-",E34/'AW Schulen'!$H136)))</f>
        <v>-</v>
      </c>
      <c r="K34" s="299" t="str">
        <f>IF('AW Schulen'!$K118=0,"x",(IF('AW Schulen'!$K136=0,"-",F34/'AW Schulen'!$K136)))</f>
        <v>-</v>
      </c>
      <c r="L34" s="300" t="str">
        <f>IF('AW Schulen'!$N118=0,"x",(IF('AW Schulen'!$N136=0,"-",G34/'AW Schulen'!$N136)))</f>
        <v>-</v>
      </c>
    </row>
    <row r="35" spans="1:12" ht="9" customHeight="1">
      <c r="A35" s="21" t="s">
        <v>85</v>
      </c>
      <c r="B35" s="120"/>
      <c r="C35" s="183">
        <v>0</v>
      </c>
      <c r="D35" s="23">
        <f>[27]GtS!$F$16</f>
        <v>5</v>
      </c>
      <c r="E35" s="23">
        <f>[28]GtS!$F$16</f>
        <v>5</v>
      </c>
      <c r="F35" s="23">
        <f>[29]GtS!$F$16</f>
        <v>5</v>
      </c>
      <c r="G35" s="34">
        <f>[30]GtS!$F$16</f>
        <v>5</v>
      </c>
      <c r="H35" s="183">
        <v>0</v>
      </c>
      <c r="I35" s="299">
        <f>IF('AW Schulen'!$E119=0,"x",(IF('AW Schulen'!$E137=0,"-",D35/'AW Schulen'!$E137)))</f>
        <v>0.38461538461538464</v>
      </c>
      <c r="J35" s="299">
        <f>IF('AW Schulen'!$H119=0,"x",(IF('AW Schulen'!$H137=0,"-",E35/'AW Schulen'!$H137)))</f>
        <v>0.38461538461538464</v>
      </c>
      <c r="K35" s="299">
        <f>IF('AW Schulen'!$K119=0,"x",(IF('AW Schulen'!$K137=0,"-",F35/'AW Schulen'!$K137)))</f>
        <v>0.38461538461538464</v>
      </c>
      <c r="L35" s="300">
        <f>IF('AW Schulen'!$N119=0,"x",(IF('AW Schulen'!$N137=0,"-",G35/'AW Schulen'!$N137)))</f>
        <v>0.38461538461538464</v>
      </c>
    </row>
    <row r="36" spans="1:12" ht="9" customHeight="1">
      <c r="A36" s="21" t="s">
        <v>86</v>
      </c>
      <c r="B36" s="120"/>
      <c r="C36" s="183">
        <v>0</v>
      </c>
      <c r="D36" s="23">
        <f>[67]GtS!$F$16</f>
        <v>2</v>
      </c>
      <c r="E36" s="23">
        <f>[68]GtS!$F$16</f>
        <v>1</v>
      </c>
      <c r="F36" s="23">
        <f>[69]GtS!$F$16</f>
        <v>1</v>
      </c>
      <c r="G36" s="34">
        <f>[70]GtS!$F$16</f>
        <v>1</v>
      </c>
      <c r="H36" s="183">
        <v>0</v>
      </c>
      <c r="I36" s="299">
        <f>IF('AW Schulen'!$E120=0,"x",(IF('AW Schulen'!$E138=0,"-",D36/'AW Schulen'!$E138)))</f>
        <v>0.18181818181818182</v>
      </c>
      <c r="J36" s="299">
        <f>IF('AW Schulen'!$H120=0,"x",(IF('AW Schulen'!$H138=0,"-",E36/'AW Schulen'!$H138)))</f>
        <v>8.3333333333333329E-2</v>
      </c>
      <c r="K36" s="299">
        <f>IF('AW Schulen'!$K120=0,"x",(IF('AW Schulen'!$K138=0,"-",F36/'AW Schulen'!$K138)))</f>
        <v>8.3333333333333329E-2</v>
      </c>
      <c r="L36" s="300">
        <f>IF('AW Schulen'!$N120=0,"x",(IF('AW Schulen'!$N138=0,"-",G36/'AW Schulen'!$N138)))</f>
        <v>7.1428571428571425E-2</v>
      </c>
    </row>
    <row r="37" spans="1:12" ht="9" customHeight="1">
      <c r="A37" s="21" t="s">
        <v>87</v>
      </c>
      <c r="B37" s="120"/>
      <c r="C37" s="183">
        <v>0</v>
      </c>
      <c r="D37" s="23">
        <f>[32]GtS!$F$16</f>
        <v>0</v>
      </c>
      <c r="E37" s="23">
        <f>[33]GtS!$F$16</f>
        <v>0</v>
      </c>
      <c r="F37" s="23">
        <f>[34]GtS!$F$16</f>
        <v>0</v>
      </c>
      <c r="G37" s="34">
        <f>[35]GtS!$F$16</f>
        <v>0</v>
      </c>
      <c r="H37" s="183">
        <v>0</v>
      </c>
      <c r="I37" s="299" t="str">
        <f>IF('AW Schulen'!$E121=0,"x",(IF('AW Schulen'!$E139=0,"-",D37/'AW Schulen'!$E139)))</f>
        <v>-</v>
      </c>
      <c r="J37" s="299" t="str">
        <f>IF('AW Schulen'!$H121=0,"x",(IF('AW Schulen'!$H139=0,"-",E37/'AW Schulen'!$H139)))</f>
        <v>-</v>
      </c>
      <c r="K37" s="299" t="str">
        <f>IF('AW Schulen'!$K121=0,"x",(IF('AW Schulen'!$K139=0,"-",F37/'AW Schulen'!$K139)))</f>
        <v>-</v>
      </c>
      <c r="L37" s="300" t="str">
        <f>IF('AW Schulen'!$N121=0,"x",(IF('AW Schulen'!$N139=0,"-",G37/'AW Schulen'!$N139)))</f>
        <v>-</v>
      </c>
    </row>
    <row r="38" spans="1:12" ht="9" customHeight="1">
      <c r="A38" s="21" t="s">
        <v>88</v>
      </c>
      <c r="B38" s="120"/>
      <c r="C38" s="183">
        <v>0</v>
      </c>
      <c r="D38" s="23">
        <f>[72]GtS!$F$16</f>
        <v>1</v>
      </c>
      <c r="E38" s="23">
        <f>[73]GtS!$F$16</f>
        <v>1</v>
      </c>
      <c r="F38" s="23">
        <f>[74]GtS!$F$16</f>
        <v>1</v>
      </c>
      <c r="G38" s="34">
        <f>[75]GtS!$F$16</f>
        <v>1</v>
      </c>
      <c r="H38" s="183">
        <v>0</v>
      </c>
      <c r="I38" s="299">
        <f>IF('AW Schulen'!$E122=0,"x",(IF('AW Schulen'!$E140=0,"-",D38/'AW Schulen'!$E140)))</f>
        <v>1</v>
      </c>
      <c r="J38" s="299">
        <f>IF('AW Schulen'!$H122=0,"x",(IF('AW Schulen'!$H140=0,"-",E38/'AW Schulen'!$H140)))</f>
        <v>1</v>
      </c>
      <c r="K38" s="299">
        <f>IF('AW Schulen'!$K122=0,"x",(IF('AW Schulen'!$K140=0,"-",F38/'AW Schulen'!$K140)))</f>
        <v>1</v>
      </c>
      <c r="L38" s="300">
        <f>IF('AW Schulen'!$N122=0,"x",(IF('AW Schulen'!$N140=0,"-",G38/'AW Schulen'!$N140)))</f>
        <v>1</v>
      </c>
    </row>
    <row r="39" spans="1:12" ht="9" customHeight="1">
      <c r="A39" s="21" t="s">
        <v>89</v>
      </c>
      <c r="B39" s="120"/>
      <c r="C39" s="183">
        <v>0</v>
      </c>
      <c r="D39" s="23">
        <f>[37]GtS!$F$16</f>
        <v>1</v>
      </c>
      <c r="E39" s="23">
        <f>[38]GtS!$F$16</f>
        <v>0</v>
      </c>
      <c r="F39" s="23">
        <f>[39]GtS!$F$16</f>
        <v>1</v>
      </c>
      <c r="G39" s="34">
        <f>[40]GtS!$F$16</f>
        <v>1</v>
      </c>
      <c r="H39" s="183">
        <v>0</v>
      </c>
      <c r="I39" s="299">
        <f>IF('AW Schulen'!$E123=0,"x",(IF('AW Schulen'!$E141=0,"-",D39/'AW Schulen'!$E141)))</f>
        <v>0.5</v>
      </c>
      <c r="J39" s="299">
        <f>IF('AW Schulen'!$H123=0,"x",(IF('AW Schulen'!$H141=0,"-",E39/'AW Schulen'!$H141)))</f>
        <v>0</v>
      </c>
      <c r="K39" s="299">
        <f>IF('AW Schulen'!$K123=0,"x",(IF('AW Schulen'!$K141=0,"-",F39/'AW Schulen'!$K141)))</f>
        <v>0.2</v>
      </c>
      <c r="L39" s="300">
        <f>IF('AW Schulen'!$N123=0,"x",(IF('AW Schulen'!$N141=0,"-",G39/'AW Schulen'!$N141)))</f>
        <v>0.2</v>
      </c>
    </row>
    <row r="40" spans="1:12" ht="9" customHeight="1">
      <c r="A40" s="21" t="s">
        <v>90</v>
      </c>
      <c r="B40" s="120"/>
      <c r="C40" s="183">
        <v>0</v>
      </c>
      <c r="D40" s="23">
        <f>[42]GtS!$F$16</f>
        <v>0</v>
      </c>
      <c r="E40" s="23">
        <f>[43]GtS!$F$16</f>
        <v>0</v>
      </c>
      <c r="F40" s="23">
        <f>[44]GtS!$F$16</f>
        <v>0</v>
      </c>
      <c r="G40" s="34">
        <f>[45]GtS!$F$16</f>
        <v>0</v>
      </c>
      <c r="H40" s="183">
        <v>0</v>
      </c>
      <c r="I40" s="299" t="str">
        <f>IF('AW Schulen'!$E124=0,"x",(IF('AW Schulen'!$E142=0,"-",D40/'AW Schulen'!$E142)))</f>
        <v>-</v>
      </c>
      <c r="J40" s="299" t="str">
        <f>IF('AW Schulen'!$H124=0,"x",(IF('AW Schulen'!$H142=0,"-",E40/'AW Schulen'!$H142)))</f>
        <v>-</v>
      </c>
      <c r="K40" s="299" t="str">
        <f>IF('AW Schulen'!$K124=0,"x",(IF('AW Schulen'!$K142=0,"-",F40/'AW Schulen'!$K142)))</f>
        <v>-</v>
      </c>
      <c r="L40" s="300" t="str">
        <f>IF('AW Schulen'!$N124=0,"x",(IF('AW Schulen'!$N142=0,"-",G40/'AW Schulen'!$N142)))</f>
        <v>-</v>
      </c>
    </row>
    <row r="41" spans="1:12" ht="9" customHeight="1">
      <c r="A41" s="21" t="s">
        <v>91</v>
      </c>
      <c r="B41" s="120"/>
      <c r="C41" s="183">
        <v>0</v>
      </c>
      <c r="D41" s="23">
        <f>[47]GtS!$F$16</f>
        <v>0</v>
      </c>
      <c r="E41" s="23">
        <f>[48]GtS!$F$16</f>
        <v>0</v>
      </c>
      <c r="F41" s="23">
        <f>[49]GtS!$F$16</f>
        <v>0</v>
      </c>
      <c r="G41" s="34">
        <f>[50]GtS!$F$16</f>
        <v>0</v>
      </c>
      <c r="H41" s="183">
        <v>0</v>
      </c>
      <c r="I41" s="299" t="str">
        <f>IF('AW Schulen'!$E125=0,"x",(IF('AW Schulen'!$E143=0,"-",D41/'AW Schulen'!$E143)))</f>
        <v>-</v>
      </c>
      <c r="J41" s="299" t="str">
        <f>IF('AW Schulen'!$H125=0,"x",(IF('AW Schulen'!$H143=0,"-",E41/'AW Schulen'!$H143)))</f>
        <v>-</v>
      </c>
      <c r="K41" s="299" t="str">
        <f>IF('AW Schulen'!$K125=0,"x",(IF('AW Schulen'!$K143=0,"-",F41/'AW Schulen'!$K143)))</f>
        <v>-</v>
      </c>
      <c r="L41" s="300" t="str">
        <f>IF('AW Schulen'!$N125=0,"x",(IF('AW Schulen'!$N143=0,"-",G41/'AW Schulen'!$N143)))</f>
        <v>-</v>
      </c>
    </row>
    <row r="42" spans="1:12" ht="9" customHeight="1">
      <c r="A42" s="21" t="s">
        <v>92</v>
      </c>
      <c r="B42" s="120"/>
      <c r="C42" s="183">
        <v>0</v>
      </c>
      <c r="D42" s="151">
        <f>[52]GtS!$F$16</f>
        <v>0</v>
      </c>
      <c r="E42" s="151">
        <f>[53]GtS!$F$16</f>
        <v>0</v>
      </c>
      <c r="F42" s="151">
        <f>[54]GtS!$F$16</f>
        <v>0</v>
      </c>
      <c r="G42" s="152">
        <f>[55]GtS!$F$16</f>
        <v>0</v>
      </c>
      <c r="H42" s="183">
        <v>0</v>
      </c>
      <c r="I42" s="299" t="str">
        <f>IF('AW Schulen'!$E126=0,"x",(IF('AW Schulen'!$E144=0,"-",D42/'AW Schulen'!$E144)))</f>
        <v>x</v>
      </c>
      <c r="J42" s="299" t="str">
        <f>IF('AW Schulen'!$H126=0,"x",(IF('AW Schulen'!$H144=0,"-",E42/'AW Schulen'!$H144)))</f>
        <v>x</v>
      </c>
      <c r="K42" s="299" t="str">
        <f>IF('AW Schulen'!$K126=0,"x",(IF('AW Schulen'!$K144=0,"-",F42/'AW Schulen'!$K144)))</f>
        <v>x</v>
      </c>
      <c r="L42" s="300" t="str">
        <f>IF('AW Schulen'!$N126=0,"x",(IF('AW Schulen'!$N144=0,"-",G42/'AW Schulen'!$N144)))</f>
        <v>x</v>
      </c>
    </row>
    <row r="43" spans="1:12" ht="9" customHeight="1">
      <c r="A43" s="21" t="s">
        <v>93</v>
      </c>
      <c r="B43" s="120"/>
      <c r="C43" s="183">
        <v>0</v>
      </c>
      <c r="D43" s="23">
        <f>[77]GtS!$F$16</f>
        <v>0</v>
      </c>
      <c r="E43" s="23">
        <f>[78]GtS!$F$16</f>
        <v>0</v>
      </c>
      <c r="F43" s="23">
        <f>[79]GtS!$F$16</f>
        <v>0</v>
      </c>
      <c r="G43" s="34">
        <f>[80]GtS!$F$16</f>
        <v>0</v>
      </c>
      <c r="H43" s="183">
        <v>0</v>
      </c>
      <c r="I43" s="299" t="str">
        <f>IF('AW Schulen'!$E127=0,"x",(IF('AW Schulen'!$E145=0,"-",D43/'AW Schulen'!$E145)))</f>
        <v>-</v>
      </c>
      <c r="J43" s="299" t="str">
        <f>IF('AW Schulen'!$H127=0,"x",(IF('AW Schulen'!$H145=0,"-",E43/'AW Schulen'!$H145)))</f>
        <v>-</v>
      </c>
      <c r="K43" s="299" t="str">
        <f>IF('AW Schulen'!$K127=0,"x",(IF('AW Schulen'!$K145=0,"-",F43/'AW Schulen'!$K145)))</f>
        <v>-</v>
      </c>
      <c r="L43" s="300" t="str">
        <f>IF('AW Schulen'!$N127=0,"x",(IF('AW Schulen'!$N145=0,"-",G43/'AW Schulen'!$N145)))</f>
        <v>-</v>
      </c>
    </row>
    <row r="44" spans="1:12" ht="9" customHeight="1">
      <c r="A44" s="21" t="s">
        <v>143</v>
      </c>
      <c r="B44" s="120"/>
      <c r="C44" s="183">
        <v>0</v>
      </c>
      <c r="D44" s="23">
        <f>[57]GtS!$F$16</f>
        <v>0</v>
      </c>
      <c r="E44" s="23">
        <f>[58]GtS!$F$16</f>
        <v>0</v>
      </c>
      <c r="F44" s="23">
        <f>[59]GtS!$F$16</f>
        <v>0</v>
      </c>
      <c r="G44" s="34">
        <f>[60]GtS!$F$16</f>
        <v>0</v>
      </c>
      <c r="H44" s="183">
        <v>0</v>
      </c>
      <c r="I44" s="299" t="str">
        <f>IF('AW Schulen'!$E128=0,"x",(IF('AW Schulen'!$E146=0,"-",D44/'AW Schulen'!$E146)))</f>
        <v>-</v>
      </c>
      <c r="J44" s="299" t="str">
        <f>IF('AW Schulen'!$H128=0,"x",(IF('AW Schulen'!$H146=0,"-",E44/'AW Schulen'!$H146)))</f>
        <v>-</v>
      </c>
      <c r="K44" s="299" t="str">
        <f>IF('AW Schulen'!$K128=0,"x",(IF('AW Schulen'!$K146=0,"-",F44/'AW Schulen'!$K146)))</f>
        <v>-</v>
      </c>
      <c r="L44" s="300" t="str">
        <f>IF('AW Schulen'!$N128=0,"x",(IF('AW Schulen'!$N146=0,"-",G44/'AW Schulen'!$N146)))</f>
        <v>-</v>
      </c>
    </row>
    <row r="45" spans="1:12" ht="9" customHeight="1">
      <c r="A45" s="21" t="s">
        <v>95</v>
      </c>
      <c r="B45" s="120"/>
      <c r="C45" s="183">
        <v>0</v>
      </c>
      <c r="D45" s="23">
        <f>[62]GtS!$F$16</f>
        <v>4</v>
      </c>
      <c r="E45" s="23">
        <f>[63]GtS!$F$16</f>
        <v>2</v>
      </c>
      <c r="F45" s="23">
        <f>[64]GtS!$F$16</f>
        <v>2</v>
      </c>
      <c r="G45" s="34">
        <f>[65]GtS!$F$16</f>
        <v>2</v>
      </c>
      <c r="H45" s="183">
        <v>0</v>
      </c>
      <c r="I45" s="299">
        <f>IF('AW Schulen'!$E129=0,"x",(IF('AW Schulen'!$E147=0,"-",D45/'AW Schulen'!$E147)))</f>
        <v>0.36363636363636365</v>
      </c>
      <c r="J45" s="299">
        <f>IF('AW Schulen'!$H129=0,"x",(IF('AW Schulen'!$H147=0,"-",E45/'AW Schulen'!$H147)))</f>
        <v>0.14285714285714285</v>
      </c>
      <c r="K45" s="299">
        <f>IF('AW Schulen'!$K129=0,"x",(IF('AW Schulen'!$K147=0,"-",F45/'AW Schulen'!$K147)))</f>
        <v>0.10526315789473684</v>
      </c>
      <c r="L45" s="300">
        <f>IF('AW Schulen'!$N129=0,"x",(IF('AW Schulen'!$N147=0,"-",G45/'AW Schulen'!$N147)))</f>
        <v>8.6956521739130432E-2</v>
      </c>
    </row>
    <row r="46" spans="1:12" ht="9" customHeight="1">
      <c r="A46" s="21" t="s">
        <v>96</v>
      </c>
      <c r="B46" s="120"/>
      <c r="C46" s="183">
        <v>0</v>
      </c>
      <c r="D46" s="23">
        <f t="shared" ref="D46:E46" si="35">SUM(D30:D45)</f>
        <v>62</v>
      </c>
      <c r="E46" s="23">
        <f t="shared" si="35"/>
        <v>28</v>
      </c>
      <c r="F46" s="23">
        <f t="shared" ref="F46:G46" si="36">SUM(F30:F45)</f>
        <v>33</v>
      </c>
      <c r="G46" s="34">
        <f t="shared" si="36"/>
        <v>33</v>
      </c>
      <c r="H46" s="183">
        <v>0</v>
      </c>
      <c r="I46" s="299">
        <f>IF('AW Schulen'!$E130=0,"x",(IF('AW Schulen'!$E148=0,"-",D46/'AW Schulen'!$E148)))</f>
        <v>0.23308270676691728</v>
      </c>
      <c r="J46" s="299">
        <f>IF('AW Schulen'!$H130=0,"x",(IF('AW Schulen'!$H148=0,"-",E46/'AW Schulen'!$H148)))</f>
        <v>0.11914893617021277</v>
      </c>
      <c r="K46" s="299">
        <f>IF('AW Schulen'!$K130=0,"x",(IF('AW Schulen'!$K148=0,"-",F46/'AW Schulen'!$K148)))</f>
        <v>0.11619718309859155</v>
      </c>
      <c r="L46" s="300">
        <f>IF('AW Schulen'!$N130=0,"x",(IF('AW Schulen'!$N148=0,"-",G46/'AW Schulen'!$N148)))</f>
        <v>0.10679611650485436</v>
      </c>
    </row>
    <row r="47" spans="1:12" ht="12.75" customHeight="1">
      <c r="A47" s="391" t="s">
        <v>99</v>
      </c>
      <c r="B47" s="392"/>
      <c r="C47" s="392"/>
      <c r="D47" s="392"/>
      <c r="E47" s="392"/>
      <c r="F47" s="392"/>
      <c r="G47" s="392"/>
      <c r="H47" s="392"/>
      <c r="I47" s="392"/>
      <c r="J47" s="392"/>
      <c r="K47" s="392"/>
      <c r="L47" s="393"/>
    </row>
    <row r="48" spans="1:12" ht="9" customHeight="1">
      <c r="A48" s="21" t="s">
        <v>172</v>
      </c>
      <c r="B48" s="120"/>
      <c r="C48" s="183">
        <v>0</v>
      </c>
      <c r="D48" s="23">
        <f>[2]GtS!$G$16</f>
        <v>9</v>
      </c>
      <c r="E48" s="23">
        <f>[3]GtS!$G$16</f>
        <v>18</v>
      </c>
      <c r="F48" s="23">
        <f>[4]GtS!$G$16</f>
        <v>20</v>
      </c>
      <c r="G48" s="34">
        <f>[5]GtS!$G$16</f>
        <v>21</v>
      </c>
      <c r="H48" s="183">
        <v>0</v>
      </c>
      <c r="I48" s="299">
        <f>IF('AW Schulen'!$E114=0,"x",(IF('AW Schulen'!$E132=0,"-",D48/'AW Schulen'!$E132)))</f>
        <v>8.5714285714285715E-2</v>
      </c>
      <c r="J48" s="299">
        <f>IF('AW Schulen'!$H114=0,"x",(IF('AW Schulen'!$H132=0,"-",E48/'AW Schulen'!$H132)))</f>
        <v>0.10650887573964497</v>
      </c>
      <c r="K48" s="299">
        <f>IF('AW Schulen'!$K114=0,"x",(IF('AW Schulen'!$K132=0,"-",F48/'AW Schulen'!$K132)))</f>
        <v>9.5238095238095233E-2</v>
      </c>
      <c r="L48" s="300">
        <f>IF('AW Schulen'!$N114=0,"x",(IF('AW Schulen'!$N132=0,"-",G48/'AW Schulen'!$N132)))</f>
        <v>9.2511013215859028E-2</v>
      </c>
    </row>
    <row r="49" spans="1:12" ht="9" customHeight="1">
      <c r="A49" s="21" t="s">
        <v>81</v>
      </c>
      <c r="B49" s="120"/>
      <c r="C49" s="183">
        <v>0</v>
      </c>
      <c r="D49" s="23">
        <f>[7]GtS!$G$16</f>
        <v>0</v>
      </c>
      <c r="E49" s="23">
        <f>[8]GtS!$G$16</f>
        <v>0</v>
      </c>
      <c r="F49" s="23" t="str">
        <f>[9]GtS!$G$16</f>
        <v xml:space="preserve">                                      -   </v>
      </c>
      <c r="G49" s="34">
        <f>[10]GtS!$G$16</f>
        <v>0</v>
      </c>
      <c r="H49" s="183">
        <v>0</v>
      </c>
      <c r="I49" s="299" t="str">
        <f>IF('AW Schulen'!$E115=0,"x",(IF('AW Schulen'!$E133=0,"-",D49/'AW Schulen'!$E133)))</f>
        <v>-</v>
      </c>
      <c r="J49" s="299" t="str">
        <f>IF('AW Schulen'!$H115=0,"x",(IF('AW Schulen'!$H133=0,"-",E49/'AW Schulen'!$H133)))</f>
        <v>-</v>
      </c>
      <c r="K49" s="299" t="e">
        <f>IF('AW Schulen'!$K115=0,"x",(IF('AW Schulen'!$K133=0,"-",F49/'AW Schulen'!$K133)))</f>
        <v>#VALUE!</v>
      </c>
      <c r="L49" s="300" t="str">
        <f>IF('AW Schulen'!$N115=0,"x",(IF('AW Schulen'!$N133=0,"-",G49/'AW Schulen'!$N133)))</f>
        <v>-</v>
      </c>
    </row>
    <row r="50" spans="1:12" ht="9" customHeight="1">
      <c r="A50" s="21" t="s">
        <v>82</v>
      </c>
      <c r="B50" s="120"/>
      <c r="C50" s="183">
        <v>0</v>
      </c>
      <c r="D50" s="23">
        <f>[12]GtS!$G$16</f>
        <v>7</v>
      </c>
      <c r="E50" s="23">
        <f>[13]GtS!$G$16</f>
        <v>1</v>
      </c>
      <c r="F50" s="23">
        <f>[14]GtS!$G$16</f>
        <v>1</v>
      </c>
      <c r="G50" s="34">
        <f>[15]GtS!$G$16</f>
        <v>1</v>
      </c>
      <c r="H50" s="183">
        <v>0</v>
      </c>
      <c r="I50" s="299">
        <f>IF('AW Schulen'!$E116=0,"x",(IF('AW Schulen'!$E134=0,"-",D50/'AW Schulen'!$E134)))</f>
        <v>5.7851239669421489E-2</v>
      </c>
      <c r="J50" s="299">
        <f>IF('AW Schulen'!$H116=0,"x",(IF('AW Schulen'!$H134=0,"-",E50/'AW Schulen'!$H134)))</f>
        <v>5.2631578947368418E-2</v>
      </c>
      <c r="K50" s="299">
        <f>IF('AW Schulen'!$K116=0,"x",(IF('AW Schulen'!$K134=0,"-",F50/'AW Schulen'!$K134)))</f>
        <v>4.5454545454545456E-2</v>
      </c>
      <c r="L50" s="300">
        <f>IF('AW Schulen'!$N116=0,"x",(IF('AW Schulen'!$N134=0,"-",G50/'AW Schulen'!$N134)))</f>
        <v>4.3478260869565216E-2</v>
      </c>
    </row>
    <row r="51" spans="1:12" ht="9" customHeight="1">
      <c r="A51" s="21" t="s">
        <v>83</v>
      </c>
      <c r="B51" s="120"/>
      <c r="C51" s="183">
        <v>0</v>
      </c>
      <c r="D51" s="23">
        <f>[17]GtS!$G$16</f>
        <v>0</v>
      </c>
      <c r="E51" s="23">
        <f>[18]GtS!$G$16</f>
        <v>0</v>
      </c>
      <c r="F51" s="23">
        <f>[19]GtS!$G$16</f>
        <v>0</v>
      </c>
      <c r="G51" s="34">
        <f>[20]GtS!$G$16</f>
        <v>0</v>
      </c>
      <c r="H51" s="183">
        <v>0</v>
      </c>
      <c r="I51" s="299">
        <f>IF('AW Schulen'!$E117=0,"x",(IF('AW Schulen'!$E135=0,"-",D51/'AW Schulen'!$E135)))</f>
        <v>0</v>
      </c>
      <c r="J51" s="299">
        <f>IF('AW Schulen'!$H117=0,"x",(IF('AW Schulen'!$H135=0,"-",E51/'AW Schulen'!$H135)))</f>
        <v>0</v>
      </c>
      <c r="K51" s="299">
        <f>IF('AW Schulen'!$K117=0,"x",(IF('AW Schulen'!$K135=0,"-",F51/'AW Schulen'!$K135)))</f>
        <v>0</v>
      </c>
      <c r="L51" s="300">
        <f>IF('AW Schulen'!$N117=0,"x",(IF('AW Schulen'!$N135=0,"-",G51/'AW Schulen'!$N135)))</f>
        <v>0</v>
      </c>
    </row>
    <row r="52" spans="1:12" ht="9" customHeight="1">
      <c r="A52" s="21" t="s">
        <v>84</v>
      </c>
      <c r="B52" s="120"/>
      <c r="C52" s="183">
        <v>0</v>
      </c>
      <c r="D52" s="23">
        <f>[22]GtS!$G$16</f>
        <v>0</v>
      </c>
      <c r="E52" s="23">
        <f>[23]GtS!$G$16</f>
        <v>0</v>
      </c>
      <c r="F52" s="23">
        <f>[24]GtS!$G$16</f>
        <v>0</v>
      </c>
      <c r="G52" s="34">
        <f>[25]GtS!$G$16</f>
        <v>0</v>
      </c>
      <c r="H52" s="183">
        <v>0</v>
      </c>
      <c r="I52" s="299" t="str">
        <f>IF('AW Schulen'!$E118=0,"x",(IF('AW Schulen'!$E136=0,"-",D52/'AW Schulen'!$E136)))</f>
        <v>-</v>
      </c>
      <c r="J52" s="299" t="str">
        <f>IF('AW Schulen'!$H118=0,"x",(IF('AW Schulen'!$H136=0,"-",E52/'AW Schulen'!$H136)))</f>
        <v>-</v>
      </c>
      <c r="K52" s="299" t="str">
        <f>IF('AW Schulen'!$K118=0,"x",(IF('AW Schulen'!$K136=0,"-",F52/'AW Schulen'!$K136)))</f>
        <v>-</v>
      </c>
      <c r="L52" s="300" t="str">
        <f>IF('AW Schulen'!$N118=0,"x",(IF('AW Schulen'!$N136=0,"-",G52/'AW Schulen'!$N136)))</f>
        <v>-</v>
      </c>
    </row>
    <row r="53" spans="1:12" ht="9" customHeight="1">
      <c r="A53" s="21" t="s">
        <v>85</v>
      </c>
      <c r="B53" s="120"/>
      <c r="C53" s="183">
        <v>0</v>
      </c>
      <c r="D53" s="23">
        <f>[27]GtS!$G$16</f>
        <v>4</v>
      </c>
      <c r="E53" s="23">
        <f>[28]GtS!$G$16</f>
        <v>4</v>
      </c>
      <c r="F53" s="23">
        <f>[29]GtS!$G$16</f>
        <v>4</v>
      </c>
      <c r="G53" s="34">
        <f>[30]GtS!$G$16</f>
        <v>4</v>
      </c>
      <c r="H53" s="183">
        <v>0</v>
      </c>
      <c r="I53" s="299">
        <f>IF('AW Schulen'!$E119=0,"x",(IF('AW Schulen'!$E137=0,"-",D53/'AW Schulen'!$E137)))</f>
        <v>0.30769230769230771</v>
      </c>
      <c r="J53" s="299">
        <f>IF('AW Schulen'!$H119=0,"x",(IF('AW Schulen'!$H137=0,"-",E53/'AW Schulen'!$H137)))</f>
        <v>0.30769230769230771</v>
      </c>
      <c r="K53" s="299">
        <f>IF('AW Schulen'!$K119=0,"x",(IF('AW Schulen'!$K137=0,"-",F53/'AW Schulen'!$K137)))</f>
        <v>0.30769230769230771</v>
      </c>
      <c r="L53" s="300">
        <f>IF('AW Schulen'!$N119=0,"x",(IF('AW Schulen'!$N137=0,"-",G53/'AW Schulen'!$N137)))</f>
        <v>0.30769230769230771</v>
      </c>
    </row>
    <row r="54" spans="1:12" ht="9" customHeight="1">
      <c r="A54" s="21" t="s">
        <v>86</v>
      </c>
      <c r="B54" s="120"/>
      <c r="C54" s="183">
        <v>0</v>
      </c>
      <c r="D54" s="23">
        <f>[67]GtS!$G$16</f>
        <v>0</v>
      </c>
      <c r="E54" s="23">
        <f>[68]GtS!$G$16</f>
        <v>0</v>
      </c>
      <c r="F54" s="23">
        <f>[69]GtS!$G$16</f>
        <v>0</v>
      </c>
      <c r="G54" s="34">
        <f>[70]GtS!$G$16</f>
        <v>0</v>
      </c>
      <c r="H54" s="183">
        <v>0</v>
      </c>
      <c r="I54" s="299">
        <f>IF('AW Schulen'!$E120=0,"x",(IF('AW Schulen'!$E138=0,"-",D54/'AW Schulen'!$E138)))</f>
        <v>0</v>
      </c>
      <c r="J54" s="299">
        <f>IF('AW Schulen'!$H120=0,"x",(IF('AW Schulen'!$H138=0,"-",E54/'AW Schulen'!$H138)))</f>
        <v>0</v>
      </c>
      <c r="K54" s="299">
        <f>IF('AW Schulen'!$K120=0,"x",(IF('AW Schulen'!$K138=0,"-",F54/'AW Schulen'!$K138)))</f>
        <v>0</v>
      </c>
      <c r="L54" s="300">
        <f>IF('AW Schulen'!$N120=0,"x",(IF('AW Schulen'!$N138=0,"-",G54/'AW Schulen'!$N138)))</f>
        <v>0</v>
      </c>
    </row>
    <row r="55" spans="1:12" ht="9" customHeight="1">
      <c r="A55" s="21" t="s">
        <v>87</v>
      </c>
      <c r="B55" s="120"/>
      <c r="C55" s="183">
        <v>0</v>
      </c>
      <c r="D55" s="23">
        <f>[32]GtS!$G$16</f>
        <v>0</v>
      </c>
      <c r="E55" s="23">
        <f>[33]GtS!$G$16</f>
        <v>0</v>
      </c>
      <c r="F55" s="23">
        <f>[34]GtS!$G$16</f>
        <v>0</v>
      </c>
      <c r="G55" s="34">
        <f>[35]GtS!$G$16</f>
        <v>0</v>
      </c>
      <c r="H55" s="183">
        <v>0</v>
      </c>
      <c r="I55" s="299" t="str">
        <f>IF('AW Schulen'!$E121=0,"x",(IF('AW Schulen'!$E139=0,"-",D55/'AW Schulen'!$E139)))</f>
        <v>-</v>
      </c>
      <c r="J55" s="299" t="str">
        <f>IF('AW Schulen'!$H121=0,"x",(IF('AW Schulen'!$H139=0,"-",E55/'AW Schulen'!$H139)))</f>
        <v>-</v>
      </c>
      <c r="K55" s="299" t="str">
        <f>IF('AW Schulen'!$K121=0,"x",(IF('AW Schulen'!$K139=0,"-",F55/'AW Schulen'!$K139)))</f>
        <v>-</v>
      </c>
      <c r="L55" s="300" t="str">
        <f>IF('AW Schulen'!$N121=0,"x",(IF('AW Schulen'!$N139=0,"-",G55/'AW Schulen'!$N139)))</f>
        <v>-</v>
      </c>
    </row>
    <row r="56" spans="1:12" ht="9" customHeight="1">
      <c r="A56" s="21" t="s">
        <v>88</v>
      </c>
      <c r="B56" s="120"/>
      <c r="C56" s="183">
        <v>0</v>
      </c>
      <c r="D56" s="23">
        <f>[72]GtS!$G$16</f>
        <v>0</v>
      </c>
      <c r="E56" s="23">
        <f>[73]GtS!$G$16</f>
        <v>0</v>
      </c>
      <c r="F56" s="23">
        <f>[74]GtS!$G$16</f>
        <v>0</v>
      </c>
      <c r="G56" s="34">
        <f>[75]GtS!$G$16</f>
        <v>0</v>
      </c>
      <c r="H56" s="183">
        <v>0</v>
      </c>
      <c r="I56" s="299">
        <f>IF('AW Schulen'!$E122=0,"x",(IF('AW Schulen'!$E140=0,"-",D56/'AW Schulen'!$E140)))</f>
        <v>0</v>
      </c>
      <c r="J56" s="299">
        <f>IF('AW Schulen'!$H122=0,"x",(IF('AW Schulen'!$H140=0,"-",E56/'AW Schulen'!$H140)))</f>
        <v>0</v>
      </c>
      <c r="K56" s="299">
        <f>IF('AW Schulen'!$K122=0,"x",(IF('AW Schulen'!$K140=0,"-",F56/'AW Schulen'!$K140)))</f>
        <v>0</v>
      </c>
      <c r="L56" s="300">
        <f>IF('AW Schulen'!$N122=0,"x",(IF('AW Schulen'!$N140=0,"-",G56/'AW Schulen'!$N140)))</f>
        <v>0</v>
      </c>
    </row>
    <row r="57" spans="1:12" ht="9" customHeight="1">
      <c r="A57" s="21" t="s">
        <v>89</v>
      </c>
      <c r="B57" s="120"/>
      <c r="C57" s="183">
        <v>0</v>
      </c>
      <c r="D57" s="23">
        <f>[37]GtS!$G$16</f>
        <v>0</v>
      </c>
      <c r="E57" s="23">
        <f>[38]GtS!$G$16</f>
        <v>3</v>
      </c>
      <c r="F57" s="23">
        <f>[39]GtS!$G$16</f>
        <v>2</v>
      </c>
      <c r="G57" s="34">
        <f>[40]GtS!$G$16</f>
        <v>2</v>
      </c>
      <c r="H57" s="183">
        <v>0</v>
      </c>
      <c r="I57" s="299">
        <f>IF('AW Schulen'!$E123=0,"x",(IF('AW Schulen'!$E141=0,"-",D57/'AW Schulen'!$E141)))</f>
        <v>0</v>
      </c>
      <c r="J57" s="299">
        <f>IF('AW Schulen'!$H123=0,"x",(IF('AW Schulen'!$H141=0,"-",E57/'AW Schulen'!$H141)))</f>
        <v>0.6</v>
      </c>
      <c r="K57" s="299">
        <f>IF('AW Schulen'!$K123=0,"x",(IF('AW Schulen'!$K141=0,"-",F57/'AW Schulen'!$K141)))</f>
        <v>0.4</v>
      </c>
      <c r="L57" s="300">
        <f>IF('AW Schulen'!$N123=0,"x",(IF('AW Schulen'!$N141=0,"-",G57/'AW Schulen'!$N141)))</f>
        <v>0.4</v>
      </c>
    </row>
    <row r="58" spans="1:12" ht="9" customHeight="1">
      <c r="A58" s="21" t="s">
        <v>90</v>
      </c>
      <c r="B58" s="120"/>
      <c r="C58" s="183">
        <v>0</v>
      </c>
      <c r="D58" s="23">
        <f>[42]GtS!$G$16</f>
        <v>0</v>
      </c>
      <c r="E58" s="23">
        <f>[43]GtS!$G$16</f>
        <v>0</v>
      </c>
      <c r="F58" s="23">
        <f>[44]GtS!$G$16</f>
        <v>0</v>
      </c>
      <c r="G58" s="34">
        <f>[45]GtS!$G$16</f>
        <v>0</v>
      </c>
      <c r="H58" s="183">
        <v>0</v>
      </c>
      <c r="I58" s="299" t="str">
        <f>IF('AW Schulen'!$E124=0,"x",(IF('AW Schulen'!$E142=0,"-",D58/'AW Schulen'!$E142)))</f>
        <v>-</v>
      </c>
      <c r="J58" s="299" t="str">
        <f>IF('AW Schulen'!$H124=0,"x",(IF('AW Schulen'!$H142=0,"-",E58/'AW Schulen'!$H142)))</f>
        <v>-</v>
      </c>
      <c r="K58" s="299" t="str">
        <f>IF('AW Schulen'!$K124=0,"x",(IF('AW Schulen'!$K142=0,"-",F58/'AW Schulen'!$K142)))</f>
        <v>-</v>
      </c>
      <c r="L58" s="300" t="str">
        <f>IF('AW Schulen'!$N124=0,"x",(IF('AW Schulen'!$N142=0,"-",G58/'AW Schulen'!$N142)))</f>
        <v>-</v>
      </c>
    </row>
    <row r="59" spans="1:12" ht="9" customHeight="1">
      <c r="A59" s="21" t="s">
        <v>91</v>
      </c>
      <c r="B59" s="120"/>
      <c r="C59" s="183">
        <v>0</v>
      </c>
      <c r="D59" s="23">
        <f>[47]GtS!$G$16</f>
        <v>0</v>
      </c>
      <c r="E59" s="23">
        <f>[48]GtS!$G$16</f>
        <v>0</v>
      </c>
      <c r="F59" s="23">
        <f>[49]GtS!$G$16</f>
        <v>0</v>
      </c>
      <c r="G59" s="34">
        <f>[50]GtS!$G$16</f>
        <v>0</v>
      </c>
      <c r="H59" s="183">
        <v>0</v>
      </c>
      <c r="I59" s="299" t="str">
        <f>IF('AW Schulen'!$E125=0,"x",(IF('AW Schulen'!$E143=0,"-",D59/'AW Schulen'!$E143)))</f>
        <v>-</v>
      </c>
      <c r="J59" s="299" t="str">
        <f>IF('AW Schulen'!$H125=0,"x",(IF('AW Schulen'!$H143=0,"-",E59/'AW Schulen'!$H143)))</f>
        <v>-</v>
      </c>
      <c r="K59" s="299" t="str">
        <f>IF('AW Schulen'!$K125=0,"x",(IF('AW Schulen'!$K143=0,"-",F59/'AW Schulen'!$K143)))</f>
        <v>-</v>
      </c>
      <c r="L59" s="300" t="str">
        <f>IF('AW Schulen'!$N125=0,"x",(IF('AW Schulen'!$N143=0,"-",G59/'AW Schulen'!$N143)))</f>
        <v>-</v>
      </c>
    </row>
    <row r="60" spans="1:12" ht="9" customHeight="1">
      <c r="A60" s="21" t="s">
        <v>92</v>
      </c>
      <c r="B60" s="120"/>
      <c r="C60" s="183">
        <v>0</v>
      </c>
      <c r="D60" s="151">
        <f>[52]GtS!$G$16</f>
        <v>0</v>
      </c>
      <c r="E60" s="151">
        <f>[53]GtS!$G$16</f>
        <v>0</v>
      </c>
      <c r="F60" s="151">
        <f>[54]GtS!$G$16</f>
        <v>0</v>
      </c>
      <c r="G60" s="152">
        <f>[55]GtS!$G$16</f>
        <v>0</v>
      </c>
      <c r="H60" s="183">
        <v>0</v>
      </c>
      <c r="I60" s="299" t="str">
        <f>IF('AW Schulen'!$E126=0,"x",(IF('AW Schulen'!$E144=0,"-",D60/'AW Schulen'!$E144)))</f>
        <v>x</v>
      </c>
      <c r="J60" s="299" t="str">
        <f>IF('AW Schulen'!$H126=0,"x",(IF('AW Schulen'!$H144=0,"-",E60/'AW Schulen'!$H144)))</f>
        <v>x</v>
      </c>
      <c r="K60" s="299" t="str">
        <f>IF('AW Schulen'!$K126=0,"x",(IF('AW Schulen'!$K144=0,"-",F60/'AW Schulen'!$K144)))</f>
        <v>x</v>
      </c>
      <c r="L60" s="300" t="str">
        <f>IF('AW Schulen'!$N126=0,"x",(IF('AW Schulen'!$N144=0,"-",G60/'AW Schulen'!$N144)))</f>
        <v>x</v>
      </c>
    </row>
    <row r="61" spans="1:12" ht="9" customHeight="1">
      <c r="A61" s="21" t="s">
        <v>93</v>
      </c>
      <c r="B61" s="120"/>
      <c r="C61" s="183">
        <v>0</v>
      </c>
      <c r="D61" s="23">
        <f>[77]GtS!$G$16</f>
        <v>0</v>
      </c>
      <c r="E61" s="23">
        <f>[78]GtS!$G$16</f>
        <v>0</v>
      </c>
      <c r="F61" s="23">
        <f>[79]GtS!$G$16</f>
        <v>0</v>
      </c>
      <c r="G61" s="34">
        <f>[80]GtS!$G$16</f>
        <v>0</v>
      </c>
      <c r="H61" s="183">
        <v>0</v>
      </c>
      <c r="I61" s="299" t="str">
        <f>IF('AW Schulen'!$E127=0,"x",(IF('AW Schulen'!$E145=0,"-",D61/'AW Schulen'!$E145)))</f>
        <v>-</v>
      </c>
      <c r="J61" s="299" t="str">
        <f>IF('AW Schulen'!$H127=0,"x",(IF('AW Schulen'!$H145=0,"-",E61/'AW Schulen'!$H145)))</f>
        <v>-</v>
      </c>
      <c r="K61" s="299" t="str">
        <f>IF('AW Schulen'!$K127=0,"x",(IF('AW Schulen'!$K145=0,"-",F61/'AW Schulen'!$K145)))</f>
        <v>-</v>
      </c>
      <c r="L61" s="300" t="str">
        <f>IF('AW Schulen'!$N127=0,"x",(IF('AW Schulen'!$N145=0,"-",G61/'AW Schulen'!$N145)))</f>
        <v>-</v>
      </c>
    </row>
    <row r="62" spans="1:12" ht="9" customHeight="1">
      <c r="A62" s="21" t="s">
        <v>143</v>
      </c>
      <c r="B62" s="120"/>
      <c r="C62" s="183">
        <v>0</v>
      </c>
      <c r="D62" s="23">
        <f>[57]GtS!$G$16</f>
        <v>0</v>
      </c>
      <c r="E62" s="23">
        <f>[58]GtS!$G$16</f>
        <v>0</v>
      </c>
      <c r="F62" s="23">
        <f>[59]GtS!$G$16</f>
        <v>0</v>
      </c>
      <c r="G62" s="34">
        <f>[60]GtS!$G$16</f>
        <v>0</v>
      </c>
      <c r="H62" s="183">
        <v>0</v>
      </c>
      <c r="I62" s="299" t="str">
        <f>IF('AW Schulen'!$E128=0,"x",(IF('AW Schulen'!$E146=0,"-",D62/'AW Schulen'!$E146)))</f>
        <v>-</v>
      </c>
      <c r="J62" s="299" t="str">
        <f>IF('AW Schulen'!$H128=0,"x",(IF('AW Schulen'!$H146=0,"-",E62/'AW Schulen'!$H146)))</f>
        <v>-</v>
      </c>
      <c r="K62" s="299" t="str">
        <f>IF('AW Schulen'!$K128=0,"x",(IF('AW Schulen'!$K146=0,"-",F62/'AW Schulen'!$K146)))</f>
        <v>-</v>
      </c>
      <c r="L62" s="300" t="str">
        <f>IF('AW Schulen'!$N128=0,"x",(IF('AW Schulen'!$N146=0,"-",G62/'AW Schulen'!$N146)))</f>
        <v>-</v>
      </c>
    </row>
    <row r="63" spans="1:12" ht="9" customHeight="1">
      <c r="A63" s="21" t="s">
        <v>95</v>
      </c>
      <c r="B63" s="120"/>
      <c r="C63" s="183">
        <v>0</v>
      </c>
      <c r="D63" s="23">
        <f>[62]GtS!$G$16</f>
        <v>1</v>
      </c>
      <c r="E63" s="23">
        <f>[63]GtS!$G$16</f>
        <v>5</v>
      </c>
      <c r="F63" s="23">
        <f>[64]GtS!$G$16</f>
        <v>8</v>
      </c>
      <c r="G63" s="34">
        <f>[65]GtS!$G$16</f>
        <v>9</v>
      </c>
      <c r="H63" s="183">
        <v>0</v>
      </c>
      <c r="I63" s="299">
        <f>IF('AW Schulen'!$E129=0,"x",(IF('AW Schulen'!$E147=0,"-",D63/'AW Schulen'!$E147)))</f>
        <v>9.0909090909090912E-2</v>
      </c>
      <c r="J63" s="299">
        <f>IF('AW Schulen'!$H129=0,"x",(IF('AW Schulen'!$H147=0,"-",E63/'AW Schulen'!$H147)))</f>
        <v>0.35714285714285715</v>
      </c>
      <c r="K63" s="299">
        <f>IF('AW Schulen'!$K129=0,"x",(IF('AW Schulen'!$K147=0,"-",F63/'AW Schulen'!$K147)))</f>
        <v>0.42105263157894735</v>
      </c>
      <c r="L63" s="300">
        <f>IF('AW Schulen'!$N129=0,"x",(IF('AW Schulen'!$N147=0,"-",G63/'AW Schulen'!$N147)))</f>
        <v>0.39130434782608697</v>
      </c>
    </row>
    <row r="64" spans="1:12" ht="8.65" customHeight="1">
      <c r="A64" s="21" t="s">
        <v>96</v>
      </c>
      <c r="B64" s="120"/>
      <c r="C64" s="183">
        <v>0</v>
      </c>
      <c r="D64" s="23">
        <f t="shared" ref="D64:E64" si="37">SUM(D48:D63)</f>
        <v>21</v>
      </c>
      <c r="E64" s="23">
        <f t="shared" si="37"/>
        <v>31</v>
      </c>
      <c r="F64" s="23">
        <f t="shared" ref="F64:G64" si="38">SUM(F48:F63)</f>
        <v>35</v>
      </c>
      <c r="G64" s="34">
        <f t="shared" si="38"/>
        <v>37</v>
      </c>
      <c r="H64" s="183">
        <v>0</v>
      </c>
      <c r="I64" s="299">
        <f>IF('AW Schulen'!$E130=0,"x",(IF('AW Schulen'!$E148=0,"-",D64/'AW Schulen'!$E148)))</f>
        <v>7.8947368421052627E-2</v>
      </c>
      <c r="J64" s="299">
        <f>IF('AW Schulen'!$H130=0,"x",(IF('AW Schulen'!$H148=0,"-",E64/'AW Schulen'!$H148)))</f>
        <v>0.13191489361702127</v>
      </c>
      <c r="K64" s="299">
        <f>IF('AW Schulen'!$K130=0,"x",(IF('AW Schulen'!$K148=0,"-",F64/'AW Schulen'!$K148)))</f>
        <v>0.12323943661971831</v>
      </c>
      <c r="L64" s="300">
        <f>IF('AW Schulen'!$N130=0,"x",(IF('AW Schulen'!$N148=0,"-",G64/'AW Schulen'!$N148)))</f>
        <v>0.11974110032362459</v>
      </c>
    </row>
    <row r="65" spans="1:12" ht="12.6" customHeight="1">
      <c r="A65" s="391" t="s">
        <v>100</v>
      </c>
      <c r="B65" s="392"/>
      <c r="C65" s="392"/>
      <c r="D65" s="392"/>
      <c r="E65" s="392"/>
      <c r="F65" s="392"/>
      <c r="G65" s="392"/>
      <c r="H65" s="392"/>
      <c r="I65" s="392"/>
      <c r="J65" s="392"/>
      <c r="K65" s="392"/>
      <c r="L65" s="393"/>
    </row>
    <row r="66" spans="1:12" ht="10.15" customHeight="1">
      <c r="A66" s="224" t="s">
        <v>172</v>
      </c>
      <c r="B66" s="120"/>
      <c r="C66" s="183">
        <v>0</v>
      </c>
      <c r="D66" s="23">
        <f>[2]GtS!$H$16</f>
        <v>34</v>
      </c>
      <c r="E66" s="23">
        <f>[3]GtS!$H$16</f>
        <v>68</v>
      </c>
      <c r="F66" s="23">
        <f>[4]GtS!$H$16</f>
        <v>89</v>
      </c>
      <c r="G66" s="34">
        <f>[5]GtS!$H$16</f>
        <v>98</v>
      </c>
      <c r="H66" s="183">
        <v>0</v>
      </c>
      <c r="I66" s="299">
        <f>IF('AW Schulen'!$E114=0,"x",(IF('AW Schulen'!$E132=0,"-",D66/'AW Schulen'!$E132)))</f>
        <v>0.32380952380952382</v>
      </c>
      <c r="J66" s="299">
        <f>IF('AW Schulen'!$H114=0,"x",(IF('AW Schulen'!$H132=0,"-",E66/'AW Schulen'!$H132)))</f>
        <v>0.40236686390532544</v>
      </c>
      <c r="K66" s="299">
        <f>IF('AW Schulen'!$K114=0,"x",(IF('AW Schulen'!$K132=0,"-",F66/'AW Schulen'!$K132)))</f>
        <v>0.4238095238095238</v>
      </c>
      <c r="L66" s="300">
        <f>IF('AW Schulen'!$N114=0,"x",(IF('AW Schulen'!$N132=0,"-",G66/'AW Schulen'!$N132)))</f>
        <v>0.43171806167400884</v>
      </c>
    </row>
    <row r="67" spans="1:12" ht="10.15" customHeight="1">
      <c r="A67" s="224" t="s">
        <v>81</v>
      </c>
      <c r="B67" s="120"/>
      <c r="C67" s="183">
        <v>0</v>
      </c>
      <c r="D67" s="23">
        <f>[7]GtS!$H$16</f>
        <v>0</v>
      </c>
      <c r="E67" s="23">
        <f>[8]GtS!$H$16</f>
        <v>0</v>
      </c>
      <c r="F67" s="23" t="str">
        <f>[9]GtS!$H$16</f>
        <v xml:space="preserve">                                      -   </v>
      </c>
      <c r="G67" s="34">
        <f>[10]GtS!$H$16</f>
        <v>0</v>
      </c>
      <c r="H67" s="183">
        <v>0</v>
      </c>
      <c r="I67" s="299" t="str">
        <f>IF('AW Schulen'!$E115=0,"x",(IF('AW Schulen'!$E133=0,"-",D67/'AW Schulen'!$E133)))</f>
        <v>-</v>
      </c>
      <c r="J67" s="299" t="str">
        <f>IF('AW Schulen'!$H115=0,"x",(IF('AW Schulen'!$H133=0,"-",E67/'AW Schulen'!$H133)))</f>
        <v>-</v>
      </c>
      <c r="K67" s="299" t="e">
        <f>IF('AW Schulen'!$K115=0,"x",(IF('AW Schulen'!$K133=0,"-",F67/'AW Schulen'!$K133)))</f>
        <v>#VALUE!</v>
      </c>
      <c r="L67" s="300" t="str">
        <f>IF('AW Schulen'!$N115=0,"x",(IF('AW Schulen'!$N133=0,"-",G67/'AW Schulen'!$N133)))</f>
        <v>-</v>
      </c>
    </row>
    <row r="68" spans="1:12" ht="10.15" customHeight="1">
      <c r="A68" s="224" t="s">
        <v>82</v>
      </c>
      <c r="B68" s="120"/>
      <c r="C68" s="183">
        <v>0</v>
      </c>
      <c r="D68" s="23">
        <f>[12]GtS!$H$16</f>
        <v>26</v>
      </c>
      <c r="E68" s="23">
        <f>[13]GtS!$H$16</f>
        <v>8</v>
      </c>
      <c r="F68" s="23">
        <f>[14]GtS!$H$16</f>
        <v>11</v>
      </c>
      <c r="G68" s="34">
        <f>[15]GtS!$H$16</f>
        <v>12</v>
      </c>
      <c r="H68" s="183">
        <v>0</v>
      </c>
      <c r="I68" s="299">
        <f>IF('AW Schulen'!$E116=0,"x",(IF('AW Schulen'!$E134=0,"-",D68/'AW Schulen'!$E134)))</f>
        <v>0.21487603305785125</v>
      </c>
      <c r="J68" s="299">
        <f>IF('AW Schulen'!$H116=0,"x",(IF('AW Schulen'!$H134=0,"-",E68/'AW Schulen'!$H134)))</f>
        <v>0.42105263157894735</v>
      </c>
      <c r="K68" s="299">
        <f>IF('AW Schulen'!$K116=0,"x",(IF('AW Schulen'!$K134=0,"-",F68/'AW Schulen'!$K134)))</f>
        <v>0.5</v>
      </c>
      <c r="L68" s="300">
        <f>IF('AW Schulen'!$N116=0,"x",(IF('AW Schulen'!$N134=0,"-",G68/'AW Schulen'!$N134)))</f>
        <v>0.52173913043478259</v>
      </c>
    </row>
    <row r="69" spans="1:12" ht="9" customHeight="1">
      <c r="A69" s="21" t="s">
        <v>83</v>
      </c>
      <c r="B69" s="120"/>
      <c r="C69" s="183">
        <v>0</v>
      </c>
      <c r="D69" s="23">
        <f>[17]GtS!$H$16</f>
        <v>1</v>
      </c>
      <c r="E69" s="23">
        <f>[18]GtS!$H$16</f>
        <v>1</v>
      </c>
      <c r="F69" s="23">
        <f>[19]GtS!$H$16</f>
        <v>1</v>
      </c>
      <c r="G69" s="34">
        <f>[20]GtS!$H$16</f>
        <v>2</v>
      </c>
      <c r="H69" s="183">
        <v>0</v>
      </c>
      <c r="I69" s="299">
        <f>IF('AW Schulen'!$E117=0,"x",(IF('AW Schulen'!$E135=0,"-",D69/'AW Schulen'!$E135)))</f>
        <v>0.5</v>
      </c>
      <c r="J69" s="299">
        <f>IF('AW Schulen'!$H117=0,"x",(IF('AW Schulen'!$H135=0,"-",E69/'AW Schulen'!$H135)))</f>
        <v>0.5</v>
      </c>
      <c r="K69" s="299">
        <f>IF('AW Schulen'!$K117=0,"x",(IF('AW Schulen'!$K135=0,"-",F69/'AW Schulen'!$K135)))</f>
        <v>0.5</v>
      </c>
      <c r="L69" s="300">
        <f>IF('AW Schulen'!$N117=0,"x",(IF('AW Schulen'!$N135=0,"-",G69/'AW Schulen'!$N135)))</f>
        <v>0.66666666666666663</v>
      </c>
    </row>
    <row r="70" spans="1:12" ht="9" customHeight="1">
      <c r="A70" s="21" t="s">
        <v>84</v>
      </c>
      <c r="B70" s="120"/>
      <c r="C70" s="183">
        <v>0</v>
      </c>
      <c r="D70" s="23">
        <f>[22]GtS!$H$16</f>
        <v>0</v>
      </c>
      <c r="E70" s="23">
        <f>[23]GtS!$H$16</f>
        <v>0</v>
      </c>
      <c r="F70" s="23">
        <f>[24]GtS!$H$16</f>
        <v>0</v>
      </c>
      <c r="G70" s="34">
        <f>[25]GtS!$H$16</f>
        <v>0</v>
      </c>
      <c r="H70" s="183">
        <v>0</v>
      </c>
      <c r="I70" s="299" t="str">
        <f>IF('AW Schulen'!$E118=0,"x",(IF('AW Schulen'!$E136=0,"-",D70/'AW Schulen'!$E136)))</f>
        <v>-</v>
      </c>
      <c r="J70" s="299" t="str">
        <f>IF('AW Schulen'!$H118=0,"x",(IF('AW Schulen'!$H136=0,"-",E70/'AW Schulen'!$H136)))</f>
        <v>-</v>
      </c>
      <c r="K70" s="299" t="str">
        <f>IF('AW Schulen'!$K118=0,"x",(IF('AW Schulen'!$K136=0,"-",F70/'AW Schulen'!$K136)))</f>
        <v>-</v>
      </c>
      <c r="L70" s="300" t="str">
        <f>IF('AW Schulen'!$N118=0,"x",(IF('AW Schulen'!$N136=0,"-",G70/'AW Schulen'!$N136)))</f>
        <v>-</v>
      </c>
    </row>
    <row r="71" spans="1:12" ht="9" customHeight="1">
      <c r="A71" s="21" t="s">
        <v>85</v>
      </c>
      <c r="B71" s="120"/>
      <c r="C71" s="183">
        <v>0</v>
      </c>
      <c r="D71" s="23">
        <f>[27]GtS!$H$16</f>
        <v>1</v>
      </c>
      <c r="E71" s="23">
        <f>[28]GtS!$H$16</f>
        <v>3</v>
      </c>
      <c r="F71" s="23">
        <f>[29]GtS!$H$16</f>
        <v>4</v>
      </c>
      <c r="G71" s="34">
        <f>[30]GtS!$H$16</f>
        <v>4</v>
      </c>
      <c r="H71" s="183">
        <v>0</v>
      </c>
      <c r="I71" s="299">
        <f>IF('AW Schulen'!$E119=0,"x",(IF('AW Schulen'!$E137=0,"-",D71/'AW Schulen'!$E137)))</f>
        <v>7.6923076923076927E-2</v>
      </c>
      <c r="J71" s="299">
        <f>IF('AW Schulen'!$H119=0,"x",(IF('AW Schulen'!$H137=0,"-",E71/'AW Schulen'!$H137)))</f>
        <v>0.23076923076923078</v>
      </c>
      <c r="K71" s="299">
        <f>IF('AW Schulen'!$K119=0,"x",(IF('AW Schulen'!$K137=0,"-",F71/'AW Schulen'!$K137)))</f>
        <v>0.30769230769230771</v>
      </c>
      <c r="L71" s="300">
        <f>IF('AW Schulen'!$N119=0,"x",(IF('AW Schulen'!$N137=0,"-",G71/'AW Schulen'!$N137)))</f>
        <v>0.30769230769230771</v>
      </c>
    </row>
    <row r="72" spans="1:12" ht="9" customHeight="1">
      <c r="A72" s="21" t="s">
        <v>86</v>
      </c>
      <c r="B72" s="120"/>
      <c r="C72" s="183">
        <v>0</v>
      </c>
      <c r="D72" s="23">
        <f>[67]GtS!$H$16</f>
        <v>9</v>
      </c>
      <c r="E72" s="23">
        <f>[68]GtS!$H$16</f>
        <v>11</v>
      </c>
      <c r="F72" s="23">
        <f>[69]GtS!$H$16</f>
        <v>11</v>
      </c>
      <c r="G72" s="34">
        <f>[70]GtS!$H$16</f>
        <v>13</v>
      </c>
      <c r="H72" s="183">
        <v>0</v>
      </c>
      <c r="I72" s="299">
        <f>IF('AW Schulen'!$E120=0,"x",(IF('AW Schulen'!$E138=0,"-",D72/'AW Schulen'!$E138)))</f>
        <v>0.81818181818181823</v>
      </c>
      <c r="J72" s="299">
        <f>IF('AW Schulen'!$H120=0,"x",(IF('AW Schulen'!$H138=0,"-",E72/'AW Schulen'!$H138)))</f>
        <v>0.91666666666666663</v>
      </c>
      <c r="K72" s="299">
        <f>IF('AW Schulen'!$K120=0,"x",(IF('AW Schulen'!$K138=0,"-",F72/'AW Schulen'!$K138)))</f>
        <v>0.91666666666666663</v>
      </c>
      <c r="L72" s="300">
        <f>IF('AW Schulen'!$N120=0,"x",(IF('AW Schulen'!$N138=0,"-",G72/'AW Schulen'!$N138)))</f>
        <v>0.9285714285714286</v>
      </c>
    </row>
    <row r="73" spans="1:12" ht="9" customHeight="1">
      <c r="A73" s="21" t="s">
        <v>87</v>
      </c>
      <c r="B73" s="120"/>
      <c r="C73" s="183">
        <v>0</v>
      </c>
      <c r="D73" s="23">
        <f>[32]GtS!$H$16</f>
        <v>0</v>
      </c>
      <c r="E73" s="23">
        <f>[33]GtS!$H$16</f>
        <v>0</v>
      </c>
      <c r="F73" s="23">
        <f>[34]GtS!$H$16</f>
        <v>0</v>
      </c>
      <c r="G73" s="34">
        <f>[35]GtS!$H$16</f>
        <v>0</v>
      </c>
      <c r="H73" s="183">
        <v>0</v>
      </c>
      <c r="I73" s="299" t="str">
        <f>IF('AW Schulen'!$E121=0,"x",(IF('AW Schulen'!$E139=0,"-",D73/'AW Schulen'!$E139)))</f>
        <v>-</v>
      </c>
      <c r="J73" s="299" t="str">
        <f>IF('AW Schulen'!$H121=0,"x",(IF('AW Schulen'!$H139=0,"-",E73/'AW Schulen'!$H139)))</f>
        <v>-</v>
      </c>
      <c r="K73" s="299" t="str">
        <f>IF('AW Schulen'!$K121=0,"x",(IF('AW Schulen'!$K139=0,"-",F73/'AW Schulen'!$K139)))</f>
        <v>-</v>
      </c>
      <c r="L73" s="300" t="str">
        <f>IF('AW Schulen'!$N121=0,"x",(IF('AW Schulen'!$N139=0,"-",G73/'AW Schulen'!$N139)))</f>
        <v>-</v>
      </c>
    </row>
    <row r="74" spans="1:12" ht="9" customHeight="1">
      <c r="A74" s="21" t="s">
        <v>88</v>
      </c>
      <c r="B74" s="120"/>
      <c r="C74" s="183">
        <v>0</v>
      </c>
      <c r="D74" s="23">
        <f>[72]GtS!$H$16</f>
        <v>0</v>
      </c>
      <c r="E74" s="23">
        <f>[73]GtS!$H$16</f>
        <v>0</v>
      </c>
      <c r="F74" s="23">
        <f>[74]GtS!$H$16</f>
        <v>0</v>
      </c>
      <c r="G74" s="34">
        <f>[75]GtS!$H$16</f>
        <v>0</v>
      </c>
      <c r="H74" s="183">
        <v>0</v>
      </c>
      <c r="I74" s="299">
        <f>IF('AW Schulen'!$E122=0,"x",(IF('AW Schulen'!$E140=0,"-",D74/'AW Schulen'!$E140)))</f>
        <v>0</v>
      </c>
      <c r="J74" s="299">
        <f>IF('AW Schulen'!$H122=0,"x",(IF('AW Schulen'!$H140=0,"-",E74/'AW Schulen'!$H140)))</f>
        <v>0</v>
      </c>
      <c r="K74" s="299">
        <f>IF('AW Schulen'!$K122=0,"x",(IF('AW Schulen'!$K140=0,"-",F74/'AW Schulen'!$K140)))</f>
        <v>0</v>
      </c>
      <c r="L74" s="300">
        <f>IF('AW Schulen'!$N122=0,"x",(IF('AW Schulen'!$N140=0,"-",G74/'AW Schulen'!$N140)))</f>
        <v>0</v>
      </c>
    </row>
    <row r="75" spans="1:12" ht="9" customHeight="1">
      <c r="A75" s="21" t="s">
        <v>89</v>
      </c>
      <c r="B75" s="120"/>
      <c r="C75" s="183">
        <v>0</v>
      </c>
      <c r="D75" s="23">
        <f>[37]GtS!$H$16</f>
        <v>1</v>
      </c>
      <c r="E75" s="23">
        <f>[38]GtS!$H$16</f>
        <v>2</v>
      </c>
      <c r="F75" s="23">
        <f>[39]GtS!$H$16</f>
        <v>2</v>
      </c>
      <c r="G75" s="34">
        <f>[40]GtS!$H$16</f>
        <v>2</v>
      </c>
      <c r="H75" s="183">
        <v>0</v>
      </c>
      <c r="I75" s="299">
        <f>IF('AW Schulen'!$E123=0,"x",(IF('AW Schulen'!$E141=0,"-",D75/'AW Schulen'!$E141)))</f>
        <v>0.5</v>
      </c>
      <c r="J75" s="299">
        <f>IF('AW Schulen'!$H123=0,"x",(IF('AW Schulen'!$H141=0,"-",E75/'AW Schulen'!$H141)))</f>
        <v>0.4</v>
      </c>
      <c r="K75" s="299">
        <f>IF('AW Schulen'!$K123=0,"x",(IF('AW Schulen'!$K141=0,"-",F75/'AW Schulen'!$K141)))</f>
        <v>0.4</v>
      </c>
      <c r="L75" s="300">
        <f>IF('AW Schulen'!$N123=0,"x",(IF('AW Schulen'!$N141=0,"-",G75/'AW Schulen'!$N141)))</f>
        <v>0.4</v>
      </c>
    </row>
    <row r="76" spans="1:12" ht="9" customHeight="1">
      <c r="A76" s="21" t="s">
        <v>90</v>
      </c>
      <c r="B76" s="120"/>
      <c r="C76" s="183">
        <v>0</v>
      </c>
      <c r="D76" s="23">
        <f>[42]GtS!$H$16</f>
        <v>0</v>
      </c>
      <c r="E76" s="23">
        <f>[43]GtS!$H$16</f>
        <v>0</v>
      </c>
      <c r="F76" s="23">
        <f>[44]GtS!$H$16</f>
        <v>0</v>
      </c>
      <c r="G76" s="34">
        <f>[45]GtS!$H$16</f>
        <v>0</v>
      </c>
      <c r="H76" s="183">
        <v>0</v>
      </c>
      <c r="I76" s="299" t="str">
        <f>IF('AW Schulen'!$E124=0,"x",(IF('AW Schulen'!$E142=0,"-",D76/'AW Schulen'!$E142)))</f>
        <v>-</v>
      </c>
      <c r="J76" s="299" t="str">
        <f>IF('AW Schulen'!$H124=0,"x",(IF('AW Schulen'!$H142=0,"-",E76/'AW Schulen'!$H142)))</f>
        <v>-</v>
      </c>
      <c r="K76" s="299" t="str">
        <f>IF('AW Schulen'!$K124=0,"x",(IF('AW Schulen'!$K142=0,"-",F76/'AW Schulen'!$K142)))</f>
        <v>-</v>
      </c>
      <c r="L76" s="300" t="str">
        <f>IF('AW Schulen'!$N124=0,"x",(IF('AW Schulen'!$N142=0,"-",G76/'AW Schulen'!$N142)))</f>
        <v>-</v>
      </c>
    </row>
    <row r="77" spans="1:12" ht="9" customHeight="1">
      <c r="A77" s="21" t="s">
        <v>91</v>
      </c>
      <c r="B77" s="120"/>
      <c r="C77" s="183">
        <v>0</v>
      </c>
      <c r="D77" s="23">
        <f>[47]GtS!$H$16</f>
        <v>0</v>
      </c>
      <c r="E77" s="23">
        <f>[48]GtS!$H$16</f>
        <v>0</v>
      </c>
      <c r="F77" s="23">
        <f>[49]GtS!$H$16</f>
        <v>0</v>
      </c>
      <c r="G77" s="34">
        <f>[50]GtS!$H$16</f>
        <v>0</v>
      </c>
      <c r="H77" s="183">
        <v>0</v>
      </c>
      <c r="I77" s="299" t="str">
        <f>IF('AW Schulen'!$E125=0,"x",(IF('AW Schulen'!$E143=0,"-",D77/'AW Schulen'!$E143)))</f>
        <v>-</v>
      </c>
      <c r="J77" s="299" t="str">
        <f>IF('AW Schulen'!$H125=0,"x",(IF('AW Schulen'!$H143=0,"-",E77/'AW Schulen'!$H143)))</f>
        <v>-</v>
      </c>
      <c r="K77" s="299" t="str">
        <f>IF('AW Schulen'!$K125=0,"x",(IF('AW Schulen'!$K143=0,"-",F77/'AW Schulen'!$K143)))</f>
        <v>-</v>
      </c>
      <c r="L77" s="300" t="str">
        <f>IF('AW Schulen'!$N125=0,"x",(IF('AW Schulen'!$N143=0,"-",G77/'AW Schulen'!$N143)))</f>
        <v>-</v>
      </c>
    </row>
    <row r="78" spans="1:12" ht="9" customHeight="1">
      <c r="A78" s="21" t="s">
        <v>92</v>
      </c>
      <c r="B78" s="120"/>
      <c r="C78" s="183">
        <v>0</v>
      </c>
      <c r="D78" s="151">
        <f>[52]GtS!$H$16</f>
        <v>0</v>
      </c>
      <c r="E78" s="151">
        <f>[53]GtS!$H$16</f>
        <v>0</v>
      </c>
      <c r="F78" s="151">
        <f>[54]GtS!$H$16</f>
        <v>0</v>
      </c>
      <c r="G78" s="152">
        <f>[55]GtS!$H$16</f>
        <v>0</v>
      </c>
      <c r="H78" s="183">
        <v>0</v>
      </c>
      <c r="I78" s="299" t="str">
        <f>IF('AW Schulen'!$E126=0,"x",(IF('AW Schulen'!$E144=0,"-",D78/'AW Schulen'!$E144)))</f>
        <v>x</v>
      </c>
      <c r="J78" s="299" t="str">
        <f>IF('AW Schulen'!$H126=0,"x",(IF('AW Schulen'!$H144=0,"-",E78/'AW Schulen'!$H144)))</f>
        <v>x</v>
      </c>
      <c r="K78" s="299" t="str">
        <f>IF('AW Schulen'!$K126=0,"x",(IF('AW Schulen'!$K144=0,"-",F78/'AW Schulen'!$K144)))</f>
        <v>x</v>
      </c>
      <c r="L78" s="300" t="str">
        <f>IF('AW Schulen'!$N126=0,"x",(IF('AW Schulen'!$N144=0,"-",G78/'AW Schulen'!$N144)))</f>
        <v>x</v>
      </c>
    </row>
    <row r="79" spans="1:12" ht="9" customHeight="1">
      <c r="A79" s="21" t="s">
        <v>93</v>
      </c>
      <c r="B79" s="120"/>
      <c r="C79" s="183">
        <v>0</v>
      </c>
      <c r="D79" s="23">
        <f>[77]GtS!$H$16</f>
        <v>0</v>
      </c>
      <c r="E79" s="23">
        <f>[78]GtS!$H$16</f>
        <v>0</v>
      </c>
      <c r="F79" s="23">
        <f>[79]GtS!$H$16</f>
        <v>0</v>
      </c>
      <c r="G79" s="34">
        <f>[80]GtS!$H$16</f>
        <v>0</v>
      </c>
      <c r="H79" s="183">
        <v>0</v>
      </c>
      <c r="I79" s="299" t="str">
        <f>IF('AW Schulen'!$E127=0,"x",(IF('AW Schulen'!$E145=0,"-",D79/'AW Schulen'!$E145)))</f>
        <v>-</v>
      </c>
      <c r="J79" s="299" t="str">
        <f>IF('AW Schulen'!$H127=0,"x",(IF('AW Schulen'!$H145=0,"-",E79/'AW Schulen'!$H145)))</f>
        <v>-</v>
      </c>
      <c r="K79" s="299" t="str">
        <f>IF('AW Schulen'!$K127=0,"x",(IF('AW Schulen'!$K145=0,"-",F79/'AW Schulen'!$K145)))</f>
        <v>-</v>
      </c>
      <c r="L79" s="300" t="str">
        <f>IF('AW Schulen'!$N127=0,"x",(IF('AW Schulen'!$N145=0,"-",G79/'AW Schulen'!$N145)))</f>
        <v>-</v>
      </c>
    </row>
    <row r="80" spans="1:12" ht="9" customHeight="1">
      <c r="A80" s="21" t="s">
        <v>143</v>
      </c>
      <c r="B80" s="120"/>
      <c r="C80" s="183">
        <v>0</v>
      </c>
      <c r="D80" s="23">
        <f>[57]GtS!$H$16</f>
        <v>0</v>
      </c>
      <c r="E80" s="23">
        <f>[58]GtS!$H$16</f>
        <v>0</v>
      </c>
      <c r="F80" s="23">
        <f>[59]GtS!$H$16</f>
        <v>0</v>
      </c>
      <c r="G80" s="34">
        <f>[60]GtS!$H$16</f>
        <v>0</v>
      </c>
      <c r="H80" s="183">
        <v>0</v>
      </c>
      <c r="I80" s="299" t="str">
        <f>IF('AW Schulen'!$E128=0,"x",(IF('AW Schulen'!$E146=0,"-",D80/'AW Schulen'!$E146)))</f>
        <v>-</v>
      </c>
      <c r="J80" s="299" t="str">
        <f>IF('AW Schulen'!$H128=0,"x",(IF('AW Schulen'!$H146=0,"-",E80/'AW Schulen'!$H146)))</f>
        <v>-</v>
      </c>
      <c r="K80" s="299" t="str">
        <f>IF('AW Schulen'!$K128=0,"x",(IF('AW Schulen'!$K146=0,"-",F80/'AW Schulen'!$K146)))</f>
        <v>-</v>
      </c>
      <c r="L80" s="300" t="str">
        <f>IF('AW Schulen'!$N128=0,"x",(IF('AW Schulen'!$N146=0,"-",G80/'AW Schulen'!$N146)))</f>
        <v>-</v>
      </c>
    </row>
    <row r="81" spans="1:12" ht="9" customHeight="1">
      <c r="A81" s="21" t="s">
        <v>95</v>
      </c>
      <c r="B81" s="120"/>
      <c r="C81" s="183">
        <v>0</v>
      </c>
      <c r="D81" s="23">
        <f>[62]GtS!$H$16</f>
        <v>6</v>
      </c>
      <c r="E81" s="23">
        <f>[63]GtS!$H$16</f>
        <v>7</v>
      </c>
      <c r="F81" s="23">
        <f>[64]GtS!$H$16</f>
        <v>9</v>
      </c>
      <c r="G81" s="34">
        <f>[65]GtS!$H$16</f>
        <v>12</v>
      </c>
      <c r="H81" s="183">
        <v>0</v>
      </c>
      <c r="I81" s="299">
        <f>IF('AW Schulen'!$E129=0,"x",(IF('AW Schulen'!$E147=0,"-",D81/'AW Schulen'!$E147)))</f>
        <v>0.54545454545454541</v>
      </c>
      <c r="J81" s="299">
        <f>IF('AW Schulen'!$H129=0,"x",(IF('AW Schulen'!$H147=0,"-",E81/'AW Schulen'!$H147)))</f>
        <v>0.5</v>
      </c>
      <c r="K81" s="299">
        <f>IF('AW Schulen'!$K129=0,"x",(IF('AW Schulen'!$K147=0,"-",F81/'AW Schulen'!$K147)))</f>
        <v>0.47368421052631576</v>
      </c>
      <c r="L81" s="300">
        <f>IF('AW Schulen'!$N129=0,"x",(IF('AW Schulen'!$N147=0,"-",G81/'AW Schulen'!$N147)))</f>
        <v>0.52173913043478259</v>
      </c>
    </row>
    <row r="82" spans="1:12" ht="9" customHeight="1">
      <c r="A82" s="24" t="s">
        <v>96</v>
      </c>
      <c r="B82" s="121"/>
      <c r="C82" s="290">
        <v>0</v>
      </c>
      <c r="D82" s="26">
        <f t="shared" ref="D82:E82" si="39">SUM(D66:D81)</f>
        <v>78</v>
      </c>
      <c r="E82" s="26">
        <f t="shared" si="39"/>
        <v>100</v>
      </c>
      <c r="F82" s="26">
        <f t="shared" ref="F82:G82" si="40">SUM(F66:F81)</f>
        <v>127</v>
      </c>
      <c r="G82" s="47">
        <f t="shared" si="40"/>
        <v>143</v>
      </c>
      <c r="H82" s="290">
        <v>0</v>
      </c>
      <c r="I82" s="301">
        <f>IF('AW Schulen'!$E130=0,"x",(IF('AW Schulen'!$E148=0,"-",D82/'AW Schulen'!$E148)))</f>
        <v>0.2932330827067669</v>
      </c>
      <c r="J82" s="301">
        <f>IF('AW Schulen'!$H130=0,"x",(IF('AW Schulen'!$H148=0,"-",E82/'AW Schulen'!$H148)))</f>
        <v>0.42553191489361702</v>
      </c>
      <c r="K82" s="301">
        <f>IF('AW Schulen'!$K130=0,"x",(IF('AW Schulen'!$K148=0,"-",F82/'AW Schulen'!$K148)))</f>
        <v>0.44718309859154931</v>
      </c>
      <c r="L82" s="302">
        <f>IF('AW Schulen'!$N130=0,"x",(IF('AW Schulen'!$N148=0,"-",G82/'AW Schulen'!$N148)))</f>
        <v>0.4627831715210356</v>
      </c>
    </row>
    <row r="83" spans="1:12" ht="18.75" customHeight="1">
      <c r="A83" s="396" t="s">
        <v>312</v>
      </c>
      <c r="B83" s="396"/>
      <c r="C83" s="396"/>
      <c r="D83" s="396"/>
      <c r="E83" s="396"/>
      <c r="F83" s="396"/>
      <c r="G83" s="396"/>
      <c r="H83" s="396"/>
      <c r="I83" s="396"/>
      <c r="J83" s="396"/>
      <c r="K83" s="396"/>
      <c r="L83" s="396"/>
    </row>
    <row r="84" spans="1:12" ht="10.15" customHeight="1">
      <c r="A84" s="400" t="s">
        <v>274</v>
      </c>
      <c r="B84" s="400"/>
      <c r="C84" s="400"/>
      <c r="D84" s="400"/>
      <c r="E84" s="400"/>
      <c r="F84" s="400"/>
      <c r="G84" s="400"/>
      <c r="H84" s="400"/>
      <c r="I84" s="382"/>
      <c r="J84" s="382"/>
      <c r="K84" s="315"/>
      <c r="L84" s="342"/>
    </row>
    <row r="85" spans="1:12" ht="19.5" customHeight="1">
      <c r="A85" s="387" t="s">
        <v>275</v>
      </c>
      <c r="B85" s="387"/>
      <c r="C85" s="387"/>
      <c r="D85" s="387"/>
      <c r="E85" s="387"/>
      <c r="F85" s="387"/>
      <c r="G85" s="387"/>
      <c r="H85" s="387"/>
      <c r="I85" s="394"/>
      <c r="J85" s="395"/>
      <c r="K85" s="395"/>
      <c r="L85" s="395"/>
    </row>
    <row r="86" spans="1:12" ht="10.15" customHeight="1">
      <c r="A86" s="274" t="s">
        <v>203</v>
      </c>
    </row>
    <row r="87" spans="1:12" ht="10.15" customHeight="1">
      <c r="A87" s="274" t="s">
        <v>101</v>
      </c>
    </row>
  </sheetData>
  <mergeCells count="10">
    <mergeCell ref="A1:L1"/>
    <mergeCell ref="A85:L85"/>
    <mergeCell ref="A84:J84"/>
    <mergeCell ref="C9:G9"/>
    <mergeCell ref="H9:L9"/>
    <mergeCell ref="A11:L11"/>
    <mergeCell ref="A47:L47"/>
    <mergeCell ref="A29:L29"/>
    <mergeCell ref="A65:L65"/>
    <mergeCell ref="A83:L83"/>
  </mergeCells>
  <conditionalFormatting sqref="N25">
    <cfRule type="cellIs" dxfId="48"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M84"/>
  <sheetViews>
    <sheetView view="pageBreakPreview" topLeftCell="A37" zoomScale="150" zoomScaleNormal="140" zoomScaleSheetLayoutView="150" workbookViewId="0">
      <selection activeCell="N23" sqref="N23:N24"/>
    </sheetView>
  </sheetViews>
  <sheetFormatPr baseColWidth="10" defaultColWidth="11.42578125" defaultRowHeight="9"/>
  <cols>
    <col min="1" max="1" width="8.7109375" style="2" customWidth="1"/>
    <col min="2" max="2" width="0.7109375" style="2" customWidth="1"/>
    <col min="3" max="12" width="6.7109375" style="2" customWidth="1"/>
    <col min="13" max="16384" width="11.42578125" style="2"/>
  </cols>
  <sheetData>
    <row r="1" spans="1:13" ht="12.75" customHeight="1">
      <c r="A1" s="383">
        <f>'2.2.7.1'!A1:J1+1</f>
        <v>23</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c r="H3" s="14"/>
      <c r="I3" s="14"/>
      <c r="J3" s="14"/>
      <c r="K3" s="14"/>
      <c r="L3" s="14"/>
    </row>
    <row r="4" spans="1:13" s="1" customFormat="1" ht="12.6" customHeight="1">
      <c r="A4" s="13" t="s">
        <v>20</v>
      </c>
      <c r="B4" s="12" t="s">
        <v>3</v>
      </c>
      <c r="C4" s="14"/>
      <c r="D4" s="14"/>
      <c r="E4" s="14"/>
      <c r="F4" s="14"/>
      <c r="G4" s="14"/>
      <c r="H4" s="14"/>
      <c r="I4" s="14"/>
      <c r="J4" s="14"/>
      <c r="K4" s="14"/>
      <c r="L4" s="14"/>
    </row>
    <row r="5" spans="1:13" s="1" customFormat="1" ht="12.6" customHeight="1">
      <c r="A5" s="13" t="s">
        <v>27</v>
      </c>
      <c r="B5" s="39" t="s">
        <v>106</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158</v>
      </c>
      <c r="D12" s="42">
        <f t="shared" si="0"/>
        <v>160</v>
      </c>
      <c r="E12" s="42">
        <f t="shared" ref="E12:F12" si="1">SUM(E30+E48+E66)</f>
        <v>176</v>
      </c>
      <c r="F12" s="42">
        <f t="shared" si="1"/>
        <v>182</v>
      </c>
      <c r="G12" s="44">
        <f t="shared" ref="G12" si="2">SUM(G30+G48+G66)</f>
        <v>201</v>
      </c>
      <c r="H12" s="153">
        <f>IF('AW Schulen'!$B186=0,"x",C12/'AW Schulen'!$B186)</f>
        <v>0.37089201877934275</v>
      </c>
      <c r="I12" s="153">
        <f>IF('AW Schulen'!$E186=0,"x",D12/'AW Schulen'!$E186)</f>
        <v>0.37735849056603776</v>
      </c>
      <c r="J12" s="153">
        <f>IF('AW Schulen'!$H186=0,"x",E12/'AW Schulen'!$H186)</f>
        <v>0.41706161137440756</v>
      </c>
      <c r="K12" s="153">
        <f>IF('AW Schulen'!$K186=0,"x",F12/'AW Schulen'!$K186)</f>
        <v>0.43961352657004832</v>
      </c>
      <c r="L12" s="154">
        <f>IF('AW Schulen'!$N186=0,"x",G12/'AW Schulen'!$N186)</f>
        <v>0.49264705882352944</v>
      </c>
    </row>
    <row r="13" spans="1:13" ht="9" customHeight="1">
      <c r="A13" s="21" t="s">
        <v>81</v>
      </c>
      <c r="B13" s="120"/>
      <c r="C13" s="42">
        <f t="shared" si="0"/>
        <v>125</v>
      </c>
      <c r="D13" s="42">
        <f t="shared" si="0"/>
        <v>136</v>
      </c>
      <c r="E13" s="42">
        <f t="shared" ref="E13:F13" si="3">SUM(E31+E49+E67)</f>
        <v>143</v>
      </c>
      <c r="F13" s="42" t="e">
        <f t="shared" si="3"/>
        <v>#VALUE!</v>
      </c>
      <c r="G13" s="44">
        <f t="shared" ref="G13" si="4">SUM(G31+G49+G67)</f>
        <v>145</v>
      </c>
      <c r="H13" s="153">
        <f>IF('AW Schulen'!$B187=0,"x",C13/'AW Schulen'!$B187)</f>
        <v>0.76687116564417179</v>
      </c>
      <c r="I13" s="153">
        <f>IF('AW Schulen'!$E187=0,"x",D13/'AW Schulen'!$E187)</f>
        <v>0.83435582822085885</v>
      </c>
      <c r="J13" s="153">
        <f>IF('AW Schulen'!$H187=0,"x",E13/'AW Schulen'!$H187)</f>
        <v>0.87730061349693256</v>
      </c>
      <c r="K13" s="153" t="e">
        <f>IF('AW Schulen'!$K187=0,"x",F13/'AW Schulen'!$K187)</f>
        <v>#VALUE!</v>
      </c>
      <c r="L13" s="154">
        <f>IF('AW Schulen'!$N187=0,"x",G13/'AW Schulen'!$N187)</f>
        <v>0.89506172839506171</v>
      </c>
    </row>
    <row r="14" spans="1:13" ht="9" customHeight="1">
      <c r="A14" s="21" t="s">
        <v>82</v>
      </c>
      <c r="B14" s="120"/>
      <c r="C14" s="42">
        <f t="shared" si="0"/>
        <v>61</v>
      </c>
      <c r="D14" s="42">
        <f t="shared" si="0"/>
        <v>57</v>
      </c>
      <c r="E14" s="42">
        <f t="shared" ref="E14:F14" si="5">SUM(E32+E50+E68)</f>
        <v>54</v>
      </c>
      <c r="F14" s="42">
        <f t="shared" si="5"/>
        <v>57</v>
      </c>
      <c r="G14" s="44">
        <f t="shared" ref="G14" si="6">SUM(G32+G50+G68)</f>
        <v>50</v>
      </c>
      <c r="H14" s="153">
        <f>IF('AW Schulen'!$B188=0,"x",C14/'AW Schulen'!$B188)</f>
        <v>0.80263157894736847</v>
      </c>
      <c r="I14" s="153">
        <f>IF('AW Schulen'!$E188=0,"x",D14/'AW Schulen'!$E188)</f>
        <v>0.83823529411764708</v>
      </c>
      <c r="J14" s="153">
        <f>IF('AW Schulen'!$H188=0,"x",E14/'AW Schulen'!$H188)</f>
        <v>0.79411764705882348</v>
      </c>
      <c r="K14" s="153">
        <f>IF('AW Schulen'!$K188=0,"x",F14/'AW Schulen'!$K188)</f>
        <v>0.83823529411764708</v>
      </c>
      <c r="L14" s="154">
        <f>IF('AW Schulen'!$N188=0,"x",G14/'AW Schulen'!$N188)</f>
        <v>0.73529411764705888</v>
      </c>
    </row>
    <row r="15" spans="1:13" ht="9" customHeight="1">
      <c r="A15" s="21" t="s">
        <v>83</v>
      </c>
      <c r="B15" s="120"/>
      <c r="C15" s="42">
        <f t="shared" si="0"/>
        <v>60</v>
      </c>
      <c r="D15" s="42">
        <f t="shared" si="0"/>
        <v>62</v>
      </c>
      <c r="E15" s="42">
        <f t="shared" ref="E15:F15" si="7">SUM(E33+E51+E69)</f>
        <v>61</v>
      </c>
      <c r="F15" s="42">
        <f t="shared" si="7"/>
        <v>60</v>
      </c>
      <c r="G15" s="44">
        <f t="shared" ref="G15" si="8">SUM(G33+G51+G69)</f>
        <v>58</v>
      </c>
      <c r="H15" s="153">
        <f>IF('AW Schulen'!$B189=0,"x",C15/'AW Schulen'!$B189)</f>
        <v>0.5714285714285714</v>
      </c>
      <c r="I15" s="153">
        <f>IF('AW Schulen'!$E189=0,"x",D15/'AW Schulen'!$E189)</f>
        <v>0.59047619047619049</v>
      </c>
      <c r="J15" s="153">
        <f>IF('AW Schulen'!$H189=0,"x",E15/'AW Schulen'!$H189)</f>
        <v>0.61</v>
      </c>
      <c r="K15" s="153">
        <f>IF('AW Schulen'!$K189=0,"x",F15/'AW Schulen'!$K189)</f>
        <v>0.625</v>
      </c>
      <c r="L15" s="154">
        <f>IF('AW Schulen'!$N189=0,"x",G15/'AW Schulen'!$N189)</f>
        <v>0.62365591397849462</v>
      </c>
    </row>
    <row r="16" spans="1:13" ht="9" customHeight="1">
      <c r="A16" s="21" t="s">
        <v>84</v>
      </c>
      <c r="B16" s="120"/>
      <c r="C16" s="42">
        <f t="shared" si="0"/>
        <v>0</v>
      </c>
      <c r="D16" s="42">
        <f t="shared" si="0"/>
        <v>0</v>
      </c>
      <c r="E16" s="42">
        <f t="shared" ref="E16:F16" si="9">SUM(E34+E52+E70)</f>
        <v>0</v>
      </c>
      <c r="F16" s="42">
        <f t="shared" si="9"/>
        <v>0</v>
      </c>
      <c r="G16" s="44">
        <f t="shared" ref="G16" si="10">SUM(G34+G52+G70)</f>
        <v>0</v>
      </c>
      <c r="H16" s="153">
        <f>IF('AW Schulen'!$B190=0,"x",C16/'AW Schulen'!$B190)</f>
        <v>0</v>
      </c>
      <c r="I16" s="153">
        <f>IF('AW Schulen'!$E190=0,"x",D16/'AW Schulen'!$E190)</f>
        <v>0</v>
      </c>
      <c r="J16" s="153">
        <f>IF('AW Schulen'!$H190=0,"x",E16/'AW Schulen'!$H190)</f>
        <v>0</v>
      </c>
      <c r="K16" s="153">
        <f>IF('AW Schulen'!$K190=0,"x",F16/'AW Schulen'!$K190)</f>
        <v>0</v>
      </c>
      <c r="L16" s="154">
        <f>IF('AW Schulen'!$N190=0,"x",G16/'AW Schulen'!$N190)</f>
        <v>0</v>
      </c>
    </row>
    <row r="17" spans="1:12" ht="9" customHeight="1">
      <c r="A17" s="21" t="s">
        <v>85</v>
      </c>
      <c r="B17" s="120"/>
      <c r="C17" s="42">
        <f t="shared" si="0"/>
        <v>28</v>
      </c>
      <c r="D17" s="42">
        <f t="shared" si="0"/>
        <v>25</v>
      </c>
      <c r="E17" s="42">
        <f t="shared" ref="E17:F17" si="11">SUM(E35+E53+E71)</f>
        <v>25</v>
      </c>
      <c r="F17" s="42">
        <f t="shared" si="11"/>
        <v>26</v>
      </c>
      <c r="G17" s="44">
        <f t="shared" ref="G17" si="12">SUM(G35+G53+G71)</f>
        <v>26</v>
      </c>
      <c r="H17" s="153">
        <f>IF('AW Schulen'!$B191=0,"x",C17/'AW Schulen'!$B191)</f>
        <v>0.7567567567567568</v>
      </c>
      <c r="I17" s="153">
        <f>IF('AW Schulen'!$E191=0,"x",D17/'AW Schulen'!$E191)</f>
        <v>0.96153846153846156</v>
      </c>
      <c r="J17" s="153">
        <f>IF('AW Schulen'!$H191=0,"x",E17/'AW Schulen'!$H191)</f>
        <v>0.96153846153846156</v>
      </c>
      <c r="K17" s="153">
        <f>IF('AW Schulen'!$K191=0,"x",F17/'AW Schulen'!$K191)</f>
        <v>1</v>
      </c>
      <c r="L17" s="154">
        <f>IF('AW Schulen'!$N191=0,"x",G17/'AW Schulen'!$N191)</f>
        <v>1</v>
      </c>
    </row>
    <row r="18" spans="1:12" ht="9" customHeight="1">
      <c r="A18" s="21" t="s">
        <v>86</v>
      </c>
      <c r="B18" s="120"/>
      <c r="C18" s="42">
        <f t="shared" si="0"/>
        <v>136</v>
      </c>
      <c r="D18" s="42">
        <f t="shared" si="0"/>
        <v>143</v>
      </c>
      <c r="E18" s="42">
        <f t="shared" ref="E18:F18" si="13">SUM(E36+E54+E72)</f>
        <v>151</v>
      </c>
      <c r="F18" s="42">
        <f t="shared" si="13"/>
        <v>156</v>
      </c>
      <c r="G18" s="44">
        <f t="shared" ref="G18" si="14">SUM(G36+G54+G72)</f>
        <v>157</v>
      </c>
      <c r="H18" s="153">
        <f>IF('AW Schulen'!$B192=0,"x",C18/'AW Schulen'!$B192)</f>
        <v>0.63849765258215962</v>
      </c>
      <c r="I18" s="153">
        <f>IF('AW Schulen'!$E192=0,"x",D18/'AW Schulen'!$E192)</f>
        <v>0.67452830188679247</v>
      </c>
      <c r="J18" s="153">
        <f>IF('AW Schulen'!$H192=0,"x",E18/'AW Schulen'!$H192)</f>
        <v>0.70892018779342725</v>
      </c>
      <c r="K18" s="153">
        <f>IF('AW Schulen'!$K192=0,"x",F18/'AW Schulen'!$K192)</f>
        <v>0.73584905660377353</v>
      </c>
      <c r="L18" s="154">
        <f>IF('AW Schulen'!$N192=0,"x",G18/'AW Schulen'!$N192)</f>
        <v>0.75480769230769229</v>
      </c>
    </row>
    <row r="19" spans="1:12" ht="9" customHeight="1">
      <c r="A19" s="21" t="s">
        <v>87</v>
      </c>
      <c r="B19" s="120"/>
      <c r="C19" s="42">
        <f t="shared" si="0"/>
        <v>20</v>
      </c>
      <c r="D19" s="42">
        <f t="shared" si="0"/>
        <v>26</v>
      </c>
      <c r="E19" s="42">
        <f t="shared" ref="E19:F19" si="15">SUM(E37+E55+E73)</f>
        <v>19</v>
      </c>
      <c r="F19" s="42">
        <f t="shared" si="15"/>
        <v>24</v>
      </c>
      <c r="G19" s="44">
        <f t="shared" ref="G19" si="16">SUM(G37+G55+G73)</f>
        <v>22</v>
      </c>
      <c r="H19" s="153">
        <f>IF('AW Schulen'!$B193=0,"x",C19/'AW Schulen'!$B193)</f>
        <v>0.23529411764705882</v>
      </c>
      <c r="I19" s="153">
        <f>IF('AW Schulen'!$E193=0,"x",D19/'AW Schulen'!$E193)</f>
        <v>0.30952380952380953</v>
      </c>
      <c r="J19" s="153">
        <f>IF('AW Schulen'!$H193=0,"x",E19/'AW Schulen'!$H193)</f>
        <v>0.2289156626506024</v>
      </c>
      <c r="K19" s="153">
        <f>IF('AW Schulen'!$K193=0,"x",F19/'AW Schulen'!$K193)</f>
        <v>0.29268292682926828</v>
      </c>
      <c r="L19" s="154">
        <f>IF('AW Schulen'!$N193=0,"x",G19/'AW Schulen'!$N193)</f>
        <v>0.27848101265822783</v>
      </c>
    </row>
    <row r="20" spans="1:12" ht="9" customHeight="1">
      <c r="A20" s="21" t="s">
        <v>88</v>
      </c>
      <c r="B20" s="120"/>
      <c r="C20" s="42">
        <f t="shared" si="0"/>
        <v>149</v>
      </c>
      <c r="D20" s="42">
        <f t="shared" si="0"/>
        <v>147</v>
      </c>
      <c r="E20" s="42">
        <f t="shared" ref="E20:F20" si="17">SUM(E38+E56+E74)</f>
        <v>138</v>
      </c>
      <c r="F20" s="42">
        <f t="shared" si="17"/>
        <v>133</v>
      </c>
      <c r="G20" s="44">
        <f t="shared" ref="G20" si="18">SUM(G38+G56+G74)</f>
        <v>135</v>
      </c>
      <c r="H20" s="153">
        <f>IF('AW Schulen'!$B194=0,"x",C20/'AW Schulen'!$B194)</f>
        <v>0.53985507246376807</v>
      </c>
      <c r="I20" s="153">
        <f>IF('AW Schulen'!$E194=0,"x",D20/'AW Schulen'!$E194)</f>
        <v>0.55471698113207546</v>
      </c>
      <c r="J20" s="153">
        <f>IF('AW Schulen'!$H194=0,"x",E20/'AW Schulen'!$H194)</f>
        <v>0.54545454545454541</v>
      </c>
      <c r="K20" s="153">
        <f>IF('AW Schulen'!$K194=0,"x",F20/'AW Schulen'!$K194)</f>
        <v>0.55186721991701249</v>
      </c>
      <c r="L20" s="154">
        <f>IF('AW Schulen'!$N194=0,"x",G20/'AW Schulen'!$N194)</f>
        <v>0.58695652173913049</v>
      </c>
    </row>
    <row r="21" spans="1:12" ht="9" customHeight="1">
      <c r="A21" s="21" t="s">
        <v>89</v>
      </c>
      <c r="B21" s="120"/>
      <c r="C21" s="42">
        <f t="shared" si="0"/>
        <v>448</v>
      </c>
      <c r="D21" s="42">
        <f t="shared" si="0"/>
        <v>440</v>
      </c>
      <c r="E21" s="42">
        <f t="shared" ref="E21:F21" si="19">SUM(E39+E57+E75)</f>
        <v>414</v>
      </c>
      <c r="F21" s="42">
        <f t="shared" si="19"/>
        <v>365</v>
      </c>
      <c r="G21" s="44">
        <f t="shared" ref="G21" si="20">SUM(G39+G57+G75)</f>
        <v>351</v>
      </c>
      <c r="H21" s="153">
        <f>IF('AW Schulen'!$B195=0,"x",C21/'AW Schulen'!$B195)</f>
        <v>0.7099841521394612</v>
      </c>
      <c r="I21" s="153">
        <f>IF('AW Schulen'!$E195=0,"x",D21/'AW Schulen'!$E195)</f>
        <v>0.72368421052631582</v>
      </c>
      <c r="J21" s="153">
        <f>IF('AW Schulen'!$H195=0,"x",E21/'AW Schulen'!$H195)</f>
        <v>0.73144876325088337</v>
      </c>
      <c r="K21" s="153">
        <f>IF('AW Schulen'!$K195=0,"x",F21/'AW Schulen'!$K195)</f>
        <v>0.74338085539714871</v>
      </c>
      <c r="L21" s="154">
        <f>IF('AW Schulen'!$N195=0,"x",G21/'AW Schulen'!$N195)</f>
        <v>0.79772727272727273</v>
      </c>
    </row>
    <row r="22" spans="1:12" ht="9" customHeight="1">
      <c r="A22" s="21" t="s">
        <v>90</v>
      </c>
      <c r="B22" s="120"/>
      <c r="C22" s="42">
        <f t="shared" si="0"/>
        <v>105</v>
      </c>
      <c r="D22" s="42">
        <f t="shared" si="0"/>
        <v>106</v>
      </c>
      <c r="E22" s="42">
        <f t="shared" ref="E22:F22" si="21">SUM(E40+E58+E76)</f>
        <v>105</v>
      </c>
      <c r="F22" s="42">
        <f t="shared" si="21"/>
        <v>104</v>
      </c>
      <c r="G22" s="44">
        <f t="shared" ref="G22" si="22">SUM(G40+G58+G76)</f>
        <v>106</v>
      </c>
      <c r="H22" s="153">
        <f>IF('AW Schulen'!$B196=0,"x",C22/'AW Schulen'!$B196)</f>
        <v>0.91304347826086951</v>
      </c>
      <c r="I22" s="153">
        <f>IF('AW Schulen'!$E196=0,"x",D22/'AW Schulen'!$E196)</f>
        <v>0.92173913043478262</v>
      </c>
      <c r="J22" s="153">
        <f>IF('AW Schulen'!$H196=0,"x",E22/'AW Schulen'!$H196)</f>
        <v>0.9375</v>
      </c>
      <c r="K22" s="153">
        <f>IF('AW Schulen'!$K196=0,"x",F22/'AW Schulen'!$K196)</f>
        <v>0.95412844036697253</v>
      </c>
      <c r="L22" s="154">
        <f>IF('AW Schulen'!$N196=0,"x",G22/'AW Schulen'!$N196)</f>
        <v>0.98148148148148151</v>
      </c>
    </row>
    <row r="23" spans="1:12" ht="9" customHeight="1">
      <c r="A23" s="21" t="s">
        <v>91</v>
      </c>
      <c r="B23" s="120"/>
      <c r="C23" s="42">
        <f t="shared" si="0"/>
        <v>24</v>
      </c>
      <c r="D23" s="42">
        <f t="shared" si="0"/>
        <v>24</v>
      </c>
      <c r="E23" s="42">
        <f t="shared" ref="E23:F23" si="23">SUM(E41+E59+E77)</f>
        <v>25</v>
      </c>
      <c r="F23" s="42">
        <f t="shared" si="23"/>
        <v>26</v>
      </c>
      <c r="G23" s="44">
        <f t="shared" ref="G23" si="24">SUM(G41+G59+G77)</f>
        <v>25</v>
      </c>
      <c r="H23" s="153">
        <f>IF('AW Schulen'!$B197=0,"x",C23/'AW Schulen'!$B197)</f>
        <v>0.75</v>
      </c>
      <c r="I23" s="153">
        <f>IF('AW Schulen'!$E197=0,"x",D23/'AW Schulen'!$E197)</f>
        <v>0.75</v>
      </c>
      <c r="J23" s="153">
        <f>IF('AW Schulen'!$H197=0,"x",E23/'AW Schulen'!$H197)</f>
        <v>0.78125</v>
      </c>
      <c r="K23" s="153">
        <f>IF('AW Schulen'!$K197=0,"x",F23/'AW Schulen'!$K197)</f>
        <v>0.83870967741935487</v>
      </c>
      <c r="L23" s="154">
        <f>IF('AW Schulen'!$N197=0,"x",G23/'AW Schulen'!$N197)</f>
        <v>0.80645161290322576</v>
      </c>
    </row>
    <row r="24" spans="1:12" ht="9" customHeight="1">
      <c r="A24" s="21" t="s">
        <v>92</v>
      </c>
      <c r="B24" s="120"/>
      <c r="C24" s="42">
        <f t="shared" si="0"/>
        <v>138</v>
      </c>
      <c r="D24" s="42">
        <f t="shared" si="0"/>
        <v>136</v>
      </c>
      <c r="E24" s="42">
        <f t="shared" ref="E24:F24" si="25">SUM(E42+E60+E78)</f>
        <v>135</v>
      </c>
      <c r="F24" s="42">
        <f t="shared" si="25"/>
        <v>135</v>
      </c>
      <c r="G24" s="44">
        <f t="shared" ref="G24" si="26">SUM(G42+G60+G78)</f>
        <v>135</v>
      </c>
      <c r="H24" s="153">
        <f>IF('AW Schulen'!$B198=0,"x",C24/'AW Schulen'!$B198)</f>
        <v>1</v>
      </c>
      <c r="I24" s="153">
        <f>IF('AW Schulen'!$E198=0,"x",D24/'AW Schulen'!$E198)</f>
        <v>1</v>
      </c>
      <c r="J24" s="153">
        <f>IF('AW Schulen'!$H198=0,"x",E24/'AW Schulen'!$H198)</f>
        <v>1</v>
      </c>
      <c r="K24" s="153">
        <f>IF('AW Schulen'!$K198=0,"x",F24/'AW Schulen'!$K198)</f>
        <v>1</v>
      </c>
      <c r="L24" s="154">
        <f>IF('AW Schulen'!$N198=0,"x",G24/'AW Schulen'!$N198)</f>
        <v>1</v>
      </c>
    </row>
    <row r="25" spans="1:12" ht="9" customHeight="1">
      <c r="A25" s="21" t="s">
        <v>93</v>
      </c>
      <c r="B25" s="120"/>
      <c r="C25" s="42">
        <f t="shared" si="0"/>
        <v>111</v>
      </c>
      <c r="D25" s="42">
        <f t="shared" si="0"/>
        <v>110</v>
      </c>
      <c r="E25" s="42">
        <f t="shared" ref="E25:F25" si="27">SUM(E43+E61+E79)</f>
        <v>98</v>
      </c>
      <c r="F25" s="42">
        <f t="shared" si="27"/>
        <v>96</v>
      </c>
      <c r="G25" s="44">
        <f t="shared" ref="G25" si="28">SUM(G43+G61+G79)</f>
        <v>94</v>
      </c>
      <c r="H25" s="153">
        <f>IF('AW Schulen'!$B199=0,"x",C25/'AW Schulen'!$B199)</f>
        <v>1</v>
      </c>
      <c r="I25" s="153">
        <f>IF('AW Schulen'!$E199=0,"x",D25/'AW Schulen'!$E199)</f>
        <v>1</v>
      </c>
      <c r="J25" s="153">
        <f>IF('AW Schulen'!$H199=0,"x",E25/'AW Schulen'!$H199)</f>
        <v>1</v>
      </c>
      <c r="K25" s="153">
        <f>IF('AW Schulen'!$K199=0,"x",F25/'AW Schulen'!$K199)</f>
        <v>1</v>
      </c>
      <c r="L25" s="154">
        <f>IF('AW Schulen'!$N199=0,"x",G25/'AW Schulen'!$N199)</f>
        <v>1</v>
      </c>
    </row>
    <row r="26" spans="1:12" ht="9" customHeight="1">
      <c r="A26" s="21" t="s">
        <v>94</v>
      </c>
      <c r="B26" s="120"/>
      <c r="C26" s="42">
        <f t="shared" si="0"/>
        <v>76</v>
      </c>
      <c r="D26" s="42">
        <f t="shared" si="0"/>
        <v>73</v>
      </c>
      <c r="E26" s="42">
        <f t="shared" ref="E26:F26" si="29">SUM(E44+E62+E80)</f>
        <v>67</v>
      </c>
      <c r="F26" s="42">
        <f t="shared" si="29"/>
        <v>63</v>
      </c>
      <c r="G26" s="44">
        <f t="shared" ref="G26" si="30">SUM(G44+G62+G80)</f>
        <v>59</v>
      </c>
      <c r="H26" s="153">
        <f>IF('AW Schulen'!$B200=0,"x",C26/'AW Schulen'!$B200)</f>
        <v>0.6333333333333333</v>
      </c>
      <c r="I26" s="153">
        <f>IF('AW Schulen'!$E200=0,"x",D26/'AW Schulen'!$E200)</f>
        <v>0.6517857142857143</v>
      </c>
      <c r="J26" s="153">
        <f>IF('AW Schulen'!$H200=0,"x",E26/'AW Schulen'!$H200)</f>
        <v>0.62037037037037035</v>
      </c>
      <c r="K26" s="153">
        <f>IF('AW Schulen'!$K200=0,"x",F26/'AW Schulen'!$K200)</f>
        <v>0.60576923076923073</v>
      </c>
      <c r="L26" s="154">
        <f>IF('AW Schulen'!$N200=0,"x",G26/'AW Schulen'!$N200)</f>
        <v>0.59595959595959591</v>
      </c>
    </row>
    <row r="27" spans="1:12" ht="9" customHeight="1">
      <c r="A27" s="21" t="s">
        <v>95</v>
      </c>
      <c r="B27" s="120"/>
      <c r="C27" s="42">
        <f t="shared" si="0"/>
        <v>59</v>
      </c>
      <c r="D27" s="42">
        <f t="shared" si="0"/>
        <v>59</v>
      </c>
      <c r="E27" s="42">
        <f t="shared" ref="E27:F27" si="31">SUM(E45+E63+E81)</f>
        <v>59</v>
      </c>
      <c r="F27" s="42">
        <f t="shared" si="31"/>
        <v>59</v>
      </c>
      <c r="G27" s="44">
        <f t="shared" ref="G27" si="32">SUM(G45+G63+G81)</f>
        <v>56</v>
      </c>
      <c r="H27" s="153">
        <f>IF('AW Schulen'!$B201=0,"x",C27/'AW Schulen'!$B201)</f>
        <v>1</v>
      </c>
      <c r="I27" s="153">
        <f>IF('AW Schulen'!$E201=0,"x",D27/'AW Schulen'!$E201)</f>
        <v>1</v>
      </c>
      <c r="J27" s="153">
        <f>IF('AW Schulen'!$H201=0,"x",E27/'AW Schulen'!$H201)</f>
        <v>1</v>
      </c>
      <c r="K27" s="153">
        <f>IF('AW Schulen'!$K201=0,"x",F27/'AW Schulen'!$K201)</f>
        <v>1</v>
      </c>
      <c r="L27" s="154">
        <f>IF('AW Schulen'!$N201=0,"x",G27/'AW Schulen'!$N201)</f>
        <v>1</v>
      </c>
    </row>
    <row r="28" spans="1:12" ht="9" customHeight="1">
      <c r="A28" s="21" t="s">
        <v>96</v>
      </c>
      <c r="B28" s="120"/>
      <c r="C28" s="42">
        <f t="shared" si="0"/>
        <v>1698</v>
      </c>
      <c r="D28" s="42">
        <f t="shared" si="0"/>
        <v>1704</v>
      </c>
      <c r="E28" s="42">
        <f t="shared" ref="E28:F28" si="33">SUM(E46+E64+E82)</f>
        <v>1670</v>
      </c>
      <c r="F28" s="42">
        <f t="shared" si="33"/>
        <v>1630</v>
      </c>
      <c r="G28" s="44">
        <f t="shared" ref="G28" si="34">SUM(G46+G64+G82)</f>
        <v>1620</v>
      </c>
      <c r="H28" s="153">
        <f>IF('AW Schulen'!$B202=0,"x",C28/'AW Schulen'!$B202)</f>
        <v>0.65207373271889402</v>
      </c>
      <c r="I28" s="153">
        <f>IF('AW Schulen'!$E202=0,"x",D28/'AW Schulen'!$E202)</f>
        <v>0.67165944028379976</v>
      </c>
      <c r="J28" s="153">
        <f>IF('AW Schulen'!$H202=0,"x",E28/'AW Schulen'!$H202)</f>
        <v>0.68079902160619654</v>
      </c>
      <c r="K28" s="153">
        <f>IF('AW Schulen'!$K202=0,"x",F28/'AW Schulen'!$K202)</f>
        <v>0.69747539580658968</v>
      </c>
      <c r="L28" s="154">
        <f>IF('AW Schulen'!$N202=0,"x",G28/'AW Schulen'!$N202)</f>
        <v>0.72128227960819236</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[1]GtS!$F$17</f>
        <v>127</v>
      </c>
      <c r="D30" s="23">
        <f>[2]GtS!$F$19</f>
        <v>127</v>
      </c>
      <c r="E30" s="23">
        <f>[3]GtS!$F$19</f>
        <v>134</v>
      </c>
      <c r="F30" s="23">
        <f>[4]GtS!$F$19</f>
        <v>137</v>
      </c>
      <c r="G30" s="34">
        <f>[5]GtS!$F$19</f>
        <v>146</v>
      </c>
      <c r="H30" s="155">
        <f>IF('AW Schulen'!$B186=0,"x",C30/'AW Schulen'!$B186)</f>
        <v>0.2981220657276995</v>
      </c>
      <c r="I30" s="155">
        <f>IF('AW Schulen'!$E186=0,"x",D30/'AW Schulen'!$E186)</f>
        <v>0.29952830188679247</v>
      </c>
      <c r="J30" s="155">
        <f>IF('AW Schulen'!$H186=0,"x",E30/'AW Schulen'!$H186)</f>
        <v>0.31753554502369669</v>
      </c>
      <c r="K30" s="155">
        <f>IF('AW Schulen'!$K186=0,"x",F30/'AW Schulen'!$K186)</f>
        <v>0.33091787439613529</v>
      </c>
      <c r="L30" s="156">
        <f>IF('AW Schulen'!$N186=0,"x",G30/'AW Schulen'!$N186)</f>
        <v>0.35784313725490197</v>
      </c>
    </row>
    <row r="31" spans="1:12" ht="9" customHeight="1">
      <c r="A31" s="21" t="s">
        <v>81</v>
      </c>
      <c r="B31" s="120"/>
      <c r="C31" s="23">
        <f>[6]GtS!$F$17</f>
        <v>0</v>
      </c>
      <c r="D31" s="23">
        <f>[7]GtS!$F$19</f>
        <v>0</v>
      </c>
      <c r="E31" s="23">
        <f>[8]GtS!$F$19</f>
        <v>1</v>
      </c>
      <c r="F31" s="23" t="str">
        <f>[9]GtS!$F$19</f>
        <v xml:space="preserve">                                      -   </v>
      </c>
      <c r="G31" s="34">
        <f>[10]GtS!$F$19</f>
        <v>0</v>
      </c>
      <c r="H31" s="155">
        <f>IF('AW Schulen'!$B187=0,"x",C31/'AW Schulen'!$B187)</f>
        <v>0</v>
      </c>
      <c r="I31" s="155">
        <f>IF('AW Schulen'!$E187=0,"x",D31/'AW Schulen'!$E187)</f>
        <v>0</v>
      </c>
      <c r="J31" s="155">
        <f>IF('AW Schulen'!$H187=0,"x",E31/'AW Schulen'!$H187)</f>
        <v>6.1349693251533744E-3</v>
      </c>
      <c r="K31" s="155" t="e">
        <f>IF('AW Schulen'!$K187=0,"x",F31/'AW Schulen'!$K187)</f>
        <v>#VALUE!</v>
      </c>
      <c r="L31" s="156">
        <f>IF('AW Schulen'!$N187=0,"x",G31/'AW Schulen'!$N187)</f>
        <v>0</v>
      </c>
    </row>
    <row r="32" spans="1:12" ht="9" customHeight="1">
      <c r="A32" s="21" t="s">
        <v>82</v>
      </c>
      <c r="B32" s="120"/>
      <c r="C32" s="23">
        <f>[11]GtS!$F$17</f>
        <v>25</v>
      </c>
      <c r="D32" s="23">
        <f>[12]GtS!$F$19</f>
        <v>25</v>
      </c>
      <c r="E32" s="23">
        <f>[13]GtS!$F$19</f>
        <v>24</v>
      </c>
      <c r="F32" s="23">
        <f>[14]GtS!$F$19</f>
        <v>30</v>
      </c>
      <c r="G32" s="34">
        <f>[15]GtS!$F$19</f>
        <v>25</v>
      </c>
      <c r="H32" s="155">
        <f>IF('AW Schulen'!$B188=0,"x",C32/'AW Schulen'!$B188)</f>
        <v>0.32894736842105265</v>
      </c>
      <c r="I32" s="155">
        <f>IF('AW Schulen'!$E188=0,"x",D32/'AW Schulen'!$E188)</f>
        <v>0.36764705882352944</v>
      </c>
      <c r="J32" s="155">
        <f>IF('AW Schulen'!$H188=0,"x",E32/'AW Schulen'!$H188)</f>
        <v>0.35294117647058826</v>
      </c>
      <c r="K32" s="155">
        <f>IF('AW Schulen'!$K188=0,"x",F32/'AW Schulen'!$K188)</f>
        <v>0.44117647058823528</v>
      </c>
      <c r="L32" s="156">
        <f>IF('AW Schulen'!$N188=0,"x",G32/'AW Schulen'!$N188)</f>
        <v>0.36764705882352944</v>
      </c>
    </row>
    <row r="33" spans="1:12" ht="9" customHeight="1">
      <c r="A33" s="21" t="s">
        <v>83</v>
      </c>
      <c r="B33" s="120"/>
      <c r="C33" s="23">
        <f>[16]GtS!$F$17</f>
        <v>48</v>
      </c>
      <c r="D33" s="23">
        <f>[17]GtS!$F$19</f>
        <v>48</v>
      </c>
      <c r="E33" s="23">
        <f>[18]GtS!$F$19</f>
        <v>47</v>
      </c>
      <c r="F33" s="23">
        <f>[19]GtS!$F$19</f>
        <v>46</v>
      </c>
      <c r="G33" s="34">
        <f>[20]GtS!$F$19</f>
        <v>46</v>
      </c>
      <c r="H33" s="155">
        <f>IF('AW Schulen'!$B189=0,"x",C33/'AW Schulen'!$B189)</f>
        <v>0.45714285714285713</v>
      </c>
      <c r="I33" s="155">
        <f>IF('AW Schulen'!$E189=0,"x",D33/'AW Schulen'!$E189)</f>
        <v>0.45714285714285713</v>
      </c>
      <c r="J33" s="155">
        <f>IF('AW Schulen'!$H189=0,"x",E33/'AW Schulen'!$H189)</f>
        <v>0.47</v>
      </c>
      <c r="K33" s="155">
        <f>IF('AW Schulen'!$K189=0,"x",F33/'AW Schulen'!$K189)</f>
        <v>0.47916666666666669</v>
      </c>
      <c r="L33" s="156">
        <f>IF('AW Schulen'!$N189=0,"x",G33/'AW Schulen'!$N189)</f>
        <v>0.4946236559139785</v>
      </c>
    </row>
    <row r="34" spans="1:12" ht="9" customHeight="1">
      <c r="A34" s="21" t="s">
        <v>84</v>
      </c>
      <c r="B34" s="120"/>
      <c r="C34" s="23">
        <f>[21]GtS!$F$17</f>
        <v>0</v>
      </c>
      <c r="D34" s="23">
        <f>[22]GtS!$F$19</f>
        <v>0</v>
      </c>
      <c r="E34" s="23">
        <f>[23]GtS!$F$19</f>
        <v>0</v>
      </c>
      <c r="F34" s="23">
        <f>[24]GtS!$F$19</f>
        <v>0</v>
      </c>
      <c r="G34" s="34">
        <f>[25]GtS!$F$19</f>
        <v>0</v>
      </c>
      <c r="H34" s="155">
        <f>IF('AW Schulen'!$B190=0,"x",C34/'AW Schulen'!$B190)</f>
        <v>0</v>
      </c>
      <c r="I34" s="155">
        <f>IF('AW Schulen'!$E190=0,"x",D34/'AW Schulen'!$E190)</f>
        <v>0</v>
      </c>
      <c r="J34" s="155">
        <f>IF('AW Schulen'!$H190=0,"x",E34/'AW Schulen'!$H190)</f>
        <v>0</v>
      </c>
      <c r="K34" s="155">
        <f>IF('AW Schulen'!$K190=0,"x",F34/'AW Schulen'!$K190)</f>
        <v>0</v>
      </c>
      <c r="L34" s="156">
        <f>IF('AW Schulen'!$N190=0,"x",G34/'AW Schulen'!$N190)</f>
        <v>0</v>
      </c>
    </row>
    <row r="35" spans="1:12" ht="9" customHeight="1">
      <c r="A35" s="21" t="s">
        <v>85</v>
      </c>
      <c r="B35" s="120"/>
      <c r="C35" s="23">
        <f>[26]GtS!$F$17</f>
        <v>23</v>
      </c>
      <c r="D35" s="23">
        <f>[27]GtS!$F$19</f>
        <v>18</v>
      </c>
      <c r="E35" s="23">
        <f>[28]GtS!$F$19</f>
        <v>18</v>
      </c>
      <c r="F35" s="23">
        <f>[29]GtS!$F$19</f>
        <v>18</v>
      </c>
      <c r="G35" s="34">
        <f>[30]GtS!$F$19</f>
        <v>20</v>
      </c>
      <c r="H35" s="155">
        <f>IF('AW Schulen'!$B191=0,"x",C35/'AW Schulen'!$B191)</f>
        <v>0.6216216216216216</v>
      </c>
      <c r="I35" s="155">
        <f>IF('AW Schulen'!$E191=0,"x",D35/'AW Schulen'!$E191)</f>
        <v>0.69230769230769229</v>
      </c>
      <c r="J35" s="155">
        <f>IF('AW Schulen'!$H191=0,"x",E35/'AW Schulen'!$H191)</f>
        <v>0.69230769230769229</v>
      </c>
      <c r="K35" s="155">
        <f>IF('AW Schulen'!$K191=0,"x",F35/'AW Schulen'!$K191)</f>
        <v>0.69230769230769229</v>
      </c>
      <c r="L35" s="156">
        <f>IF('AW Schulen'!$N191=0,"x",G35/'AW Schulen'!$N191)</f>
        <v>0.76923076923076927</v>
      </c>
    </row>
    <row r="36" spans="1:12" ht="9" customHeight="1">
      <c r="A36" s="21" t="s">
        <v>86</v>
      </c>
      <c r="B36" s="120"/>
      <c r="C36" s="23">
        <f>[66]GtS!$F$17</f>
        <v>60</v>
      </c>
      <c r="D36" s="23">
        <f>[67]GtS!$F$19</f>
        <v>62</v>
      </c>
      <c r="E36" s="23">
        <f>[68]GtS!$F$19</f>
        <v>62</v>
      </c>
      <c r="F36" s="23">
        <f>[69]GtS!$F$19</f>
        <v>62</v>
      </c>
      <c r="G36" s="34">
        <f>[70]GtS!$F$19</f>
        <v>65</v>
      </c>
      <c r="H36" s="155">
        <f>IF('AW Schulen'!$B192=0,"x",C36/'AW Schulen'!$B192)</f>
        <v>0.28169014084507044</v>
      </c>
      <c r="I36" s="155">
        <f>IF('AW Schulen'!$E192=0,"x",D36/'AW Schulen'!$E192)</f>
        <v>0.29245283018867924</v>
      </c>
      <c r="J36" s="155">
        <f>IF('AW Schulen'!$H192=0,"x",E36/'AW Schulen'!$H192)</f>
        <v>0.29107981220657275</v>
      </c>
      <c r="K36" s="155">
        <f>IF('AW Schulen'!$K192=0,"x",F36/'AW Schulen'!$K192)</f>
        <v>0.29245283018867924</v>
      </c>
      <c r="L36" s="156">
        <f>IF('AW Schulen'!$N192=0,"x",G36/'AW Schulen'!$N192)</f>
        <v>0.3125</v>
      </c>
    </row>
    <row r="37" spans="1:12" ht="9" customHeight="1">
      <c r="A37" s="21" t="s">
        <v>87</v>
      </c>
      <c r="B37" s="120"/>
      <c r="C37" s="23">
        <f>[31]GtS!$F$17</f>
        <v>11</v>
      </c>
      <c r="D37" s="23">
        <f>[32]GtS!$F$19</f>
        <v>15</v>
      </c>
      <c r="E37" s="23">
        <f>[33]GtS!$F$19</f>
        <v>12</v>
      </c>
      <c r="F37" s="23">
        <f>[34]GtS!$F$19</f>
        <v>16</v>
      </c>
      <c r="G37" s="34">
        <f>[35]GtS!$F$19</f>
        <v>15</v>
      </c>
      <c r="H37" s="155">
        <f>IF('AW Schulen'!$B193=0,"x",C37/'AW Schulen'!$B193)</f>
        <v>0.12941176470588237</v>
      </c>
      <c r="I37" s="155">
        <f>IF('AW Schulen'!$E193=0,"x",D37/'AW Schulen'!$E193)</f>
        <v>0.17857142857142858</v>
      </c>
      <c r="J37" s="155">
        <f>IF('AW Schulen'!$H193=0,"x",E37/'AW Schulen'!$H193)</f>
        <v>0.14457831325301204</v>
      </c>
      <c r="K37" s="155">
        <f>IF('AW Schulen'!$K193=0,"x",F37/'AW Schulen'!$K193)</f>
        <v>0.1951219512195122</v>
      </c>
      <c r="L37" s="156">
        <f>IF('AW Schulen'!$N193=0,"x",G37/'AW Schulen'!$N193)</f>
        <v>0.189873417721519</v>
      </c>
    </row>
    <row r="38" spans="1:12" ht="9" customHeight="1">
      <c r="A38" s="21" t="s">
        <v>88</v>
      </c>
      <c r="B38" s="120"/>
      <c r="C38" s="23">
        <f>[71]GtS!$F$17</f>
        <v>49</v>
      </c>
      <c r="D38" s="23">
        <f>[72]GtS!$F$19</f>
        <v>49</v>
      </c>
      <c r="E38" s="23">
        <f>[73]GtS!$F$19</f>
        <v>49</v>
      </c>
      <c r="F38" s="23">
        <f>[74]GtS!$F$19</f>
        <v>50</v>
      </c>
      <c r="G38" s="34">
        <f>[75]GtS!$F$19</f>
        <v>52</v>
      </c>
      <c r="H38" s="155">
        <f>IF('AW Schulen'!$B194=0,"x",C38/'AW Schulen'!$B194)</f>
        <v>0.17753623188405798</v>
      </c>
      <c r="I38" s="155">
        <f>IF('AW Schulen'!$E194=0,"x",D38/'AW Schulen'!$E194)</f>
        <v>0.18490566037735848</v>
      </c>
      <c r="J38" s="155">
        <f>IF('AW Schulen'!$H194=0,"x",E38/'AW Schulen'!$H194)</f>
        <v>0.19367588932806323</v>
      </c>
      <c r="K38" s="155">
        <f>IF('AW Schulen'!$K194=0,"x",F38/'AW Schulen'!$K194)</f>
        <v>0.2074688796680498</v>
      </c>
      <c r="L38" s="156">
        <f>IF('AW Schulen'!$N194=0,"x",G38/'AW Schulen'!$N194)</f>
        <v>0.22608695652173913</v>
      </c>
    </row>
    <row r="39" spans="1:12" ht="9" customHeight="1">
      <c r="A39" s="21" t="s">
        <v>89</v>
      </c>
      <c r="B39" s="120"/>
      <c r="C39" s="23">
        <f>[36]GtS!$F$17</f>
        <v>188</v>
      </c>
      <c r="D39" s="23">
        <f>[37]GtS!$F$19</f>
        <v>191</v>
      </c>
      <c r="E39" s="23">
        <f>[38]GtS!$F$19</f>
        <v>188</v>
      </c>
      <c r="F39" s="23">
        <f>[39]GtS!$F$19</f>
        <v>185</v>
      </c>
      <c r="G39" s="34">
        <f>[40]GtS!$F$19</f>
        <v>192</v>
      </c>
      <c r="H39" s="155">
        <f>IF('AW Schulen'!$B195=0,"x",C39/'AW Schulen'!$B195)</f>
        <v>0.29793977812995248</v>
      </c>
      <c r="I39" s="155">
        <f>IF('AW Schulen'!$E195=0,"x",D39/'AW Schulen'!$E195)</f>
        <v>0.31414473684210525</v>
      </c>
      <c r="J39" s="155">
        <f>IF('AW Schulen'!$H195=0,"x",E39/'AW Schulen'!$H195)</f>
        <v>0.33215547703180209</v>
      </c>
      <c r="K39" s="155">
        <f>IF('AW Schulen'!$K195=0,"x",F39/'AW Schulen'!$K195)</f>
        <v>0.37678207739307534</v>
      </c>
      <c r="L39" s="156">
        <f>IF('AW Schulen'!$N195=0,"x",G39/'AW Schulen'!$N195)</f>
        <v>0.43636363636363634</v>
      </c>
    </row>
    <row r="40" spans="1:12" ht="9" customHeight="1">
      <c r="A40" s="21" t="s">
        <v>90</v>
      </c>
      <c r="B40" s="120"/>
      <c r="C40" s="23">
        <f>[41]GtS!$F$17</f>
        <v>43</v>
      </c>
      <c r="D40" s="23">
        <f>[42]GtS!$F$19</f>
        <v>43</v>
      </c>
      <c r="E40" s="23">
        <f>[43]GtS!$F$19</f>
        <v>43</v>
      </c>
      <c r="F40" s="23">
        <f>[44]GtS!$F$19</f>
        <v>43</v>
      </c>
      <c r="G40" s="34">
        <f>[45]GtS!$F$19</f>
        <v>45</v>
      </c>
      <c r="H40" s="155">
        <f>IF('AW Schulen'!$B196=0,"x",C40/'AW Schulen'!$B196)</f>
        <v>0.37391304347826088</v>
      </c>
      <c r="I40" s="155">
        <f>IF('AW Schulen'!$E196=0,"x",D40/'AW Schulen'!$E196)</f>
        <v>0.37391304347826088</v>
      </c>
      <c r="J40" s="155">
        <f>IF('AW Schulen'!$H196=0,"x",E40/'AW Schulen'!$H196)</f>
        <v>0.38392857142857145</v>
      </c>
      <c r="K40" s="155">
        <f>IF('AW Schulen'!$K196=0,"x",F40/'AW Schulen'!$K196)</f>
        <v>0.39449541284403672</v>
      </c>
      <c r="L40" s="156">
        <f>IF('AW Schulen'!$N196=0,"x",G40/'AW Schulen'!$N196)</f>
        <v>0.41666666666666669</v>
      </c>
    </row>
    <row r="41" spans="1:12" ht="9" customHeight="1">
      <c r="A41" s="21" t="s">
        <v>91</v>
      </c>
      <c r="B41" s="120"/>
      <c r="C41" s="23">
        <f>[46]GtS!$F$17</f>
        <v>11</v>
      </c>
      <c r="D41" s="23">
        <f>[47]GtS!$F$19</f>
        <v>11</v>
      </c>
      <c r="E41" s="23">
        <f>[48]GtS!$F$19</f>
        <v>11</v>
      </c>
      <c r="F41" s="23">
        <f>[49]GtS!$F$19</f>
        <v>11</v>
      </c>
      <c r="G41" s="34">
        <f>[50]GtS!$F$19</f>
        <v>11</v>
      </c>
      <c r="H41" s="155">
        <f>IF('AW Schulen'!$B197=0,"x",C41/'AW Schulen'!$B197)</f>
        <v>0.34375</v>
      </c>
      <c r="I41" s="155">
        <f>IF('AW Schulen'!$E197=0,"x",D41/'AW Schulen'!$E197)</f>
        <v>0.34375</v>
      </c>
      <c r="J41" s="155">
        <f>IF('AW Schulen'!$H197=0,"x",E41/'AW Schulen'!$H197)</f>
        <v>0.34375</v>
      </c>
      <c r="K41" s="155">
        <f>IF('AW Schulen'!$K197=0,"x",F41/'AW Schulen'!$K197)</f>
        <v>0.35483870967741937</v>
      </c>
      <c r="L41" s="156">
        <f>IF('AW Schulen'!$N197=0,"x",G41/'AW Schulen'!$N197)</f>
        <v>0.35483870967741937</v>
      </c>
    </row>
    <row r="42" spans="1:12" ht="9" customHeight="1">
      <c r="A42" s="21" t="s">
        <v>92</v>
      </c>
      <c r="B42" s="120"/>
      <c r="C42" s="23">
        <f>[51]GtS!$F$17</f>
        <v>19</v>
      </c>
      <c r="D42" s="23">
        <f>[52]GtS!$F$19</f>
        <v>18</v>
      </c>
      <c r="E42" s="23">
        <f>[53]GtS!$F$19</f>
        <v>17</v>
      </c>
      <c r="F42" s="23">
        <f>[54]GtS!$F$19</f>
        <v>19</v>
      </c>
      <c r="G42" s="34">
        <f>[55]GtS!$F$19</f>
        <v>19</v>
      </c>
      <c r="H42" s="155">
        <f>IF('AW Schulen'!$B198=0,"x",C42/'AW Schulen'!$B198)</f>
        <v>0.13768115942028986</v>
      </c>
      <c r="I42" s="155">
        <f>IF('AW Schulen'!$E198=0,"x",D42/'AW Schulen'!$E198)</f>
        <v>0.13235294117647059</v>
      </c>
      <c r="J42" s="155">
        <f>IF('AW Schulen'!$H198=0,"x",E42/'AW Schulen'!$H198)</f>
        <v>0.12592592592592591</v>
      </c>
      <c r="K42" s="155">
        <f>IF('AW Schulen'!$K198=0,"x",F42/'AW Schulen'!$K198)</f>
        <v>0.14074074074074075</v>
      </c>
      <c r="L42" s="156">
        <f>IF('AW Schulen'!$N198=0,"x",G42/'AW Schulen'!$N198)</f>
        <v>0.14074074074074075</v>
      </c>
    </row>
    <row r="43" spans="1:12" ht="9" customHeight="1">
      <c r="A43" s="21" t="s">
        <v>93</v>
      </c>
      <c r="B43" s="120"/>
      <c r="C43" s="23">
        <f>[76]GtS!$F$17</f>
        <v>0</v>
      </c>
      <c r="D43" s="23">
        <f>[77]GtS!$F$19</f>
        <v>0</v>
      </c>
      <c r="E43" s="23">
        <f>[78]GtS!$F$19</f>
        <v>0</v>
      </c>
      <c r="F43" s="23">
        <f>[79]GtS!$F$19</f>
        <v>0</v>
      </c>
      <c r="G43" s="34">
        <f>[80]GtS!$F$19</f>
        <v>0</v>
      </c>
      <c r="H43" s="155">
        <f>IF('AW Schulen'!$B199=0,"x",C43/'AW Schulen'!$B199)</f>
        <v>0</v>
      </c>
      <c r="I43" s="155">
        <f>IF('AW Schulen'!$E199=0,"x",D43/'AW Schulen'!$E199)</f>
        <v>0</v>
      </c>
      <c r="J43" s="155">
        <f>IF('AW Schulen'!$H199=0,"x",E43/'AW Schulen'!$H199)</f>
        <v>0</v>
      </c>
      <c r="K43" s="155">
        <f>IF('AW Schulen'!$K199=0,"x",F43/'AW Schulen'!$K199)</f>
        <v>0</v>
      </c>
      <c r="L43" s="156">
        <f>IF('AW Schulen'!$N199=0,"x",G43/'AW Schulen'!$N199)</f>
        <v>0</v>
      </c>
    </row>
    <row r="44" spans="1:12" ht="9" customHeight="1">
      <c r="A44" s="21" t="s">
        <v>94</v>
      </c>
      <c r="B44" s="120"/>
      <c r="C44" s="23">
        <f>[56]GtS!$F$17</f>
        <v>0</v>
      </c>
      <c r="D44" s="23">
        <f>[57]GtS!$F$19</f>
        <v>0</v>
      </c>
      <c r="E44" s="23">
        <f>[58]GtS!$F$19</f>
        <v>0</v>
      </c>
      <c r="F44" s="23">
        <f>[59]GtS!$F$19</f>
        <v>0</v>
      </c>
      <c r="G44" s="34">
        <f>[60]GtS!$F$19</f>
        <v>0</v>
      </c>
      <c r="H44" s="155">
        <f>IF('AW Schulen'!$B200=0,"x",C44/'AW Schulen'!$B200)</f>
        <v>0</v>
      </c>
      <c r="I44" s="155">
        <f>IF('AW Schulen'!$E200=0,"x",D44/'AW Schulen'!$E200)</f>
        <v>0</v>
      </c>
      <c r="J44" s="155">
        <f>IF('AW Schulen'!$H200=0,"x",E44/'AW Schulen'!$H200)</f>
        <v>0</v>
      </c>
      <c r="K44" s="155">
        <f>IF('AW Schulen'!$K200=0,"x",F44/'AW Schulen'!$K200)</f>
        <v>0</v>
      </c>
      <c r="L44" s="156">
        <f>IF('AW Schulen'!$N200=0,"x",G44/'AW Schulen'!$N200)</f>
        <v>0</v>
      </c>
    </row>
    <row r="45" spans="1:12" ht="9" customHeight="1">
      <c r="A45" s="21" t="s">
        <v>95</v>
      </c>
      <c r="B45" s="120"/>
      <c r="C45" s="23">
        <f>[61]GtS!$F$17</f>
        <v>59</v>
      </c>
      <c r="D45" s="23">
        <f>[62]GtS!$F$19</f>
        <v>59</v>
      </c>
      <c r="E45" s="23">
        <f>[63]GtS!$F$19</f>
        <v>59</v>
      </c>
      <c r="F45" s="23">
        <f>[64]GtS!$F$19</f>
        <v>59</v>
      </c>
      <c r="G45" s="34">
        <f>[65]GtS!$F$19</f>
        <v>56</v>
      </c>
      <c r="H45" s="155">
        <f>IF('AW Schulen'!$B201=0,"x",C45/'AW Schulen'!$B201)</f>
        <v>1</v>
      </c>
      <c r="I45" s="155">
        <f>IF('AW Schulen'!$E201=0,"x",D45/'AW Schulen'!$E201)</f>
        <v>1</v>
      </c>
      <c r="J45" s="155">
        <f>IF('AW Schulen'!$H201=0,"x",E45/'AW Schulen'!$H201)</f>
        <v>1</v>
      </c>
      <c r="K45" s="155">
        <f>IF('AW Schulen'!$K201=0,"x",F45/'AW Schulen'!$K201)</f>
        <v>1</v>
      </c>
      <c r="L45" s="156">
        <f>IF('AW Schulen'!$N201=0,"x",G45/'AW Schulen'!$N201)</f>
        <v>1</v>
      </c>
    </row>
    <row r="46" spans="1:12" ht="9" customHeight="1">
      <c r="A46" s="21" t="s">
        <v>96</v>
      </c>
      <c r="B46" s="120"/>
      <c r="C46" s="23">
        <f t="shared" ref="C46:E46" si="35">SUM(C30:C45)</f>
        <v>663</v>
      </c>
      <c r="D46" s="23">
        <f t="shared" si="35"/>
        <v>666</v>
      </c>
      <c r="E46" s="23">
        <f t="shared" si="35"/>
        <v>665</v>
      </c>
      <c r="F46" s="23">
        <f t="shared" ref="F46:G46" si="36">SUM(F30:F45)</f>
        <v>676</v>
      </c>
      <c r="G46" s="34">
        <f t="shared" si="36"/>
        <v>692</v>
      </c>
      <c r="H46" s="155">
        <f>IF('AW Schulen'!$B202=0,"x",C46/'AW Schulen'!$B202)</f>
        <v>0.25460829493087556</v>
      </c>
      <c r="I46" s="155">
        <f>IF('AW Schulen'!$E202=0,"x",D46/'AW Schulen'!$E202)</f>
        <v>0.26251478123768229</v>
      </c>
      <c r="J46" s="155">
        <f>IF('AW Schulen'!$H202=0,"x",E46/'AW Schulen'!$H202)</f>
        <v>0.27109661638809623</v>
      </c>
      <c r="K46" s="155">
        <f>IF('AW Schulen'!$K202=0,"x",F46/'AW Schulen'!$K202)</f>
        <v>0.28925973470261018</v>
      </c>
      <c r="L46" s="156">
        <f>IF('AW Schulen'!$N202=0,"x",G46/'AW Schulen'!$N202)</f>
        <v>0.30810329474621551</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[1]GtS!$G$17</f>
        <v>18</v>
      </c>
      <c r="D48" s="23">
        <f>[2]GtS!$G$19</f>
        <v>18</v>
      </c>
      <c r="E48" s="23">
        <f>[3]GtS!$G$19</f>
        <v>20</v>
      </c>
      <c r="F48" s="23">
        <f>[4]GtS!$G$19</f>
        <v>19</v>
      </c>
      <c r="G48" s="34">
        <f>[5]GtS!$G$19</f>
        <v>22</v>
      </c>
      <c r="H48" s="155">
        <f>IF('AW Schulen'!$B186=0,"x",C48/'AW Schulen'!$B186)</f>
        <v>4.2253521126760563E-2</v>
      </c>
      <c r="I48" s="155">
        <f>IF('AW Schulen'!$E186=0,"x",D48/'AW Schulen'!$E186)</f>
        <v>4.2452830188679243E-2</v>
      </c>
      <c r="J48" s="155">
        <f>IF('AW Schulen'!$H186=0,"x",E48/'AW Schulen'!$H186)</f>
        <v>4.7393364928909949E-2</v>
      </c>
      <c r="K48" s="155">
        <f>IF('AW Schulen'!$K186=0,"x",F48/'AW Schulen'!$K186)</f>
        <v>4.5893719806763288E-2</v>
      </c>
      <c r="L48" s="156">
        <f>IF('AW Schulen'!$N186=0,"x",G48/'AW Schulen'!$N186)</f>
        <v>5.3921568627450983E-2</v>
      </c>
    </row>
    <row r="49" spans="1:12" ht="9" customHeight="1">
      <c r="A49" s="21" t="s">
        <v>81</v>
      </c>
      <c r="B49" s="120"/>
      <c r="C49" s="23">
        <f>[6]GtS!$G$17</f>
        <v>68</v>
      </c>
      <c r="D49" s="23">
        <f>[7]GtS!$G$19</f>
        <v>79</v>
      </c>
      <c r="E49" s="23">
        <f>[8]GtS!$G$19</f>
        <v>82</v>
      </c>
      <c r="F49" s="23">
        <f>[9]GtS!$G$19</f>
        <v>84</v>
      </c>
      <c r="G49" s="34">
        <f>[10]GtS!$G$19</f>
        <v>87</v>
      </c>
      <c r="H49" s="155">
        <f>IF('AW Schulen'!$B187=0,"x",C49/'AW Schulen'!$B187)</f>
        <v>0.41717791411042943</v>
      </c>
      <c r="I49" s="155">
        <f>IF('AW Schulen'!$E187=0,"x",D49/'AW Schulen'!$E187)</f>
        <v>0.48466257668711654</v>
      </c>
      <c r="J49" s="155">
        <f>IF('AW Schulen'!$H187=0,"x",E49/'AW Schulen'!$H187)</f>
        <v>0.50306748466257667</v>
      </c>
      <c r="K49" s="155">
        <f>IF('AW Schulen'!$K187=0,"x",F49/'AW Schulen'!$K187)</f>
        <v>0.51851851851851849</v>
      </c>
      <c r="L49" s="156">
        <f>IF('AW Schulen'!$N187=0,"x",G49/'AW Schulen'!$N187)</f>
        <v>0.53703703703703709</v>
      </c>
    </row>
    <row r="50" spans="1:12" ht="9" customHeight="1">
      <c r="A50" s="21" t="s">
        <v>82</v>
      </c>
      <c r="B50" s="120"/>
      <c r="C50" s="23">
        <f>[11]GtS!$G$17</f>
        <v>0</v>
      </c>
      <c r="D50" s="23">
        <f>[12]GtS!$G$19</f>
        <v>8</v>
      </c>
      <c r="E50" s="23">
        <f>[13]GtS!$G$19</f>
        <v>8</v>
      </c>
      <c r="F50" s="23">
        <f>[14]GtS!$G$19</f>
        <v>0</v>
      </c>
      <c r="G50" s="34">
        <f>[15]GtS!$G$19</f>
        <v>8</v>
      </c>
      <c r="H50" s="155">
        <f>IF('AW Schulen'!$B188=0,"x",C50/'AW Schulen'!$B188)</f>
        <v>0</v>
      </c>
      <c r="I50" s="155">
        <f>IF('AW Schulen'!$E188=0,"x",D50/'AW Schulen'!$E188)</f>
        <v>0.11764705882352941</v>
      </c>
      <c r="J50" s="155">
        <f>IF('AW Schulen'!$H188=0,"x",E50/'AW Schulen'!$H188)</f>
        <v>0.11764705882352941</v>
      </c>
      <c r="K50" s="155">
        <f>IF('AW Schulen'!$K188=0,"x",F50/'AW Schulen'!$K188)</f>
        <v>0</v>
      </c>
      <c r="L50" s="156">
        <f>IF('AW Schulen'!$N188=0,"x",G50/'AW Schulen'!$N188)</f>
        <v>0.11764705882352941</v>
      </c>
    </row>
    <row r="51" spans="1:12" ht="9" customHeight="1">
      <c r="A51" s="21" t="s">
        <v>83</v>
      </c>
      <c r="B51" s="120"/>
      <c r="C51" s="23">
        <f>[16]GtS!$G$17</f>
        <v>6</v>
      </c>
      <c r="D51" s="23">
        <f>[17]GtS!$G$19</f>
        <v>6</v>
      </c>
      <c r="E51" s="23">
        <f>[18]GtS!$G$19</f>
        <v>6</v>
      </c>
      <c r="F51" s="23">
        <f>[19]GtS!$G$19</f>
        <v>6</v>
      </c>
      <c r="G51" s="34">
        <f>[20]GtS!$G$19</f>
        <v>8</v>
      </c>
      <c r="H51" s="155">
        <f>IF('AW Schulen'!$B189=0,"x",C51/'AW Schulen'!$B189)</f>
        <v>5.7142857142857141E-2</v>
      </c>
      <c r="I51" s="155">
        <f>IF('AW Schulen'!$E189=0,"x",D51/'AW Schulen'!$E189)</f>
        <v>5.7142857142857141E-2</v>
      </c>
      <c r="J51" s="155">
        <f>IF('AW Schulen'!$H189=0,"x",E51/'AW Schulen'!$H189)</f>
        <v>0.06</v>
      </c>
      <c r="K51" s="155">
        <f>IF('AW Schulen'!$K189=0,"x",F51/'AW Schulen'!$K189)</f>
        <v>6.25E-2</v>
      </c>
      <c r="L51" s="156">
        <f>IF('AW Schulen'!$N189=0,"x",G51/'AW Schulen'!$N189)</f>
        <v>8.6021505376344093E-2</v>
      </c>
    </row>
    <row r="52" spans="1:12" ht="9" customHeight="1">
      <c r="A52" s="21" t="s">
        <v>84</v>
      </c>
      <c r="B52" s="120"/>
      <c r="C52" s="23">
        <f>[21]GtS!$G$17</f>
        <v>0</v>
      </c>
      <c r="D52" s="23">
        <f>[22]GtS!$G$19</f>
        <v>0</v>
      </c>
      <c r="E52" s="23">
        <f>[23]GtS!$G$19</f>
        <v>0</v>
      </c>
      <c r="F52" s="23">
        <f>[24]GtS!$G$19</f>
        <v>0</v>
      </c>
      <c r="G52" s="34">
        <f>[25]GtS!$G$19</f>
        <v>0</v>
      </c>
      <c r="H52" s="155">
        <f>IF('AW Schulen'!$B190=0,"x",C52/'AW Schulen'!$B190)</f>
        <v>0</v>
      </c>
      <c r="I52" s="155">
        <f>IF('AW Schulen'!$E190=0,"x",D52/'AW Schulen'!$E190)</f>
        <v>0</v>
      </c>
      <c r="J52" s="155">
        <f>IF('AW Schulen'!$H190=0,"x",E52/'AW Schulen'!$H190)</f>
        <v>0</v>
      </c>
      <c r="K52" s="155">
        <f>IF('AW Schulen'!$K190=0,"x",F52/'AW Schulen'!$K190)</f>
        <v>0</v>
      </c>
      <c r="L52" s="156">
        <f>IF('AW Schulen'!$N190=0,"x",G52/'AW Schulen'!$N190)</f>
        <v>0</v>
      </c>
    </row>
    <row r="53" spans="1:12" ht="9" customHeight="1">
      <c r="A53" s="21" t="s">
        <v>85</v>
      </c>
      <c r="B53" s="120"/>
      <c r="C53" s="23">
        <f>[26]GtS!$G$17</f>
        <v>0</v>
      </c>
      <c r="D53" s="23">
        <f>[27]GtS!$G$19</f>
        <v>2</v>
      </c>
      <c r="E53" s="23">
        <f>[28]GtS!$G$19</f>
        <v>2</v>
      </c>
      <c r="F53" s="23">
        <f>[29]GtS!$G$19</f>
        <v>2</v>
      </c>
      <c r="G53" s="34">
        <f>[30]GtS!$G$19</f>
        <v>2</v>
      </c>
      <c r="H53" s="155">
        <f>IF('AW Schulen'!$B191=0,"x",C53/'AW Schulen'!$B191)</f>
        <v>0</v>
      </c>
      <c r="I53" s="155">
        <f>IF('AW Schulen'!$E191=0,"x",D53/'AW Schulen'!$E191)</f>
        <v>7.6923076923076927E-2</v>
      </c>
      <c r="J53" s="155">
        <f>IF('AW Schulen'!$H191=0,"x",E53/'AW Schulen'!$H191)</f>
        <v>7.6923076923076927E-2</v>
      </c>
      <c r="K53" s="155">
        <f>IF('AW Schulen'!$K191=0,"x",F53/'AW Schulen'!$K191)</f>
        <v>7.6923076923076927E-2</v>
      </c>
      <c r="L53" s="156">
        <f>IF('AW Schulen'!$N191=0,"x",G53/'AW Schulen'!$N191)</f>
        <v>7.6923076923076927E-2</v>
      </c>
    </row>
    <row r="54" spans="1:12" ht="9" customHeight="1">
      <c r="A54" s="21" t="s">
        <v>86</v>
      </c>
      <c r="B54" s="120"/>
      <c r="C54" s="23">
        <f>[66]GtS!$G$17</f>
        <v>0</v>
      </c>
      <c r="D54" s="23">
        <f>[67]GtS!$G$19</f>
        <v>0</v>
      </c>
      <c r="E54" s="23">
        <f>[68]GtS!$G$19</f>
        <v>0</v>
      </c>
      <c r="F54" s="23">
        <f>[69]GtS!$G$19</f>
        <v>0</v>
      </c>
      <c r="G54" s="34">
        <f>[70]GtS!$G$19</f>
        <v>0</v>
      </c>
      <c r="H54" s="155">
        <f>IF('AW Schulen'!$B192=0,"x",C54/'AW Schulen'!$B192)</f>
        <v>0</v>
      </c>
      <c r="I54" s="155">
        <f>IF('AW Schulen'!$E192=0,"x",D54/'AW Schulen'!$E192)</f>
        <v>0</v>
      </c>
      <c r="J54" s="155">
        <f>IF('AW Schulen'!$H192=0,"x",E54/'AW Schulen'!$H192)</f>
        <v>0</v>
      </c>
      <c r="K54" s="155">
        <f>IF('AW Schulen'!$K192=0,"x",F54/'AW Schulen'!$K192)</f>
        <v>0</v>
      </c>
      <c r="L54" s="156">
        <f>IF('AW Schulen'!$N192=0,"x",G54/'AW Schulen'!$N192)</f>
        <v>0</v>
      </c>
    </row>
    <row r="55" spans="1:12" ht="9" customHeight="1">
      <c r="A55" s="21" t="s">
        <v>87</v>
      </c>
      <c r="B55" s="120"/>
      <c r="C55" s="23">
        <f>[31]GtS!$G$17</f>
        <v>4</v>
      </c>
      <c r="D55" s="23">
        <f>[32]GtS!$G$19</f>
        <v>3</v>
      </c>
      <c r="E55" s="23">
        <f>[33]GtS!$G$19</f>
        <v>2</v>
      </c>
      <c r="F55" s="23">
        <f>[34]GtS!$G$19</f>
        <v>2</v>
      </c>
      <c r="G55" s="34">
        <f>[35]GtS!$G$19</f>
        <v>3</v>
      </c>
      <c r="H55" s="155">
        <f>IF('AW Schulen'!$B193=0,"x",C55/'AW Schulen'!$B193)</f>
        <v>4.7058823529411764E-2</v>
      </c>
      <c r="I55" s="155">
        <f>IF('AW Schulen'!$E193=0,"x",D55/'AW Schulen'!$E193)</f>
        <v>3.5714285714285712E-2</v>
      </c>
      <c r="J55" s="155">
        <f>IF('AW Schulen'!$H193=0,"x",E55/'AW Schulen'!$H193)</f>
        <v>2.4096385542168676E-2</v>
      </c>
      <c r="K55" s="155">
        <f>IF('AW Schulen'!$K193=0,"x",F55/'AW Schulen'!$K193)</f>
        <v>2.4390243902439025E-2</v>
      </c>
      <c r="L55" s="156">
        <f>IF('AW Schulen'!$N193=0,"x",G55/'AW Schulen'!$N193)</f>
        <v>3.7974683544303799E-2</v>
      </c>
    </row>
    <row r="56" spans="1:12" ht="9" customHeight="1">
      <c r="A56" s="21" t="s">
        <v>88</v>
      </c>
      <c r="B56" s="120"/>
      <c r="C56" s="23">
        <f>[71]GtS!$G$17</f>
        <v>7</v>
      </c>
      <c r="D56" s="23">
        <f>[72]GtS!$G$19</f>
        <v>8</v>
      </c>
      <c r="E56" s="23">
        <f>[73]GtS!$G$19</f>
        <v>9</v>
      </c>
      <c r="F56" s="23">
        <f>[74]GtS!$G$19</f>
        <v>13</v>
      </c>
      <c r="G56" s="34">
        <f>[75]GtS!$G$19</f>
        <v>13</v>
      </c>
      <c r="H56" s="155">
        <f>IF('AW Schulen'!$B194=0,"x",C56/'AW Schulen'!$B194)</f>
        <v>2.5362318840579712E-2</v>
      </c>
      <c r="I56" s="155">
        <f>IF('AW Schulen'!$E194=0,"x",D56/'AW Schulen'!$E194)</f>
        <v>3.0188679245283019E-2</v>
      </c>
      <c r="J56" s="155">
        <f>IF('AW Schulen'!$H194=0,"x",E56/'AW Schulen'!$H194)</f>
        <v>3.5573122529644272E-2</v>
      </c>
      <c r="K56" s="155">
        <f>IF('AW Schulen'!$K194=0,"x",F56/'AW Schulen'!$K194)</f>
        <v>5.3941908713692949E-2</v>
      </c>
      <c r="L56" s="156">
        <f>IF('AW Schulen'!$N194=0,"x",G56/'AW Schulen'!$N194)</f>
        <v>5.6521739130434782E-2</v>
      </c>
    </row>
    <row r="57" spans="1:12" ht="9" customHeight="1">
      <c r="A57" s="21" t="s">
        <v>89</v>
      </c>
      <c r="B57" s="120"/>
      <c r="C57" s="23">
        <f>[36]GtS!$G$17</f>
        <v>0</v>
      </c>
      <c r="D57" s="23">
        <f>[37]GtS!$G$19</f>
        <v>0</v>
      </c>
      <c r="E57" s="23">
        <f>[38]GtS!$G$19</f>
        <v>0</v>
      </c>
      <c r="F57" s="23">
        <f>[39]GtS!$G$19</f>
        <v>0</v>
      </c>
      <c r="G57" s="34">
        <f>[40]GtS!$G$19</f>
        <v>0</v>
      </c>
      <c r="H57" s="155">
        <f>IF('AW Schulen'!$B195=0,"x",C57/'AW Schulen'!$B195)</f>
        <v>0</v>
      </c>
      <c r="I57" s="155">
        <f>IF('AW Schulen'!$E195=0,"x",D57/'AW Schulen'!$E195)</f>
        <v>0</v>
      </c>
      <c r="J57" s="155">
        <f>IF('AW Schulen'!$H195=0,"x",E57/'AW Schulen'!$H195)</f>
        <v>0</v>
      </c>
      <c r="K57" s="155">
        <f>IF('AW Schulen'!$K195=0,"x",F57/'AW Schulen'!$K195)</f>
        <v>0</v>
      </c>
      <c r="L57" s="156">
        <f>IF('AW Schulen'!$N195=0,"x",G57/'AW Schulen'!$N195)</f>
        <v>0</v>
      </c>
    </row>
    <row r="58" spans="1:12" ht="9" customHeight="1">
      <c r="A58" s="21" t="s">
        <v>90</v>
      </c>
      <c r="B58" s="120"/>
      <c r="C58" s="23">
        <f>[41]GtS!$G$17</f>
        <v>62</v>
      </c>
      <c r="D58" s="23">
        <f>[42]GtS!$G$19</f>
        <v>63</v>
      </c>
      <c r="E58" s="23">
        <f>[43]GtS!$G$19</f>
        <v>62</v>
      </c>
      <c r="F58" s="23">
        <f>[44]GtS!$G$19</f>
        <v>61</v>
      </c>
      <c r="G58" s="34">
        <f>[45]GtS!$G$19</f>
        <v>61</v>
      </c>
      <c r="H58" s="155">
        <f>IF('AW Schulen'!$B196=0,"x",C58/'AW Schulen'!$B196)</f>
        <v>0.53913043478260869</v>
      </c>
      <c r="I58" s="155">
        <f>IF('AW Schulen'!$E196=0,"x",D58/'AW Schulen'!$E196)</f>
        <v>0.54782608695652169</v>
      </c>
      <c r="J58" s="155">
        <f>IF('AW Schulen'!$H196=0,"x",E58/'AW Schulen'!$H196)</f>
        <v>0.5535714285714286</v>
      </c>
      <c r="K58" s="155">
        <f>IF('AW Schulen'!$K196=0,"x",F58/'AW Schulen'!$K196)</f>
        <v>0.55963302752293576</v>
      </c>
      <c r="L58" s="156">
        <f>IF('AW Schulen'!$N196=0,"x",G58/'AW Schulen'!$N196)</f>
        <v>0.56481481481481477</v>
      </c>
    </row>
    <row r="59" spans="1:12" ht="9" customHeight="1">
      <c r="A59" s="21" t="s">
        <v>91</v>
      </c>
      <c r="B59" s="120"/>
      <c r="C59" s="23">
        <f>[46]GtS!$G$17</f>
        <v>0</v>
      </c>
      <c r="D59" s="23">
        <f>[47]GtS!$G$19</f>
        <v>0</v>
      </c>
      <c r="E59" s="23">
        <f>[48]GtS!$G$19</f>
        <v>0</v>
      </c>
      <c r="F59" s="23">
        <f>[49]GtS!$G$19</f>
        <v>0</v>
      </c>
      <c r="G59" s="34">
        <f>[50]GtS!$G$19</f>
        <v>0</v>
      </c>
      <c r="H59" s="155">
        <f>IF('AW Schulen'!$B197=0,"x",C59/'AW Schulen'!$B197)</f>
        <v>0</v>
      </c>
      <c r="I59" s="155">
        <f>IF('AW Schulen'!$E197=0,"x",D59/'AW Schulen'!$E197)</f>
        <v>0</v>
      </c>
      <c r="J59" s="155">
        <f>IF('AW Schulen'!$H197=0,"x",E59/'AW Schulen'!$H197)</f>
        <v>0</v>
      </c>
      <c r="K59" s="155">
        <f>IF('AW Schulen'!$K197=0,"x",F59/'AW Schulen'!$K197)</f>
        <v>0</v>
      </c>
      <c r="L59" s="156">
        <f>IF('AW Schulen'!$N197=0,"x",G59/'AW Schulen'!$N197)</f>
        <v>0</v>
      </c>
    </row>
    <row r="60" spans="1:12" ht="9" customHeight="1">
      <c r="A60" s="21" t="s">
        <v>92</v>
      </c>
      <c r="B60" s="120"/>
      <c r="C60" s="23">
        <f>[51]GtS!$G$17</f>
        <v>34</v>
      </c>
      <c r="D60" s="23">
        <f>[52]GtS!$G$19</f>
        <v>29</v>
      </c>
      <c r="E60" s="23">
        <f>[53]GtS!$G$19</f>
        <v>37</v>
      </c>
      <c r="F60" s="23">
        <f>[54]GtS!$G$19</f>
        <v>37</v>
      </c>
      <c r="G60" s="34">
        <f>[55]GtS!$G$19</f>
        <v>40</v>
      </c>
      <c r="H60" s="155">
        <f>IF('AW Schulen'!$B198=0,"x",C60/'AW Schulen'!$B198)</f>
        <v>0.24637681159420291</v>
      </c>
      <c r="I60" s="155">
        <f>IF('AW Schulen'!$E198=0,"x",D60/'AW Schulen'!$E198)</f>
        <v>0.21323529411764705</v>
      </c>
      <c r="J60" s="155">
        <f>IF('AW Schulen'!$H198=0,"x",E60/'AW Schulen'!$H198)</f>
        <v>0.27407407407407408</v>
      </c>
      <c r="K60" s="155">
        <f>IF('AW Schulen'!$K198=0,"x",F60/'AW Schulen'!$K198)</f>
        <v>0.27407407407407408</v>
      </c>
      <c r="L60" s="156">
        <f>IF('AW Schulen'!$N198=0,"x",G60/'AW Schulen'!$N198)</f>
        <v>0.29629629629629628</v>
      </c>
    </row>
    <row r="61" spans="1:12" ht="9" customHeight="1">
      <c r="A61" s="21" t="s">
        <v>93</v>
      </c>
      <c r="B61" s="120"/>
      <c r="C61" s="23">
        <f>[76]GtS!$G$17</f>
        <v>0</v>
      </c>
      <c r="D61" s="23">
        <f>[77]GtS!$G$19</f>
        <v>0</v>
      </c>
      <c r="E61" s="23">
        <f>[78]GtS!$G$19</f>
        <v>0</v>
      </c>
      <c r="F61" s="23">
        <f>[79]GtS!$G$19</f>
        <v>0</v>
      </c>
      <c r="G61" s="34">
        <f>[80]GtS!$G$19</f>
        <v>0</v>
      </c>
      <c r="H61" s="155">
        <f>IF('AW Schulen'!$B199=0,"x",C61/'AW Schulen'!$B199)</f>
        <v>0</v>
      </c>
      <c r="I61" s="155">
        <f>IF('AW Schulen'!$E199=0,"x",D61/'AW Schulen'!$E199)</f>
        <v>0</v>
      </c>
      <c r="J61" s="155">
        <f>IF('AW Schulen'!$H199=0,"x",E61/'AW Schulen'!$H199)</f>
        <v>0</v>
      </c>
      <c r="K61" s="155">
        <f>IF('AW Schulen'!$K199=0,"x",F61/'AW Schulen'!$K199)</f>
        <v>0</v>
      </c>
      <c r="L61" s="156">
        <f>IF('AW Schulen'!$N199=0,"x",G61/'AW Schulen'!$N199)</f>
        <v>0</v>
      </c>
    </row>
    <row r="62" spans="1:12" ht="9" customHeight="1">
      <c r="A62" s="21" t="s">
        <v>94</v>
      </c>
      <c r="B62" s="120"/>
      <c r="C62" s="23">
        <f>[56]GtS!$G$17</f>
        <v>0</v>
      </c>
      <c r="D62" s="23">
        <f>[57]GtS!$G$19</f>
        <v>0</v>
      </c>
      <c r="E62" s="23">
        <f>[58]GtS!$G$19</f>
        <v>0</v>
      </c>
      <c r="F62" s="23">
        <f>[59]GtS!$G$19</f>
        <v>0</v>
      </c>
      <c r="G62" s="34">
        <f>[60]GtS!$G$19</f>
        <v>0</v>
      </c>
      <c r="H62" s="155">
        <f>IF('AW Schulen'!$B200=0,"x",C62/'AW Schulen'!$B200)</f>
        <v>0</v>
      </c>
      <c r="I62" s="155">
        <f>IF('AW Schulen'!$E200=0,"x",D62/'AW Schulen'!$E200)</f>
        <v>0</v>
      </c>
      <c r="J62" s="155">
        <f>IF('AW Schulen'!$H200=0,"x",E62/'AW Schulen'!$H200)</f>
        <v>0</v>
      </c>
      <c r="K62" s="155">
        <f>IF('AW Schulen'!$K200=0,"x",F62/'AW Schulen'!$K200)</f>
        <v>0</v>
      </c>
      <c r="L62" s="156">
        <f>IF('AW Schulen'!$N200=0,"x",G62/'AW Schulen'!$N200)</f>
        <v>0</v>
      </c>
    </row>
    <row r="63" spans="1:12" ht="9" customHeight="1">
      <c r="A63" s="21" t="s">
        <v>95</v>
      </c>
      <c r="B63" s="120"/>
      <c r="C63" s="23">
        <f>[61]GtS!$G$17</f>
        <v>0</v>
      </c>
      <c r="D63" s="23">
        <f>[62]GtS!$G$19</f>
        <v>0</v>
      </c>
      <c r="E63" s="23">
        <f>[63]GtS!$G$19</f>
        <v>0</v>
      </c>
      <c r="F63" s="23">
        <f>[64]GtS!$G$19</f>
        <v>0</v>
      </c>
      <c r="G63" s="34">
        <f>[65]GtS!$G$19</f>
        <v>0</v>
      </c>
      <c r="H63" s="155">
        <f>IF('AW Schulen'!$B201=0,"x",C63/'AW Schulen'!$B201)</f>
        <v>0</v>
      </c>
      <c r="I63" s="155">
        <f>IF('AW Schulen'!$E201=0,"x",D63/'AW Schulen'!$E201)</f>
        <v>0</v>
      </c>
      <c r="J63" s="155">
        <f>IF('AW Schulen'!$H201=0,"x",E63/'AW Schulen'!$H201)</f>
        <v>0</v>
      </c>
      <c r="K63" s="155">
        <f>IF('AW Schulen'!$K201=0,"x",F63/'AW Schulen'!$K201)</f>
        <v>0</v>
      </c>
      <c r="L63" s="156">
        <f>IF('AW Schulen'!$N201=0,"x",G63/'AW Schulen'!$N201)</f>
        <v>0</v>
      </c>
    </row>
    <row r="64" spans="1:12" ht="8.65" customHeight="1">
      <c r="A64" s="21" t="s">
        <v>96</v>
      </c>
      <c r="B64" s="120"/>
      <c r="C64" s="23">
        <f t="shared" ref="C64:E64" si="37">SUM(C48:C63)</f>
        <v>199</v>
      </c>
      <c r="D64" s="23">
        <f t="shared" si="37"/>
        <v>216</v>
      </c>
      <c r="E64" s="23">
        <f t="shared" si="37"/>
        <v>228</v>
      </c>
      <c r="F64" s="23">
        <f t="shared" ref="F64:G64" si="38">SUM(F48:F63)</f>
        <v>224</v>
      </c>
      <c r="G64" s="34">
        <f t="shared" si="38"/>
        <v>244</v>
      </c>
      <c r="H64" s="155">
        <f>IF('AW Schulen'!$B202=0,"x",C64/'AW Schulen'!$B202)</f>
        <v>7.6420890937019967E-2</v>
      </c>
      <c r="I64" s="155">
        <f>IF('AW Schulen'!$E202=0,"x",D64/'AW Schulen'!$E202)</f>
        <v>8.5139929050059127E-2</v>
      </c>
      <c r="J64" s="155">
        <f>IF('AW Schulen'!$H202=0,"x",E64/'AW Schulen'!$H202)</f>
        <v>9.2947411333061558E-2</v>
      </c>
      <c r="K64" s="155">
        <f>IF('AW Schulen'!$K202=0,"x",F64/'AW Schulen'!$K202)</f>
        <v>9.5849379546427041E-2</v>
      </c>
      <c r="L64" s="156">
        <f>IF('AW Schulen'!$N202=0,"x",G64/'AW Schulen'!$N202)</f>
        <v>0.10863757791629564</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[1]GtS!$H$17</f>
        <v>13</v>
      </c>
      <c r="D66" s="23">
        <f>[2]GtS!$H$19</f>
        <v>15</v>
      </c>
      <c r="E66" s="23">
        <f>[3]GtS!$H$19</f>
        <v>22</v>
      </c>
      <c r="F66" s="23">
        <f>[4]GtS!$H$19</f>
        <v>26</v>
      </c>
      <c r="G66" s="34">
        <f>[5]GtS!$H$19</f>
        <v>33</v>
      </c>
      <c r="H66" s="155">
        <f>IF('AW Schulen'!$B186=0,"x",C66/'AW Schulen'!$B186)</f>
        <v>3.0516431924882629E-2</v>
      </c>
      <c r="I66" s="155">
        <f>IF('AW Schulen'!$E186=0,"x",D66/'AW Schulen'!$E186)</f>
        <v>3.5377358490566037E-2</v>
      </c>
      <c r="J66" s="155">
        <f>IF('AW Schulen'!$H186=0,"x",E66/'AW Schulen'!$H186)</f>
        <v>5.2132701421800945E-2</v>
      </c>
      <c r="K66" s="155">
        <f>IF('AW Schulen'!$K186=0,"x",F66/'AW Schulen'!$K186)</f>
        <v>6.280193236714976E-2</v>
      </c>
      <c r="L66" s="156">
        <f>IF('AW Schulen'!$N186=0,"x",G66/'AW Schulen'!$N186)</f>
        <v>8.0882352941176475E-2</v>
      </c>
    </row>
    <row r="67" spans="1:12" ht="10.15" customHeight="1">
      <c r="A67" s="224" t="s">
        <v>81</v>
      </c>
      <c r="B67" s="120"/>
      <c r="C67" s="23">
        <f>[6]GtS!$H$17</f>
        <v>57</v>
      </c>
      <c r="D67" s="23">
        <f>[7]GtS!$H$19</f>
        <v>57</v>
      </c>
      <c r="E67" s="23">
        <f>[8]GtS!$H$19</f>
        <v>60</v>
      </c>
      <c r="F67" s="23">
        <f>[9]GtS!$H$19</f>
        <v>60</v>
      </c>
      <c r="G67" s="34">
        <f>[10]GtS!$H$19</f>
        <v>58</v>
      </c>
      <c r="H67" s="155">
        <f>IF('AW Schulen'!$B187=0,"x",C67/'AW Schulen'!$B187)</f>
        <v>0.34969325153374231</v>
      </c>
      <c r="I67" s="155">
        <f>IF('AW Schulen'!$E187=0,"x",D67/'AW Schulen'!$E187)</f>
        <v>0.34969325153374231</v>
      </c>
      <c r="J67" s="155">
        <f>IF('AW Schulen'!$H187=0,"x",E67/'AW Schulen'!$H187)</f>
        <v>0.36809815950920244</v>
      </c>
      <c r="K67" s="155">
        <f>IF('AW Schulen'!$K187=0,"x",F67/'AW Schulen'!$K187)</f>
        <v>0.37037037037037035</v>
      </c>
      <c r="L67" s="156">
        <f>IF('AW Schulen'!$N187=0,"x",G67/'AW Schulen'!$N187)</f>
        <v>0.35802469135802467</v>
      </c>
    </row>
    <row r="68" spans="1:12" ht="10.15" customHeight="1">
      <c r="A68" s="224" t="s">
        <v>82</v>
      </c>
      <c r="B68" s="120"/>
      <c r="C68" s="23">
        <f>[11]GtS!$H$17</f>
        <v>36</v>
      </c>
      <c r="D68" s="23">
        <f>[12]GtS!$H$19</f>
        <v>24</v>
      </c>
      <c r="E68" s="23">
        <f>[13]GtS!$H$19</f>
        <v>22</v>
      </c>
      <c r="F68" s="23">
        <f>[14]GtS!$H$19</f>
        <v>27</v>
      </c>
      <c r="G68" s="34">
        <f>[15]GtS!$H$19</f>
        <v>17</v>
      </c>
      <c r="H68" s="155">
        <f>IF('AW Schulen'!$B188=0,"x",C68/'AW Schulen'!$B188)</f>
        <v>0.47368421052631576</v>
      </c>
      <c r="I68" s="155">
        <f>IF('AW Schulen'!$E188=0,"x",D68/'AW Schulen'!$E188)</f>
        <v>0.35294117647058826</v>
      </c>
      <c r="J68" s="155">
        <f>IF('AW Schulen'!$H188=0,"x",E68/'AW Schulen'!$H188)</f>
        <v>0.3235294117647059</v>
      </c>
      <c r="K68" s="155">
        <f>IF('AW Schulen'!$K188=0,"x",F68/'AW Schulen'!$K188)</f>
        <v>0.39705882352941174</v>
      </c>
      <c r="L68" s="156">
        <f>IF('AW Schulen'!$N188=0,"x",G68/'AW Schulen'!$N188)</f>
        <v>0.25</v>
      </c>
    </row>
    <row r="69" spans="1:12" ht="9" customHeight="1">
      <c r="A69" s="21" t="s">
        <v>83</v>
      </c>
      <c r="B69" s="120"/>
      <c r="C69" s="23">
        <f>[16]GtS!$H$17</f>
        <v>6</v>
      </c>
      <c r="D69" s="23">
        <f>[17]GtS!$H$19</f>
        <v>8</v>
      </c>
      <c r="E69" s="23">
        <f>[18]GtS!$H$19</f>
        <v>8</v>
      </c>
      <c r="F69" s="23">
        <f>[19]GtS!$H$19</f>
        <v>8</v>
      </c>
      <c r="G69" s="34">
        <f>[20]GtS!$H$19</f>
        <v>4</v>
      </c>
      <c r="H69" s="155">
        <f>IF('AW Schulen'!$B189=0,"x",C69/'AW Schulen'!$B189)</f>
        <v>5.7142857142857141E-2</v>
      </c>
      <c r="I69" s="155">
        <f>IF('AW Schulen'!$E189=0,"x",D69/'AW Schulen'!$E189)</f>
        <v>7.6190476190476197E-2</v>
      </c>
      <c r="J69" s="155">
        <f>IF('AW Schulen'!$H189=0,"x",E69/'AW Schulen'!$H189)</f>
        <v>0.08</v>
      </c>
      <c r="K69" s="155">
        <f>IF('AW Schulen'!$K189=0,"x",F69/'AW Schulen'!$K189)</f>
        <v>8.3333333333333329E-2</v>
      </c>
      <c r="L69" s="156">
        <f>IF('AW Schulen'!$N189=0,"x",G69/'AW Schulen'!$N189)</f>
        <v>4.3010752688172046E-2</v>
      </c>
    </row>
    <row r="70" spans="1:12" ht="9" customHeight="1">
      <c r="A70" s="21" t="s">
        <v>84</v>
      </c>
      <c r="B70" s="120"/>
      <c r="C70" s="23">
        <f>[21]GtS!$H$17</f>
        <v>0</v>
      </c>
      <c r="D70" s="23">
        <f>[22]GtS!$H$19</f>
        <v>0</v>
      </c>
      <c r="E70" s="23">
        <f>[23]GtS!$H$19</f>
        <v>0</v>
      </c>
      <c r="F70" s="23">
        <f>[24]GtS!$H$19</f>
        <v>0</v>
      </c>
      <c r="G70" s="34">
        <f>[25]GtS!$H$19</f>
        <v>0</v>
      </c>
      <c r="H70" s="155">
        <f>IF('AW Schulen'!$B190=0,"x",C70/'AW Schulen'!$B190)</f>
        <v>0</v>
      </c>
      <c r="I70" s="155">
        <f>IF('AW Schulen'!$E190=0,"x",D70/'AW Schulen'!$E190)</f>
        <v>0</v>
      </c>
      <c r="J70" s="155">
        <f>IF('AW Schulen'!$H190=0,"x",E70/'AW Schulen'!$H190)</f>
        <v>0</v>
      </c>
      <c r="K70" s="155">
        <f>IF('AW Schulen'!$K190=0,"x",F70/'AW Schulen'!$K190)</f>
        <v>0</v>
      </c>
      <c r="L70" s="156">
        <f>IF('AW Schulen'!$N190=0,"x",G70/'AW Schulen'!$N190)</f>
        <v>0</v>
      </c>
    </row>
    <row r="71" spans="1:12" ht="9" customHeight="1">
      <c r="A71" s="21" t="s">
        <v>85</v>
      </c>
      <c r="B71" s="120"/>
      <c r="C71" s="23">
        <f>[26]GtS!$H$17</f>
        <v>5</v>
      </c>
      <c r="D71" s="23">
        <f>[27]GtS!$H$19</f>
        <v>5</v>
      </c>
      <c r="E71" s="23">
        <f>[28]GtS!$H$19</f>
        <v>5</v>
      </c>
      <c r="F71" s="23">
        <f>[29]GtS!$H$19</f>
        <v>6</v>
      </c>
      <c r="G71" s="34">
        <f>[30]GtS!$H$19</f>
        <v>4</v>
      </c>
      <c r="H71" s="155">
        <f>IF('AW Schulen'!$B191=0,"x",C71/'AW Schulen'!$B191)</f>
        <v>0.13513513513513514</v>
      </c>
      <c r="I71" s="155">
        <f>IF('AW Schulen'!$E191=0,"x",D71/'AW Schulen'!$E191)</f>
        <v>0.19230769230769232</v>
      </c>
      <c r="J71" s="155">
        <f>IF('AW Schulen'!$H191=0,"x",E71/'AW Schulen'!$H191)</f>
        <v>0.19230769230769232</v>
      </c>
      <c r="K71" s="155">
        <f>IF('AW Schulen'!$K191=0,"x",F71/'AW Schulen'!$K191)</f>
        <v>0.23076923076923078</v>
      </c>
      <c r="L71" s="156">
        <f>IF('AW Schulen'!$N191=0,"x",G71/'AW Schulen'!$N191)</f>
        <v>0.15384615384615385</v>
      </c>
    </row>
    <row r="72" spans="1:12" ht="9" customHeight="1">
      <c r="A72" s="21" t="s">
        <v>86</v>
      </c>
      <c r="B72" s="120"/>
      <c r="C72" s="23">
        <f>[66]GtS!$H$17</f>
        <v>76</v>
      </c>
      <c r="D72" s="23">
        <f>[67]GtS!$H$19</f>
        <v>81</v>
      </c>
      <c r="E72" s="23">
        <f>[68]GtS!$H$19</f>
        <v>89</v>
      </c>
      <c r="F72" s="23">
        <f>[69]GtS!$H$19</f>
        <v>94</v>
      </c>
      <c r="G72" s="34">
        <f>[70]GtS!$H$19</f>
        <v>92</v>
      </c>
      <c r="H72" s="155">
        <f>IF('AW Schulen'!$B192=0,"x",C72/'AW Schulen'!$B192)</f>
        <v>0.35680751173708919</v>
      </c>
      <c r="I72" s="155">
        <f>IF('AW Schulen'!$E192=0,"x",D72/'AW Schulen'!$E192)</f>
        <v>0.38207547169811323</v>
      </c>
      <c r="J72" s="155">
        <f>IF('AW Schulen'!$H192=0,"x",E72/'AW Schulen'!$H192)</f>
        <v>0.41784037558685444</v>
      </c>
      <c r="K72" s="155">
        <f>IF('AW Schulen'!$K192=0,"x",F72/'AW Schulen'!$K192)</f>
        <v>0.44339622641509435</v>
      </c>
      <c r="L72" s="156">
        <f>IF('AW Schulen'!$N192=0,"x",G72/'AW Schulen'!$N192)</f>
        <v>0.44230769230769229</v>
      </c>
    </row>
    <row r="73" spans="1:12" ht="9" customHeight="1">
      <c r="A73" s="21" t="s">
        <v>87</v>
      </c>
      <c r="B73" s="120"/>
      <c r="C73" s="23">
        <f>[31]GtS!$H$17</f>
        <v>5</v>
      </c>
      <c r="D73" s="23">
        <f>[32]GtS!$H$19</f>
        <v>8</v>
      </c>
      <c r="E73" s="23">
        <f>[33]GtS!$H$19</f>
        <v>5</v>
      </c>
      <c r="F73" s="23">
        <f>[34]GtS!$H$19</f>
        <v>6</v>
      </c>
      <c r="G73" s="34">
        <f>[35]GtS!$H$19</f>
        <v>4</v>
      </c>
      <c r="H73" s="155">
        <f>IF('AW Schulen'!$B193=0,"x",C73/'AW Schulen'!$B193)</f>
        <v>5.8823529411764705E-2</v>
      </c>
      <c r="I73" s="155">
        <f>IF('AW Schulen'!$E193=0,"x",D73/'AW Schulen'!$E193)</f>
        <v>9.5238095238095233E-2</v>
      </c>
      <c r="J73" s="155">
        <f>IF('AW Schulen'!$H193=0,"x",E73/'AW Schulen'!$H193)</f>
        <v>6.0240963855421686E-2</v>
      </c>
      <c r="K73" s="155">
        <f>IF('AW Schulen'!$K193=0,"x",F73/'AW Schulen'!$K193)</f>
        <v>7.3170731707317069E-2</v>
      </c>
      <c r="L73" s="156">
        <f>IF('AW Schulen'!$N193=0,"x",G73/'AW Schulen'!$N193)</f>
        <v>5.0632911392405063E-2</v>
      </c>
    </row>
    <row r="74" spans="1:12" ht="9" customHeight="1">
      <c r="A74" s="21" t="s">
        <v>88</v>
      </c>
      <c r="B74" s="120"/>
      <c r="C74" s="23">
        <f>[71]GtS!$H$17</f>
        <v>93</v>
      </c>
      <c r="D74" s="23">
        <f>[72]GtS!$H$19</f>
        <v>90</v>
      </c>
      <c r="E74" s="23">
        <f>[73]GtS!$H$19</f>
        <v>80</v>
      </c>
      <c r="F74" s="23">
        <f>[74]GtS!$H$19</f>
        <v>70</v>
      </c>
      <c r="G74" s="34">
        <f>[75]GtS!$H$19</f>
        <v>70</v>
      </c>
      <c r="H74" s="155">
        <f>IF('AW Schulen'!$B194=0,"x",C74/'AW Schulen'!$B194)</f>
        <v>0.33695652173913043</v>
      </c>
      <c r="I74" s="155">
        <f>IF('AW Schulen'!$E194=0,"x",D74/'AW Schulen'!$E194)</f>
        <v>0.33962264150943394</v>
      </c>
      <c r="J74" s="155">
        <f>IF('AW Schulen'!$H194=0,"x",E74/'AW Schulen'!$H194)</f>
        <v>0.31620553359683795</v>
      </c>
      <c r="K74" s="155">
        <f>IF('AW Schulen'!$K194=0,"x",F74/'AW Schulen'!$K194)</f>
        <v>0.29045643153526973</v>
      </c>
      <c r="L74" s="156">
        <f>IF('AW Schulen'!$N194=0,"x",G74/'AW Schulen'!$N194)</f>
        <v>0.30434782608695654</v>
      </c>
    </row>
    <row r="75" spans="1:12" ht="9" customHeight="1">
      <c r="A75" s="21" t="s">
        <v>89</v>
      </c>
      <c r="B75" s="120"/>
      <c r="C75" s="23">
        <f>[36]GtS!$H$17</f>
        <v>260</v>
      </c>
      <c r="D75" s="23">
        <f>[37]GtS!$H$19</f>
        <v>249</v>
      </c>
      <c r="E75" s="23">
        <f>[38]GtS!$H$19</f>
        <v>226</v>
      </c>
      <c r="F75" s="23">
        <f>[39]GtS!$H$19</f>
        <v>180</v>
      </c>
      <c r="G75" s="34">
        <f>[40]GtS!$H$19</f>
        <v>159</v>
      </c>
      <c r="H75" s="155">
        <f>IF('AW Schulen'!$B195=0,"x",C75/'AW Schulen'!$B195)</f>
        <v>0.41204437400950872</v>
      </c>
      <c r="I75" s="155">
        <f>IF('AW Schulen'!$E195=0,"x",D75/'AW Schulen'!$E195)</f>
        <v>0.40953947368421051</v>
      </c>
      <c r="J75" s="155">
        <f>IF('AW Schulen'!$H195=0,"x",E75/'AW Schulen'!$H195)</f>
        <v>0.39929328621908128</v>
      </c>
      <c r="K75" s="155">
        <f>IF('AW Schulen'!$K195=0,"x",F75/'AW Schulen'!$K195)</f>
        <v>0.36659877800407331</v>
      </c>
      <c r="L75" s="156">
        <f>IF('AW Schulen'!$N195=0,"x",G75/'AW Schulen'!$N195)</f>
        <v>0.36136363636363639</v>
      </c>
    </row>
    <row r="76" spans="1:12" ht="9" customHeight="1">
      <c r="A76" s="21" t="s">
        <v>90</v>
      </c>
      <c r="B76" s="120"/>
      <c r="C76" s="23">
        <f>[41]GtS!$H$17</f>
        <v>0</v>
      </c>
      <c r="D76" s="23">
        <f>[42]GtS!$H$19</f>
        <v>0</v>
      </c>
      <c r="E76" s="23">
        <f>[43]GtS!$H$19</f>
        <v>0</v>
      </c>
      <c r="F76" s="23">
        <f>[44]GtS!$H$19</f>
        <v>0</v>
      </c>
      <c r="G76" s="34">
        <f>[45]GtS!$H$19</f>
        <v>0</v>
      </c>
      <c r="H76" s="155">
        <f>IF('AW Schulen'!$B196=0,"x",C76/'AW Schulen'!$B196)</f>
        <v>0</v>
      </c>
      <c r="I76" s="155">
        <f>IF('AW Schulen'!$E196=0,"x",D76/'AW Schulen'!$E196)</f>
        <v>0</v>
      </c>
      <c r="J76" s="155">
        <f>IF('AW Schulen'!$H196=0,"x",E76/'AW Schulen'!$H196)</f>
        <v>0</v>
      </c>
      <c r="K76" s="155">
        <f>IF('AW Schulen'!$K196=0,"x",F76/'AW Schulen'!$K196)</f>
        <v>0</v>
      </c>
      <c r="L76" s="156">
        <f>IF('AW Schulen'!$N196=0,"x",G76/'AW Schulen'!$N196)</f>
        <v>0</v>
      </c>
    </row>
    <row r="77" spans="1:12" ht="9" customHeight="1">
      <c r="A77" s="21" t="s">
        <v>91</v>
      </c>
      <c r="B77" s="120"/>
      <c r="C77" s="23">
        <f>[46]GtS!$H$17</f>
        <v>13</v>
      </c>
      <c r="D77" s="23">
        <f>[47]GtS!$H$19</f>
        <v>13</v>
      </c>
      <c r="E77" s="23">
        <f>[48]GtS!$H$19</f>
        <v>14</v>
      </c>
      <c r="F77" s="23">
        <f>[49]GtS!$H$19</f>
        <v>15</v>
      </c>
      <c r="G77" s="34">
        <f>[50]GtS!$H$19</f>
        <v>14</v>
      </c>
      <c r="H77" s="155">
        <f>IF('AW Schulen'!$B197=0,"x",C77/'AW Schulen'!$B197)</f>
        <v>0.40625</v>
      </c>
      <c r="I77" s="155">
        <f>IF('AW Schulen'!$E197=0,"x",D77/'AW Schulen'!$E197)</f>
        <v>0.40625</v>
      </c>
      <c r="J77" s="155">
        <f>IF('AW Schulen'!$H197=0,"x",E77/'AW Schulen'!$H197)</f>
        <v>0.4375</v>
      </c>
      <c r="K77" s="155">
        <f>IF('AW Schulen'!$K197=0,"x",F77/'AW Schulen'!$K197)</f>
        <v>0.4838709677419355</v>
      </c>
      <c r="L77" s="156">
        <f>IF('AW Schulen'!$N197=0,"x",G77/'AW Schulen'!$N197)</f>
        <v>0.45161290322580644</v>
      </c>
    </row>
    <row r="78" spans="1:12" ht="9" customHeight="1">
      <c r="A78" s="21" t="s">
        <v>92</v>
      </c>
      <c r="B78" s="120"/>
      <c r="C78" s="23">
        <f>[51]GtS!$H$17</f>
        <v>85</v>
      </c>
      <c r="D78" s="23">
        <f>[52]GtS!$H$19</f>
        <v>89</v>
      </c>
      <c r="E78" s="23">
        <f>[53]GtS!$H$19</f>
        <v>81</v>
      </c>
      <c r="F78" s="23">
        <f>[54]GtS!$H$19</f>
        <v>79</v>
      </c>
      <c r="G78" s="34">
        <f>[55]GtS!$H$19</f>
        <v>76</v>
      </c>
      <c r="H78" s="155">
        <f>IF('AW Schulen'!$B198=0,"x",C78/'AW Schulen'!$B198)</f>
        <v>0.61594202898550721</v>
      </c>
      <c r="I78" s="155">
        <f>IF('AW Schulen'!$E198=0,"x",D78/'AW Schulen'!$E198)</f>
        <v>0.65441176470588236</v>
      </c>
      <c r="J78" s="155">
        <f>IF('AW Schulen'!$H198=0,"x",E78/'AW Schulen'!$H198)</f>
        <v>0.6</v>
      </c>
      <c r="K78" s="155">
        <f>IF('AW Schulen'!$K198=0,"x",F78/'AW Schulen'!$K198)</f>
        <v>0.58518518518518514</v>
      </c>
      <c r="L78" s="156">
        <f>IF('AW Schulen'!$N198=0,"x",G78/'AW Schulen'!$N198)</f>
        <v>0.562962962962963</v>
      </c>
    </row>
    <row r="79" spans="1:12" ht="9" customHeight="1">
      <c r="A79" s="21" t="s">
        <v>93</v>
      </c>
      <c r="B79" s="120"/>
      <c r="C79" s="23">
        <f>[76]GtS!$H$17</f>
        <v>111</v>
      </c>
      <c r="D79" s="23">
        <f>[77]GtS!$H$19</f>
        <v>110</v>
      </c>
      <c r="E79" s="23">
        <f>[78]GtS!$H$19</f>
        <v>98</v>
      </c>
      <c r="F79" s="23">
        <f>[79]GtS!$H$19</f>
        <v>96</v>
      </c>
      <c r="G79" s="34">
        <f>[80]GtS!$H$19</f>
        <v>94</v>
      </c>
      <c r="H79" s="155">
        <f>IF('AW Schulen'!$B199=0,"x",C79/'AW Schulen'!$B199)</f>
        <v>1</v>
      </c>
      <c r="I79" s="155">
        <f>IF('AW Schulen'!$E199=0,"x",D79/'AW Schulen'!$E199)</f>
        <v>1</v>
      </c>
      <c r="J79" s="155">
        <f>IF('AW Schulen'!$H199=0,"x",E79/'AW Schulen'!$H199)</f>
        <v>1</v>
      </c>
      <c r="K79" s="155">
        <f>IF('AW Schulen'!$K199=0,"x",F79/'AW Schulen'!$K199)</f>
        <v>1</v>
      </c>
      <c r="L79" s="156">
        <f>IF('AW Schulen'!$N199=0,"x",G79/'AW Schulen'!$N199)</f>
        <v>1</v>
      </c>
    </row>
    <row r="80" spans="1:12" ht="9" customHeight="1">
      <c r="A80" s="21" t="s">
        <v>94</v>
      </c>
      <c r="B80" s="120"/>
      <c r="C80" s="23">
        <f>[56]GtS!$H$17</f>
        <v>76</v>
      </c>
      <c r="D80" s="23">
        <f>[57]GtS!$H$19</f>
        <v>73</v>
      </c>
      <c r="E80" s="23">
        <f>[58]GtS!$H$19</f>
        <v>67</v>
      </c>
      <c r="F80" s="23">
        <f>[59]GtS!$H$19</f>
        <v>63</v>
      </c>
      <c r="G80" s="34">
        <f>[60]GtS!$H$19</f>
        <v>59</v>
      </c>
      <c r="H80" s="155">
        <f>IF('AW Schulen'!$B200=0,"x",C80/'AW Schulen'!$B200)</f>
        <v>0.6333333333333333</v>
      </c>
      <c r="I80" s="155">
        <f>IF('AW Schulen'!$E200=0,"x",D80/'AW Schulen'!$E200)</f>
        <v>0.6517857142857143</v>
      </c>
      <c r="J80" s="155">
        <f>IF('AW Schulen'!$H200=0,"x",E80/'AW Schulen'!$H200)</f>
        <v>0.62037037037037035</v>
      </c>
      <c r="K80" s="155">
        <f>IF('AW Schulen'!$K200=0,"x",F80/'AW Schulen'!$K200)</f>
        <v>0.60576923076923073</v>
      </c>
      <c r="L80" s="156">
        <f>IF('AW Schulen'!$N200=0,"x",G80/'AW Schulen'!$N200)</f>
        <v>0.59595959595959591</v>
      </c>
    </row>
    <row r="81" spans="1:12" ht="9" customHeight="1">
      <c r="A81" s="21" t="s">
        <v>95</v>
      </c>
      <c r="B81" s="120"/>
      <c r="C81" s="23">
        <f>[61]GtS!$H$17</f>
        <v>0</v>
      </c>
      <c r="D81" s="23">
        <f>[62]GtS!$H$19</f>
        <v>0</v>
      </c>
      <c r="E81" s="23">
        <f>[63]GtS!$H$19</f>
        <v>0</v>
      </c>
      <c r="F81" s="23">
        <f>[64]GtS!$H$19</f>
        <v>0</v>
      </c>
      <c r="G81" s="34">
        <f>[65]GtS!$H$19</f>
        <v>0</v>
      </c>
      <c r="H81" s="155">
        <f>IF('AW Schulen'!$B201=0,"x",C81/'AW Schulen'!$B201)</f>
        <v>0</v>
      </c>
      <c r="I81" s="155">
        <f>IF('AW Schulen'!$E201=0,"x",D81/'AW Schulen'!$E201)</f>
        <v>0</v>
      </c>
      <c r="J81" s="155">
        <f>IF('AW Schulen'!$H201=0,"x",E81/'AW Schulen'!$H201)</f>
        <v>0</v>
      </c>
      <c r="K81" s="155">
        <f>IF('AW Schulen'!$K201=0,"x",F81/'AW Schulen'!$K201)</f>
        <v>0</v>
      </c>
      <c r="L81" s="156">
        <f>IF('AW Schulen'!$N201=0,"x",G81/'AW Schulen'!$N201)</f>
        <v>0</v>
      </c>
    </row>
    <row r="82" spans="1:12" ht="9" customHeight="1">
      <c r="A82" s="24" t="s">
        <v>96</v>
      </c>
      <c r="B82" s="121"/>
      <c r="C82" s="26">
        <f t="shared" ref="C82:E82" si="39">SUM(C66:C81)</f>
        <v>836</v>
      </c>
      <c r="D82" s="26">
        <f t="shared" si="39"/>
        <v>822</v>
      </c>
      <c r="E82" s="26">
        <f t="shared" si="39"/>
        <v>777</v>
      </c>
      <c r="F82" s="26">
        <f t="shared" ref="F82:G82" si="40">SUM(F66:F81)</f>
        <v>730</v>
      </c>
      <c r="G82" s="47">
        <f t="shared" si="40"/>
        <v>684</v>
      </c>
      <c r="H82" s="157">
        <f>IF('AW Schulen'!$B202=0,"x",C82/'AW Schulen'!$B202)</f>
        <v>0.32104454685099848</v>
      </c>
      <c r="I82" s="157">
        <f>IF('AW Schulen'!$E202=0,"x",D82/'AW Schulen'!$E202)</f>
        <v>0.32400472999605834</v>
      </c>
      <c r="J82" s="157">
        <f>IF('AW Schulen'!$H202=0,"x",E82/'AW Schulen'!$H202)</f>
        <v>0.31675499388503875</v>
      </c>
      <c r="K82" s="157">
        <f>IF('AW Schulen'!$K202=0,"x",F82/'AW Schulen'!$K202)</f>
        <v>0.31236628155755242</v>
      </c>
      <c r="L82" s="158">
        <f>IF('AW Schulen'!$N202=0,"x",G82/'AW Schulen'!$N202)</f>
        <v>0.30454140694568121</v>
      </c>
    </row>
    <row r="83" spans="1:12" ht="18.75" customHeight="1">
      <c r="A83" s="396" t="s">
        <v>312</v>
      </c>
      <c r="B83" s="396"/>
      <c r="C83" s="396"/>
      <c r="D83" s="396"/>
      <c r="E83" s="396"/>
      <c r="F83" s="396"/>
      <c r="G83" s="396"/>
      <c r="H83" s="396"/>
      <c r="I83" s="396"/>
      <c r="J83" s="396"/>
      <c r="K83" s="396"/>
      <c r="L83" s="396"/>
    </row>
    <row r="84" spans="1:12" ht="10.15" customHeight="1">
      <c r="A84" s="214"/>
    </row>
  </sheetData>
  <mergeCells count="8">
    <mergeCell ref="A65:L65"/>
    <mergeCell ref="A83:L83"/>
    <mergeCell ref="A1:L1"/>
    <mergeCell ref="H9:L9"/>
    <mergeCell ref="C9:G9"/>
    <mergeCell ref="A11:L11"/>
    <mergeCell ref="A47:L47"/>
    <mergeCell ref="A29:L29"/>
  </mergeCells>
  <phoneticPr fontId="18" type="noConversion"/>
  <conditionalFormatting sqref="N25">
    <cfRule type="cellIs" dxfId="47"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M86"/>
  <sheetViews>
    <sheetView view="pageBreakPreview" topLeftCell="A58" zoomScale="175" zoomScaleNormal="175" zoomScaleSheetLayoutView="175" workbookViewId="0">
      <selection activeCell="N23" sqref="N23:N24"/>
    </sheetView>
  </sheetViews>
  <sheetFormatPr baseColWidth="10" defaultColWidth="11.42578125" defaultRowHeight="9"/>
  <cols>
    <col min="1" max="1" width="7.28515625" style="2" customWidth="1"/>
    <col min="2" max="2" width="0.5703125" style="2" customWidth="1"/>
    <col min="3" max="12" width="6.7109375" style="2" customWidth="1"/>
    <col min="13" max="16384" width="11.42578125" style="2"/>
  </cols>
  <sheetData>
    <row r="1" spans="1:13" ht="12.75" customHeight="1">
      <c r="A1" s="383">
        <f>'2.2.8'!A1:G1+1</f>
        <v>24</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 customHeight="1">
      <c r="A4" s="13" t="s">
        <v>28</v>
      </c>
      <c r="B4" s="12" t="s">
        <v>186</v>
      </c>
      <c r="C4" s="14"/>
      <c r="D4" s="14"/>
      <c r="E4" s="14"/>
      <c r="F4" s="14"/>
      <c r="G4" s="14"/>
    </row>
    <row r="5" spans="1:13" s="1" customFormat="1" ht="12.6" customHeight="1">
      <c r="A5" s="13" t="s">
        <v>29</v>
      </c>
      <c r="B5" s="48" t="s">
        <v>7</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26</v>
      </c>
      <c r="D12" s="42">
        <f t="shared" si="0"/>
        <v>26</v>
      </c>
      <c r="E12" s="42">
        <f t="shared" ref="E12:F12" si="1">SUM(E30+E48+E66)</f>
        <v>25</v>
      </c>
      <c r="F12" s="42">
        <f t="shared" si="1"/>
        <v>24</v>
      </c>
      <c r="G12" s="44">
        <f t="shared" ref="G12" si="2">SUM(G30+G48+G66)</f>
        <v>22</v>
      </c>
      <c r="H12" s="153">
        <f>IF('AW Schulen'!$C6=0,"x",C12/'AW Schulen'!$C6)</f>
        <v>0.25742574257425743</v>
      </c>
      <c r="I12" s="153">
        <f>IF('AW Schulen'!$F6=0,"x",D12/'AW Schulen'!$F6)</f>
        <v>0.25490196078431371</v>
      </c>
      <c r="J12" s="153">
        <f>IF('AW Schulen'!$I6=0,"x",E12/'AW Schulen'!$I6)</f>
        <v>0.24271844660194175</v>
      </c>
      <c r="K12" s="153">
        <f>IF('AW Schulen'!$L6=0,"x",F12/'AW Schulen'!$L6)</f>
        <v>0.23529411764705882</v>
      </c>
      <c r="L12" s="154">
        <f>IF('AW Schulen'!$O6=0,"x",G12/'AW Schulen'!$O6)</f>
        <v>0.21782178217821782</v>
      </c>
    </row>
    <row r="13" spans="1:13" ht="9" customHeight="1">
      <c r="A13" s="21" t="s">
        <v>81</v>
      </c>
      <c r="B13" s="120"/>
      <c r="C13" s="42">
        <f t="shared" si="0"/>
        <v>45</v>
      </c>
      <c r="D13" s="42">
        <f t="shared" si="0"/>
        <v>49</v>
      </c>
      <c r="E13" s="42">
        <f t="shared" ref="E13:F13" si="3">SUM(E31+E49+E67)</f>
        <v>52</v>
      </c>
      <c r="F13" s="42">
        <f t="shared" si="3"/>
        <v>55</v>
      </c>
      <c r="G13" s="44">
        <f t="shared" ref="G13" si="4">SUM(G31+G49+G67)</f>
        <v>114</v>
      </c>
      <c r="H13" s="153">
        <f>IF('AW Schulen'!$C7=0,"x",C13/'AW Schulen'!$C7)</f>
        <v>0.31034482758620691</v>
      </c>
      <c r="I13" s="153">
        <f>IF('AW Schulen'!$F7=0,"x",D13/'AW Schulen'!$F7)</f>
        <v>0.33561643835616439</v>
      </c>
      <c r="J13" s="153">
        <f>IF('AW Schulen'!$I7=0,"x",E13/'AW Schulen'!$I7)</f>
        <v>0.35374149659863946</v>
      </c>
      <c r="K13" s="153">
        <f>IF('AW Schulen'!$L7=0,"x",F13/'AW Schulen'!$L7)</f>
        <v>0.37671232876712329</v>
      </c>
      <c r="L13" s="154">
        <f>IF('AW Schulen'!$O7=0,"x",G13/'AW Schulen'!$O7)</f>
        <v>0.78620689655172415</v>
      </c>
    </row>
    <row r="14" spans="1:13" ht="9" customHeight="1">
      <c r="A14" s="21" t="s">
        <v>82</v>
      </c>
      <c r="B14" s="120"/>
      <c r="C14" s="42">
        <f t="shared" si="0"/>
        <v>48</v>
      </c>
      <c r="D14" s="42">
        <f t="shared" si="0"/>
        <v>43</v>
      </c>
      <c r="E14" s="42">
        <f t="shared" ref="E14:F14" si="5">SUM(E32+E50+E68)</f>
        <v>42</v>
      </c>
      <c r="F14" s="42">
        <f t="shared" si="5"/>
        <v>52</v>
      </c>
      <c r="G14" s="44">
        <f t="shared" ref="G14" si="6">SUM(G32+G50+G68)</f>
        <v>49</v>
      </c>
      <c r="H14" s="153">
        <f>IF('AW Schulen'!$C8=0,"x",C14/'AW Schulen'!$C8)</f>
        <v>0.8571428571428571</v>
      </c>
      <c r="I14" s="153">
        <f>IF('AW Schulen'!$F8=0,"x",D14/'AW Schulen'!$F8)</f>
        <v>0.89583333333333337</v>
      </c>
      <c r="J14" s="153">
        <f>IF('AW Schulen'!$I8=0,"x",E14/'AW Schulen'!$I8)</f>
        <v>0.7</v>
      </c>
      <c r="K14" s="153">
        <f>IF('AW Schulen'!$L8=0,"x",F14/'AW Schulen'!$L8)</f>
        <v>0.88135593220338981</v>
      </c>
      <c r="L14" s="154">
        <f>IF('AW Schulen'!$O8=0,"x",G14/'AW Schulen'!$O8)</f>
        <v>0.875</v>
      </c>
    </row>
    <row r="15" spans="1:13" ht="9" customHeight="1">
      <c r="A15" s="21" t="s">
        <v>83</v>
      </c>
      <c r="B15" s="120"/>
      <c r="C15" s="42">
        <f t="shared" si="0"/>
        <v>50</v>
      </c>
      <c r="D15" s="42">
        <f t="shared" si="0"/>
        <v>51</v>
      </c>
      <c r="E15" s="42">
        <f t="shared" ref="E15:F15" si="7">SUM(E33+E51+E69)</f>
        <v>51</v>
      </c>
      <c r="F15" s="42">
        <f t="shared" si="7"/>
        <v>50</v>
      </c>
      <c r="G15" s="44">
        <f t="shared" ref="G15" si="8">SUM(G33+G51+G69)</f>
        <v>50</v>
      </c>
      <c r="H15" s="153">
        <f>IF('AW Schulen'!$C9=0,"x",C15/'AW Schulen'!$C9)</f>
        <v>0.80645161290322576</v>
      </c>
      <c r="I15" s="153">
        <f>IF('AW Schulen'!$F9=0,"x",D15/'AW Schulen'!$F9)</f>
        <v>0.80952380952380953</v>
      </c>
      <c r="J15" s="153">
        <f>IF('AW Schulen'!$I9=0,"x",E15/'AW Schulen'!$I9)</f>
        <v>0.80952380952380953</v>
      </c>
      <c r="K15" s="153">
        <f>IF('AW Schulen'!$L9=0,"x",F15/'AW Schulen'!$L9)</f>
        <v>0.76923076923076927</v>
      </c>
      <c r="L15" s="154">
        <f>IF('AW Schulen'!$O9=0,"x",G15/'AW Schulen'!$O9)</f>
        <v>0.76923076923076927</v>
      </c>
    </row>
    <row r="16" spans="1:13" ht="9" customHeight="1">
      <c r="A16" s="21" t="s">
        <v>84</v>
      </c>
      <c r="B16" s="120"/>
      <c r="C16" s="42">
        <f t="shared" si="0"/>
        <v>5</v>
      </c>
      <c r="D16" s="42">
        <f t="shared" si="0"/>
        <v>6</v>
      </c>
      <c r="E16" s="42">
        <f t="shared" ref="E16:F16" si="9">SUM(E34+E52+E70)</f>
        <v>6</v>
      </c>
      <c r="F16" s="42">
        <f t="shared" si="9"/>
        <v>5</v>
      </c>
      <c r="G16" s="44">
        <f t="shared" ref="G16" si="10">SUM(G34+G52+G70)</f>
        <v>6</v>
      </c>
      <c r="H16" s="153">
        <f>IF('AW Schulen'!$C10=0,"x",C16/'AW Schulen'!$C10)</f>
        <v>0.55555555555555558</v>
      </c>
      <c r="I16" s="153">
        <f>IF('AW Schulen'!$F10=0,"x",D16/'AW Schulen'!$F10)</f>
        <v>0.66666666666666663</v>
      </c>
      <c r="J16" s="153">
        <f>IF('AW Schulen'!$I10=0,"x",E16/'AW Schulen'!$I10)</f>
        <v>0.75</v>
      </c>
      <c r="K16" s="153">
        <f>IF('AW Schulen'!$L10=0,"x",F16/'AW Schulen'!$L10)</f>
        <v>0.625</v>
      </c>
      <c r="L16" s="154">
        <f>IF('AW Schulen'!$O10=0,"x",G16/'AW Schulen'!$O10)</f>
        <v>0.8571428571428571</v>
      </c>
    </row>
    <row r="17" spans="1:12" ht="9" customHeight="1">
      <c r="A17" s="21" t="s">
        <v>85</v>
      </c>
      <c r="B17" s="120"/>
      <c r="C17" s="42">
        <f t="shared" si="0"/>
        <v>13</v>
      </c>
      <c r="D17" s="42">
        <f t="shared" si="0"/>
        <v>20</v>
      </c>
      <c r="E17" s="42">
        <f t="shared" ref="E17:F17" si="11">SUM(E35+E53+E71)</f>
        <v>24</v>
      </c>
      <c r="F17" s="42">
        <f t="shared" si="11"/>
        <v>25</v>
      </c>
      <c r="G17" s="44">
        <f t="shared" ref="G17" si="12">SUM(G35+G53+G71)</f>
        <v>25</v>
      </c>
      <c r="H17" s="153">
        <f>IF('AW Schulen'!$C11=0,"x",C17/'AW Schulen'!$C11)</f>
        <v>0.44827586206896552</v>
      </c>
      <c r="I17" s="153">
        <f>IF('AW Schulen'!$F11=0,"x",D17/'AW Schulen'!$F11)</f>
        <v>0.66666666666666663</v>
      </c>
      <c r="J17" s="153">
        <f>IF('AW Schulen'!$I11=0,"x",E17/'AW Schulen'!$I11)</f>
        <v>0.77419354838709675</v>
      </c>
      <c r="K17" s="153">
        <f>IF('AW Schulen'!$L11=0,"x",F17/'AW Schulen'!$L11)</f>
        <v>0.83333333333333337</v>
      </c>
      <c r="L17" s="154">
        <f>IF('AW Schulen'!$O11=0,"x",G17/'AW Schulen'!$O11)</f>
        <v>0.83333333333333337</v>
      </c>
    </row>
    <row r="18" spans="1:12" ht="9" customHeight="1">
      <c r="A18" s="21" t="s">
        <v>86</v>
      </c>
      <c r="B18" s="120"/>
      <c r="C18" s="111">
        <f t="shared" si="0"/>
        <v>0</v>
      </c>
      <c r="D18" s="111">
        <f t="shared" si="0"/>
        <v>0</v>
      </c>
      <c r="E18" s="111">
        <f t="shared" ref="E18:F18" si="13">SUM(E36+E54+E72)</f>
        <v>0</v>
      </c>
      <c r="F18" s="111">
        <f t="shared" si="13"/>
        <v>0</v>
      </c>
      <c r="G18" s="112">
        <f t="shared" ref="G18" si="14">SUM(G36+G54+G72)</f>
        <v>0</v>
      </c>
      <c r="H18" s="182">
        <f>IF('AW Schulen'!$C12=0,"x",C18/'AW Schulen'!$C12)</f>
        <v>0</v>
      </c>
      <c r="I18" s="182" t="str">
        <f>IF('AW Schulen'!$F12=0,".",D18/'AW Schulen'!$F12)</f>
        <v>.</v>
      </c>
      <c r="J18" s="182" t="str">
        <f>IF('AW Schulen'!$I12=0,".",E18/'AW Schulen'!$I12)</f>
        <v>.</v>
      </c>
      <c r="K18" s="182" t="str">
        <f>IF('AW Schulen'!$L12=0,".",F18/'AW Schulen'!$L12)</f>
        <v>.</v>
      </c>
      <c r="L18" s="196" t="str">
        <f>IF('AW Schulen'!$O12=0,".",G18/'AW Schulen'!$O12)</f>
        <v>.</v>
      </c>
    </row>
    <row r="19" spans="1:12" ht="9" customHeight="1">
      <c r="A19" s="21" t="s">
        <v>176</v>
      </c>
      <c r="B19" s="120"/>
      <c r="C19" s="42">
        <f t="shared" si="0"/>
        <v>10</v>
      </c>
      <c r="D19" s="42">
        <f t="shared" si="0"/>
        <v>9</v>
      </c>
      <c r="E19" s="42">
        <f t="shared" ref="E19:F19" si="15">SUM(E37+E55+E73)</f>
        <v>9</v>
      </c>
      <c r="F19" s="42">
        <f t="shared" si="15"/>
        <v>16</v>
      </c>
      <c r="G19" s="44">
        <f t="shared" ref="G19" si="16">SUM(G37+G55+G73)</f>
        <v>0</v>
      </c>
      <c r="H19" s="153">
        <f>IF('AW Schulen'!$C13=0,"x",C19/'AW Schulen'!$C13)</f>
        <v>0.2</v>
      </c>
      <c r="I19" s="153">
        <f>IF('AW Schulen'!$F13=0,"x",D19/'AW Schulen'!$F13)</f>
        <v>0.17307692307692307</v>
      </c>
      <c r="J19" s="153">
        <f>IF('AW Schulen'!$I13=0,"x",E19/'AW Schulen'!$I13)</f>
        <v>0.16981132075471697</v>
      </c>
      <c r="K19" s="153">
        <f>IF('AW Schulen'!$L13=0,"x",F19/'AW Schulen'!$L13)</f>
        <v>0.30769230769230771</v>
      </c>
      <c r="L19" s="154">
        <f>IF('AW Schulen'!$O13=0,"x",G19/'AW Schulen'!$O13)</f>
        <v>0</v>
      </c>
    </row>
    <row r="20" spans="1:12" ht="9" customHeight="1">
      <c r="A20" s="21" t="s">
        <v>88</v>
      </c>
      <c r="B20" s="120"/>
      <c r="C20" s="111">
        <f t="shared" si="0"/>
        <v>0</v>
      </c>
      <c r="D20" s="111">
        <f t="shared" si="0"/>
        <v>0</v>
      </c>
      <c r="E20" s="111">
        <f t="shared" ref="E20:F20" si="17">SUM(E38+E56+E74)</f>
        <v>0</v>
      </c>
      <c r="F20" s="111">
        <f t="shared" si="17"/>
        <v>0</v>
      </c>
      <c r="G20" s="112">
        <f t="shared" ref="G20" si="18">SUM(G38+G56+G74)</f>
        <v>0</v>
      </c>
      <c r="H20" s="182">
        <f>IF('AW Schulen'!$C14=0,"x",C20/'AW Schulen'!$C14)</f>
        <v>0</v>
      </c>
      <c r="I20" s="182">
        <f>IF('AW Schulen'!$F14=0,"x",D20/'AW Schulen'!$F14)</f>
        <v>0</v>
      </c>
      <c r="J20" s="182">
        <f>IF('AW Schulen'!$I14=0,"x",E20/'AW Schulen'!$I14)</f>
        <v>0</v>
      </c>
      <c r="K20" s="182">
        <f>IF('AW Schulen'!$L14=0,"x",F20/'AW Schulen'!$L14)</f>
        <v>0</v>
      </c>
      <c r="L20" s="196">
        <f>IF('AW Schulen'!$O14=0,"x",G20/'AW Schulen'!$O14)</f>
        <v>0</v>
      </c>
    </row>
    <row r="21" spans="1:12" ht="9" customHeight="1">
      <c r="A21" s="21" t="s">
        <v>89</v>
      </c>
      <c r="B21" s="120"/>
      <c r="C21" s="42">
        <f t="shared" si="0"/>
        <v>30</v>
      </c>
      <c r="D21" s="42">
        <f t="shared" si="0"/>
        <v>31</v>
      </c>
      <c r="E21" s="42">
        <f t="shared" ref="E21:F21" si="19">SUM(E39+E57+E75)</f>
        <v>33</v>
      </c>
      <c r="F21" s="42">
        <f t="shared" si="19"/>
        <v>39</v>
      </c>
      <c r="G21" s="44">
        <f t="shared" ref="G21" si="20">SUM(G39+G57+G75)</f>
        <v>42</v>
      </c>
      <c r="H21" s="153">
        <f>IF('AW Schulen'!$C15=0,"x",C21/'AW Schulen'!$C15)</f>
        <v>0.58823529411764708</v>
      </c>
      <c r="I21" s="153">
        <f>IF('AW Schulen'!$F15=0,"x",D21/'AW Schulen'!$F15)</f>
        <v>0.57407407407407407</v>
      </c>
      <c r="J21" s="153">
        <f>IF('AW Schulen'!$I15=0,"x",E21/'AW Schulen'!$I15)</f>
        <v>0.5892857142857143</v>
      </c>
      <c r="K21" s="153">
        <f>IF('AW Schulen'!$L15=0,"x",F21/'AW Schulen'!$L15)</f>
        <v>0.65</v>
      </c>
      <c r="L21" s="154">
        <f>IF('AW Schulen'!$O15=0,"x",G21/'AW Schulen'!$O15)</f>
        <v>0.66666666666666663</v>
      </c>
    </row>
    <row r="22" spans="1:12" ht="9" customHeight="1">
      <c r="A22" s="21" t="s">
        <v>90</v>
      </c>
      <c r="B22" s="120"/>
      <c r="C22" s="42">
        <f t="shared" si="0"/>
        <v>12</v>
      </c>
      <c r="D22" s="42">
        <f t="shared" si="0"/>
        <v>15</v>
      </c>
      <c r="E22" s="42">
        <f t="shared" ref="E22:F22" si="21">SUM(E40+E58+E76)</f>
        <v>17</v>
      </c>
      <c r="F22" s="42">
        <f t="shared" si="21"/>
        <v>20</v>
      </c>
      <c r="G22" s="44">
        <f t="shared" ref="G22" si="22">SUM(G40+G58+G76)</f>
        <v>19</v>
      </c>
      <c r="H22" s="153">
        <f>IF('AW Schulen'!$C16=0,"x",C22/'AW Schulen'!$C16)</f>
        <v>0.5714285714285714</v>
      </c>
      <c r="I22" s="153">
        <f>IF('AW Schulen'!$F16=0,"x",D22/'AW Schulen'!$F16)</f>
        <v>0.68181818181818177</v>
      </c>
      <c r="J22" s="153">
        <f>IF('AW Schulen'!$I16=0,"x",E22/'AW Schulen'!$I16)</f>
        <v>0.70833333333333337</v>
      </c>
      <c r="K22" s="153">
        <f>IF('AW Schulen'!$L16=0,"x",F22/'AW Schulen'!$L16)</f>
        <v>0.83333333333333337</v>
      </c>
      <c r="L22" s="154">
        <f>IF('AW Schulen'!$O16=0,"x",G22/'AW Schulen'!$O16)</f>
        <v>0.79166666666666663</v>
      </c>
    </row>
    <row r="23" spans="1:12" ht="9" customHeight="1">
      <c r="A23" s="21" t="s">
        <v>91</v>
      </c>
      <c r="B23" s="120"/>
      <c r="C23" s="42">
        <f t="shared" si="0"/>
        <v>7</v>
      </c>
      <c r="D23" s="42">
        <f t="shared" si="0"/>
        <v>7</v>
      </c>
      <c r="E23" s="42">
        <f t="shared" ref="E23:F23" si="23">SUM(E41+E59+E77)</f>
        <v>7</v>
      </c>
      <c r="F23" s="42">
        <f t="shared" si="23"/>
        <v>7</v>
      </c>
      <c r="G23" s="44">
        <f t="shared" ref="G23" si="24">SUM(G41+G59+G77)</f>
        <v>7</v>
      </c>
      <c r="H23" s="153">
        <f>IF('AW Schulen'!$C17=0,"x",C23/'AW Schulen'!$C17)</f>
        <v>1</v>
      </c>
      <c r="I23" s="153">
        <f>IF('AW Schulen'!$F17=0,"x",D23/'AW Schulen'!$F17)</f>
        <v>1</v>
      </c>
      <c r="J23" s="153">
        <f>IF('AW Schulen'!$I17=0,"x",E23/'AW Schulen'!$I17)</f>
        <v>1</v>
      </c>
      <c r="K23" s="153">
        <f>IF('AW Schulen'!$L17=0,"x",F23/'AW Schulen'!$L17)</f>
        <v>1</v>
      </c>
      <c r="L23" s="154">
        <f>IF('AW Schulen'!$O17=0,"x",G23/'AW Schulen'!$O17)</f>
        <v>1</v>
      </c>
    </row>
    <row r="24" spans="1:12" ht="9" customHeight="1">
      <c r="A24" s="21" t="s">
        <v>92</v>
      </c>
      <c r="B24" s="120"/>
      <c r="C24" s="42">
        <f t="shared" si="0"/>
        <v>65</v>
      </c>
      <c r="D24" s="42">
        <f t="shared" si="0"/>
        <v>70</v>
      </c>
      <c r="E24" s="42">
        <f t="shared" ref="E24:F24" si="25">SUM(E42+E60+E78)</f>
        <v>71</v>
      </c>
      <c r="F24" s="42">
        <f t="shared" si="25"/>
        <v>71</v>
      </c>
      <c r="G24" s="44">
        <f t="shared" ref="G24" si="26">SUM(G42+G60+G78)</f>
        <v>75</v>
      </c>
      <c r="H24" s="153">
        <f>IF('AW Schulen'!$C18=0,"x",C24/'AW Schulen'!$C18)</f>
        <v>0.85526315789473684</v>
      </c>
      <c r="I24" s="153">
        <f>IF('AW Schulen'!$F18=0,"x",D24/'AW Schulen'!$F18)</f>
        <v>0.89743589743589747</v>
      </c>
      <c r="J24" s="153">
        <f>IF('AW Schulen'!$I18=0,"x",E24/'AW Schulen'!$I18)</f>
        <v>0.89873417721518989</v>
      </c>
      <c r="K24" s="153">
        <f>IF('AW Schulen'!$L18=0,"x",F24/'AW Schulen'!$L18)</f>
        <v>0.88749999999999996</v>
      </c>
      <c r="L24" s="154">
        <f>IF('AW Schulen'!$O18=0,"x",G24/'AW Schulen'!$O18)</f>
        <v>0.90361445783132532</v>
      </c>
    </row>
    <row r="25" spans="1:12" ht="9" customHeight="1">
      <c r="A25" s="21" t="s">
        <v>93</v>
      </c>
      <c r="B25" s="120"/>
      <c r="C25" s="111">
        <f t="shared" si="0"/>
        <v>0</v>
      </c>
      <c r="D25" s="111">
        <f t="shared" si="0"/>
        <v>0</v>
      </c>
      <c r="E25" s="111">
        <f t="shared" ref="E25:F25" si="27">SUM(E43+E61+E79)</f>
        <v>0</v>
      </c>
      <c r="F25" s="111">
        <f t="shared" si="27"/>
        <v>0</v>
      </c>
      <c r="G25" s="112">
        <f t="shared" ref="G25" si="28">SUM(G43+G61+G79)</f>
        <v>0</v>
      </c>
      <c r="H25" s="182" t="str">
        <f>IF('AW Schulen'!$C19=0,".",C25/'AW Schulen'!$C19)</f>
        <v>.</v>
      </c>
      <c r="I25" s="182" t="str">
        <f>IF('AW Schulen'!$F19=0,".",D25/'AW Schulen'!$F19)</f>
        <v>.</v>
      </c>
      <c r="J25" s="182" t="str">
        <f>IF('AW Schulen'!$I19=0,".",E25/'AW Schulen'!$I19)</f>
        <v>.</v>
      </c>
      <c r="K25" s="182" t="str">
        <f>IF('AW Schulen'!$L19=0,".",F25/'AW Schulen'!$L19)</f>
        <v>.</v>
      </c>
      <c r="L25" s="196" t="str">
        <f>IF('AW Schulen'!$O19=0,".",G25/'AW Schulen'!$O19)</f>
        <v>.</v>
      </c>
    </row>
    <row r="26" spans="1:12" ht="9" customHeight="1">
      <c r="A26" s="21" t="s">
        <v>94</v>
      </c>
      <c r="B26" s="120"/>
      <c r="C26" s="42">
        <f t="shared" si="0"/>
        <v>6</v>
      </c>
      <c r="D26" s="42">
        <f t="shared" si="0"/>
        <v>5</v>
      </c>
      <c r="E26" s="42">
        <f t="shared" ref="E26:F26" si="29">SUM(E44+E62+E80)</f>
        <v>11</v>
      </c>
      <c r="F26" s="42">
        <f t="shared" si="29"/>
        <v>12</v>
      </c>
      <c r="G26" s="44">
        <f t="shared" ref="G26" si="30">SUM(G44+G62+G80)</f>
        <v>15</v>
      </c>
      <c r="H26" s="153">
        <f>IF('AW Schulen'!$C20=0,"x",C26/'AW Schulen'!$C20)</f>
        <v>0.10714285714285714</v>
      </c>
      <c r="I26" s="153">
        <f>IF('AW Schulen'!$F20=0,"x",D26/'AW Schulen'!$F20)</f>
        <v>8.771929824561403E-2</v>
      </c>
      <c r="J26" s="153">
        <f>IF('AW Schulen'!$I20=0,"x",E26/'AW Schulen'!$I20)</f>
        <v>0.19298245614035087</v>
      </c>
      <c r="K26" s="153">
        <f>IF('AW Schulen'!$L20=0,"x",F26/'AW Schulen'!$L20)</f>
        <v>0.2</v>
      </c>
      <c r="L26" s="154">
        <f>IF('AW Schulen'!$O20=0,"x",G26/'AW Schulen'!$O20)</f>
        <v>0.24193548387096775</v>
      </c>
    </row>
    <row r="27" spans="1:12" ht="9" customHeight="1">
      <c r="A27" s="21" t="s">
        <v>95</v>
      </c>
      <c r="B27" s="120"/>
      <c r="C27" s="42">
        <f t="shared" si="0"/>
        <v>35</v>
      </c>
      <c r="D27" s="42">
        <f t="shared" si="0"/>
        <v>33</v>
      </c>
      <c r="E27" s="42">
        <f t="shared" ref="E27:F27" si="31">SUM(E45+E63+E81)</f>
        <v>31</v>
      </c>
      <c r="F27" s="42">
        <f t="shared" si="31"/>
        <v>30</v>
      </c>
      <c r="G27" s="44">
        <f t="shared" ref="G27" si="32">SUM(G45+G63+G81)</f>
        <v>30</v>
      </c>
      <c r="H27" s="153">
        <f>IF('AW Schulen'!$C21=0,"x",C27/'AW Schulen'!$C21)</f>
        <v>1</v>
      </c>
      <c r="I27" s="153">
        <f>IF('AW Schulen'!$F21=0,"x",D27/'AW Schulen'!$F21)</f>
        <v>1</v>
      </c>
      <c r="J27" s="153">
        <f>IF('AW Schulen'!$I21=0,"x",E27/'AW Schulen'!$I21)</f>
        <v>1</v>
      </c>
      <c r="K27" s="153">
        <f>IF('AW Schulen'!$L21=0,"x",F27/'AW Schulen'!$L21)</f>
        <v>1</v>
      </c>
      <c r="L27" s="154">
        <f>IF('AW Schulen'!$O21=0,"x",G27/'AW Schulen'!$O21)</f>
        <v>1</v>
      </c>
    </row>
    <row r="28" spans="1:12" ht="9" customHeight="1">
      <c r="A28" s="21" t="s">
        <v>96</v>
      </c>
      <c r="B28" s="120"/>
      <c r="C28" s="42">
        <f t="shared" si="0"/>
        <v>352</v>
      </c>
      <c r="D28" s="42">
        <f t="shared" si="0"/>
        <v>365</v>
      </c>
      <c r="E28" s="42">
        <f t="shared" ref="E28:F28" si="33">SUM(E46+E64+E82)</f>
        <v>379</v>
      </c>
      <c r="F28" s="42">
        <f t="shared" si="33"/>
        <v>406</v>
      </c>
      <c r="G28" s="44">
        <f t="shared" ref="G28" si="34">SUM(G46+G64+G82)</f>
        <v>454</v>
      </c>
      <c r="H28" s="153">
        <f>IF('AW Schulen'!$C22=0,"x",C28/'AW Schulen'!$C22)</f>
        <v>0.50429799426934097</v>
      </c>
      <c r="I28" s="153">
        <f>IF('AW Schulen'!$F22=0,"x",D28/'AW Schulen'!$F22)</f>
        <v>0.52068473609129817</v>
      </c>
      <c r="J28" s="153">
        <f>IF('AW Schulen'!$I22=0,"x",E28/'AW Schulen'!$I22)</f>
        <v>0.52712100139082063</v>
      </c>
      <c r="K28" s="153">
        <f>IF('AW Schulen'!$L22=0,"x",F28/'AW Schulen'!$L22)</f>
        <v>0.56154910096818811</v>
      </c>
      <c r="L28" s="154">
        <f>IF('AW Schulen'!$O22=0,"x",G28/'AW Schulen'!$O22)</f>
        <v>0.62620689655172412</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[1]GtS!$F$51</f>
        <v>16</v>
      </c>
      <c r="D30" s="23">
        <f>[2]GtS!$F$53</f>
        <v>18</v>
      </c>
      <c r="E30" s="23">
        <f>[3]GtS!$F$53</f>
        <v>18</v>
      </c>
      <c r="F30" s="23">
        <f>[4]GtS!$F$53</f>
        <v>17</v>
      </c>
      <c r="G30" s="34">
        <f>[5]GtS!$F$53</f>
        <v>14</v>
      </c>
      <c r="H30" s="155">
        <f>IF('AW Schulen'!$C6=0,"x",C30/'AW Schulen'!$C6)</f>
        <v>0.15841584158415842</v>
      </c>
      <c r="I30" s="155">
        <f>IF('AW Schulen'!$F6=0,"x",D30/'AW Schulen'!$F6)</f>
        <v>0.17647058823529413</v>
      </c>
      <c r="J30" s="155">
        <f>IF('AW Schulen'!$I6=0,"x",E30/'AW Schulen'!$I6)</f>
        <v>0.17475728155339806</v>
      </c>
      <c r="K30" s="155">
        <f>IF('AW Schulen'!$L6=0,"x",F30/'AW Schulen'!$L6)</f>
        <v>0.16666666666666666</v>
      </c>
      <c r="L30" s="156">
        <f>IF('AW Schulen'!$O6=0,"x",G30/'AW Schulen'!$O6)</f>
        <v>0.13861386138613863</v>
      </c>
    </row>
    <row r="31" spans="1:12" ht="9" customHeight="1">
      <c r="A31" s="21" t="s">
        <v>81</v>
      </c>
      <c r="B31" s="120"/>
      <c r="C31" s="23">
        <f>[6]GtS!$F$51</f>
        <v>20</v>
      </c>
      <c r="D31" s="23">
        <f>[7]GtS!$F$53</f>
        <v>23</v>
      </c>
      <c r="E31" s="23">
        <f>[8]GtS!$F$53</f>
        <v>23</v>
      </c>
      <c r="F31" s="23">
        <f>[9]GtS!$F$53</f>
        <v>21</v>
      </c>
      <c r="G31" s="34">
        <f>[10]GtS!$F$53</f>
        <v>22</v>
      </c>
      <c r="H31" s="155">
        <f>IF('AW Schulen'!$C7=0,"x",C31/'AW Schulen'!$C7)</f>
        <v>0.13793103448275862</v>
      </c>
      <c r="I31" s="155">
        <f>IF('AW Schulen'!$F7=0,"x",D31/'AW Schulen'!$F7)</f>
        <v>0.15753424657534246</v>
      </c>
      <c r="J31" s="155">
        <f>IF('AW Schulen'!$I7=0,"x",E31/'AW Schulen'!$I7)</f>
        <v>0.15646258503401361</v>
      </c>
      <c r="K31" s="155">
        <f>IF('AW Schulen'!$L7=0,"x",F31/'AW Schulen'!$L7)</f>
        <v>0.14383561643835616</v>
      </c>
      <c r="L31" s="156">
        <f>IF('AW Schulen'!$O7=0,"x",G31/'AW Schulen'!$O7)</f>
        <v>0.15172413793103448</v>
      </c>
    </row>
    <row r="32" spans="1:12" ht="9" customHeight="1">
      <c r="A32" s="21" t="s">
        <v>82</v>
      </c>
      <c r="B32" s="120"/>
      <c r="C32" s="23">
        <f>[11]GtS!$F$51</f>
        <v>6</v>
      </c>
      <c r="D32" s="23">
        <f>[12]GtS!$F$53</f>
        <v>5</v>
      </c>
      <c r="E32" s="23">
        <f>[13]GtS!$F$53</f>
        <v>6</v>
      </c>
      <c r="F32" s="23">
        <f>[14]GtS!$F$53</f>
        <v>10</v>
      </c>
      <c r="G32" s="34">
        <f>[15]GtS!$F$53</f>
        <v>10</v>
      </c>
      <c r="H32" s="155">
        <f>IF('AW Schulen'!$C8=0,"x",C32/'AW Schulen'!$C8)</f>
        <v>0.10714285714285714</v>
      </c>
      <c r="I32" s="155">
        <f>IF('AW Schulen'!$F8=0,"x",D32/'AW Schulen'!$F8)</f>
        <v>0.10416666666666667</v>
      </c>
      <c r="J32" s="155">
        <f>IF('AW Schulen'!$I8=0,"x",E32/'AW Schulen'!$I8)</f>
        <v>0.1</v>
      </c>
      <c r="K32" s="155">
        <f>IF('AW Schulen'!$L8=0,"x",F32/'AW Schulen'!$L8)</f>
        <v>0.16949152542372881</v>
      </c>
      <c r="L32" s="156">
        <f>IF('AW Schulen'!$O8=0,"x",G32/'AW Schulen'!$O8)</f>
        <v>0.17857142857142858</v>
      </c>
    </row>
    <row r="33" spans="1:12" ht="9" customHeight="1">
      <c r="A33" s="21" t="s">
        <v>83</v>
      </c>
      <c r="B33" s="120"/>
      <c r="C33" s="23">
        <f>[16]GtS!$F$51</f>
        <v>0</v>
      </c>
      <c r="D33" s="23">
        <f>[17]GtS!$F$53</f>
        <v>0</v>
      </c>
      <c r="E33" s="23">
        <f>[18]GtS!$F$53</f>
        <v>0</v>
      </c>
      <c r="F33" s="23">
        <f>[19]GtS!$F$53</f>
        <v>0</v>
      </c>
      <c r="G33" s="34">
        <f>[20]GtS!$F$53</f>
        <v>0</v>
      </c>
      <c r="H33" s="155">
        <f>IF('AW Schulen'!$C9=0,"x",C33/'AW Schulen'!$C9)</f>
        <v>0</v>
      </c>
      <c r="I33" s="155">
        <f>IF('AW Schulen'!$F9=0,"x",D33/'AW Schulen'!$F9)</f>
        <v>0</v>
      </c>
      <c r="J33" s="155">
        <f>IF('AW Schulen'!$I9=0,"x",E33/'AW Schulen'!$I9)</f>
        <v>0</v>
      </c>
      <c r="K33" s="155">
        <f>IF('AW Schulen'!$L9=0,"x",F33/'AW Schulen'!$L9)</f>
        <v>0</v>
      </c>
      <c r="L33" s="156">
        <f>IF('AW Schulen'!$O9=0,"x",G33/'AW Schulen'!$O9)</f>
        <v>0</v>
      </c>
    </row>
    <row r="34" spans="1:12" ht="9" customHeight="1">
      <c r="A34" s="21" t="s">
        <v>84</v>
      </c>
      <c r="B34" s="120"/>
      <c r="C34" s="23">
        <f>[21]GtS!$F$51</f>
        <v>2</v>
      </c>
      <c r="D34" s="23">
        <f>[22]GtS!$F$53</f>
        <v>2</v>
      </c>
      <c r="E34" s="23">
        <f>[23]GtS!$F$53</f>
        <v>2</v>
      </c>
      <c r="F34" s="23">
        <f>[24]GtS!$F$53</f>
        <v>1</v>
      </c>
      <c r="G34" s="34">
        <f>[25]GtS!$F$53</f>
        <v>2</v>
      </c>
      <c r="H34" s="155">
        <f>IF('AW Schulen'!$C10=0,"x",C34/'AW Schulen'!$C10)</f>
        <v>0.22222222222222221</v>
      </c>
      <c r="I34" s="155">
        <f>IF('AW Schulen'!$F10=0,"x",D34/'AW Schulen'!$F10)</f>
        <v>0.22222222222222221</v>
      </c>
      <c r="J34" s="155">
        <f>IF('AW Schulen'!$I10=0,"x",E34/'AW Schulen'!$I10)</f>
        <v>0.25</v>
      </c>
      <c r="K34" s="155">
        <f>IF('AW Schulen'!$L10=0,"x",F34/'AW Schulen'!$L10)</f>
        <v>0.125</v>
      </c>
      <c r="L34" s="156">
        <f>IF('AW Schulen'!$O10=0,"x",G34/'AW Schulen'!$O10)</f>
        <v>0.2857142857142857</v>
      </c>
    </row>
    <row r="35" spans="1:12" ht="9" customHeight="1">
      <c r="A35" s="21" t="s">
        <v>85</v>
      </c>
      <c r="B35" s="120"/>
      <c r="C35" s="23">
        <f>[26]GtS!$F$51</f>
        <v>5</v>
      </c>
      <c r="D35" s="23">
        <f>[27]GtS!$F$53</f>
        <v>5</v>
      </c>
      <c r="E35" s="23">
        <f>[28]GtS!$F$53</f>
        <v>6</v>
      </c>
      <c r="F35" s="23">
        <f>[29]GtS!$F$53</f>
        <v>6</v>
      </c>
      <c r="G35" s="34">
        <f>[30]GtS!$F$53</f>
        <v>6</v>
      </c>
      <c r="H35" s="155">
        <f>IF('AW Schulen'!$C11=0,"x",C35/'AW Schulen'!$C11)</f>
        <v>0.17241379310344829</v>
      </c>
      <c r="I35" s="155">
        <f>IF('AW Schulen'!$F11=0,"x",D35/'AW Schulen'!$F11)</f>
        <v>0.16666666666666666</v>
      </c>
      <c r="J35" s="155">
        <f>IF('AW Schulen'!$I11=0,"x",E35/'AW Schulen'!$I11)</f>
        <v>0.19354838709677419</v>
      </c>
      <c r="K35" s="155">
        <f>IF('AW Schulen'!$L11=0,"x",F35/'AW Schulen'!$L11)</f>
        <v>0.2</v>
      </c>
      <c r="L35" s="156">
        <f>IF('AW Schulen'!$O11=0,"x",G35/'AW Schulen'!$O11)</f>
        <v>0.2</v>
      </c>
    </row>
    <row r="36" spans="1:12" ht="9" customHeight="1">
      <c r="A36" s="21" t="s">
        <v>86</v>
      </c>
      <c r="B36" s="120"/>
      <c r="C36" s="35">
        <f>[66]GtS!$F$51</f>
        <v>0</v>
      </c>
      <c r="D36" s="35">
        <f>[67]GtS!$F$53</f>
        <v>0</v>
      </c>
      <c r="E36" s="35">
        <f>[68]GtS!$F$53</f>
        <v>0</v>
      </c>
      <c r="F36" s="35">
        <f>[69]GtS!$F$53</f>
        <v>0</v>
      </c>
      <c r="G36" s="200">
        <f>[70]GtS!$F$53</f>
        <v>0</v>
      </c>
      <c r="H36" s="183">
        <f>IF('AW Schulen'!$C12=0,"x",C36/'AW Schulen'!$C12)</f>
        <v>0</v>
      </c>
      <c r="I36" s="183" t="str">
        <f>IF('AW Schulen'!$F12=0,".",D36/'AW Schulen'!$F12)</f>
        <v>.</v>
      </c>
      <c r="J36" s="183" t="str">
        <f>IF('AW Schulen'!$I12=0,".",E36/'AW Schulen'!$I12)</f>
        <v>.</v>
      </c>
      <c r="K36" s="183" t="str">
        <f>IF('AW Schulen'!$L12=0,".",F36/'AW Schulen'!$L12)</f>
        <v>.</v>
      </c>
      <c r="L36" s="197" t="str">
        <f>IF('AW Schulen'!$O12=0,".",G36/'AW Schulen'!$O12)</f>
        <v>.</v>
      </c>
    </row>
    <row r="37" spans="1:12" ht="9" customHeight="1">
      <c r="A37" s="21" t="s">
        <v>176</v>
      </c>
      <c r="B37" s="120"/>
      <c r="C37" s="23">
        <f>[31]GtS!$F$51</f>
        <v>4</v>
      </c>
      <c r="D37" s="23">
        <f>[32]GtS!$F$53</f>
        <v>4</v>
      </c>
      <c r="E37" s="23">
        <f>[33]GtS!$F$53</f>
        <v>4</v>
      </c>
      <c r="F37" s="23">
        <f>[34]GtS!$F$53</f>
        <v>7</v>
      </c>
      <c r="G37" s="34">
        <f>[35]GtS!$F$53</f>
        <v>0</v>
      </c>
      <c r="H37" s="155">
        <f>IF('AW Schulen'!$C13=0,"x",C37/'AW Schulen'!$C13)</f>
        <v>0.08</v>
      </c>
      <c r="I37" s="155">
        <f>IF('AW Schulen'!$F13=0,"x",D37/'AW Schulen'!$F13)</f>
        <v>7.6923076923076927E-2</v>
      </c>
      <c r="J37" s="155">
        <f>IF('AW Schulen'!$I13=0,"x",E37/'AW Schulen'!$I13)</f>
        <v>7.5471698113207544E-2</v>
      </c>
      <c r="K37" s="155">
        <f>IF('AW Schulen'!$L13=0,"x",F37/'AW Schulen'!$L13)</f>
        <v>0.13461538461538461</v>
      </c>
      <c r="L37" s="156">
        <f>IF('AW Schulen'!$O13=0,"x",G37/'AW Schulen'!$O13)</f>
        <v>0</v>
      </c>
    </row>
    <row r="38" spans="1:12" ht="9" customHeight="1">
      <c r="A38" s="21" t="s">
        <v>88</v>
      </c>
      <c r="B38" s="120"/>
      <c r="C38" s="35">
        <f>[71]GtS!$F$51</f>
        <v>0</v>
      </c>
      <c r="D38" s="35">
        <f>[72]GtS!$F$53</f>
        <v>0</v>
      </c>
      <c r="E38" s="35">
        <f>[73]GtS!$F$53</f>
        <v>0</v>
      </c>
      <c r="F38" s="35">
        <f>[74]GtS!$F$53</f>
        <v>0</v>
      </c>
      <c r="G38" s="200">
        <f>[75]GtS!$F$53</f>
        <v>0</v>
      </c>
      <c r="H38" s="183">
        <f>IF('AW Schulen'!$C14=0,"x",C38/'AW Schulen'!$C14)</f>
        <v>0</v>
      </c>
      <c r="I38" s="183">
        <f>IF('AW Schulen'!$F14=0,"x",D38/'AW Schulen'!$F14)</f>
        <v>0</v>
      </c>
      <c r="J38" s="183">
        <f>IF('AW Schulen'!$I14=0,"x",E38/'AW Schulen'!$I14)</f>
        <v>0</v>
      </c>
      <c r="K38" s="183">
        <f>IF('AW Schulen'!$L14=0,"x",F38/'AW Schulen'!$L14)</f>
        <v>0</v>
      </c>
      <c r="L38" s="197">
        <f>IF('AW Schulen'!$O14=0,"x",G38/'AW Schulen'!$O14)</f>
        <v>0</v>
      </c>
    </row>
    <row r="39" spans="1:12" ht="9" customHeight="1">
      <c r="A39" s="21" t="s">
        <v>89</v>
      </c>
      <c r="B39" s="120"/>
      <c r="C39" s="23">
        <f>[36]GtS!$F$51</f>
        <v>6</v>
      </c>
      <c r="D39" s="23">
        <f>[37]GtS!$F$53</f>
        <v>6</v>
      </c>
      <c r="E39" s="23">
        <f>[38]GtS!$F$53</f>
        <v>6</v>
      </c>
      <c r="F39" s="23">
        <f>[39]GtS!$F$53</f>
        <v>6</v>
      </c>
      <c r="G39" s="34">
        <f>[40]GtS!$F$53</f>
        <v>8</v>
      </c>
      <c r="H39" s="155">
        <f>IF('AW Schulen'!$C15=0,"x",C39/'AW Schulen'!$C15)</f>
        <v>0.11764705882352941</v>
      </c>
      <c r="I39" s="155">
        <f>IF('AW Schulen'!$F15=0,"x",D39/'AW Schulen'!$F15)</f>
        <v>0.1111111111111111</v>
      </c>
      <c r="J39" s="155">
        <f>IF('AW Schulen'!$I15=0,"x",E39/'AW Schulen'!$I15)</f>
        <v>0.10714285714285714</v>
      </c>
      <c r="K39" s="155">
        <f>IF('AW Schulen'!$L15=0,"x",F39/'AW Schulen'!$L15)</f>
        <v>0.1</v>
      </c>
      <c r="L39" s="156">
        <f>IF('AW Schulen'!$O15=0,"x",G39/'AW Schulen'!$O15)</f>
        <v>0.12698412698412698</v>
      </c>
    </row>
    <row r="40" spans="1:12" ht="9" customHeight="1">
      <c r="A40" s="21" t="s">
        <v>90</v>
      </c>
      <c r="B40" s="120"/>
      <c r="C40" s="23">
        <f>[41]GtS!$F$51</f>
        <v>5</v>
      </c>
      <c r="D40" s="23">
        <f>[42]GtS!$F$53</f>
        <v>7</v>
      </c>
      <c r="E40" s="23">
        <f>[43]GtS!$F$53</f>
        <v>8</v>
      </c>
      <c r="F40" s="23">
        <f>[44]GtS!$F$53</f>
        <v>7</v>
      </c>
      <c r="G40" s="34">
        <f>[45]GtS!$F$53</f>
        <v>7</v>
      </c>
      <c r="H40" s="155">
        <f>IF('AW Schulen'!$C16=0,"x",C40/'AW Schulen'!$C16)</f>
        <v>0.23809523809523808</v>
      </c>
      <c r="I40" s="155">
        <f>IF('AW Schulen'!$F16=0,"x",D40/'AW Schulen'!$F16)</f>
        <v>0.31818181818181818</v>
      </c>
      <c r="J40" s="155">
        <f>IF('AW Schulen'!$I16=0,"x",E40/'AW Schulen'!$I16)</f>
        <v>0.33333333333333331</v>
      </c>
      <c r="K40" s="155">
        <f>IF('AW Schulen'!$L16=0,"x",F40/'AW Schulen'!$L16)</f>
        <v>0.29166666666666669</v>
      </c>
      <c r="L40" s="156">
        <f>IF('AW Schulen'!$O16=0,"x",G40/'AW Schulen'!$O16)</f>
        <v>0.29166666666666669</v>
      </c>
    </row>
    <row r="41" spans="1:12" ht="9" customHeight="1">
      <c r="A41" s="21" t="s">
        <v>91</v>
      </c>
      <c r="B41" s="120"/>
      <c r="C41" s="23">
        <f>[46]GtS!$F$51</f>
        <v>0</v>
      </c>
      <c r="D41" s="23">
        <f>[47]GtS!$F$53</f>
        <v>0</v>
      </c>
      <c r="E41" s="23">
        <f>[48]GtS!$F$53</f>
        <v>0</v>
      </c>
      <c r="F41" s="23">
        <f>[49]GtS!$F$53</f>
        <v>0</v>
      </c>
      <c r="G41" s="34">
        <f>[50]GtS!$F$53</f>
        <v>0</v>
      </c>
      <c r="H41" s="155">
        <f>IF('AW Schulen'!$C17=0,"x",C41/'AW Schulen'!$C17)</f>
        <v>0</v>
      </c>
      <c r="I41" s="155">
        <f>IF('AW Schulen'!$F17=0,"x",D41/'AW Schulen'!$F17)</f>
        <v>0</v>
      </c>
      <c r="J41" s="155">
        <f>IF('AW Schulen'!$I17=0,"x",E41/'AW Schulen'!$I17)</f>
        <v>0</v>
      </c>
      <c r="K41" s="155">
        <f>IF('AW Schulen'!$L17=0,"x",F41/'AW Schulen'!$L17)</f>
        <v>0</v>
      </c>
      <c r="L41" s="156">
        <f>IF('AW Schulen'!$O17=0,"x",G41/'AW Schulen'!$O17)</f>
        <v>0</v>
      </c>
    </row>
    <row r="42" spans="1:12" ht="9" customHeight="1">
      <c r="A42" s="21" t="s">
        <v>92</v>
      </c>
      <c r="B42" s="120"/>
      <c r="C42" s="23">
        <f>[51]GtS!$F$51</f>
        <v>22</v>
      </c>
      <c r="D42" s="23">
        <f>[52]GtS!$F$53</f>
        <v>26</v>
      </c>
      <c r="E42" s="23">
        <f>[53]GtS!$F$53</f>
        <v>29</v>
      </c>
      <c r="F42" s="23">
        <f>[54]GtS!$F$53</f>
        <v>24</v>
      </c>
      <c r="G42" s="34">
        <f>[55]GtS!$F$53</f>
        <v>27</v>
      </c>
      <c r="H42" s="155">
        <f>IF('AW Schulen'!$C18=0,"x",C42/'AW Schulen'!$C18)</f>
        <v>0.28947368421052633</v>
      </c>
      <c r="I42" s="155">
        <f>IF('AW Schulen'!$F18=0,"x",D42/'AW Schulen'!$F18)</f>
        <v>0.33333333333333331</v>
      </c>
      <c r="J42" s="155">
        <f>IF('AW Schulen'!$I18=0,"x",E42/'AW Schulen'!$I18)</f>
        <v>0.36708860759493672</v>
      </c>
      <c r="K42" s="155">
        <f>IF('AW Schulen'!$L18=0,"x",F42/'AW Schulen'!$L18)</f>
        <v>0.3</v>
      </c>
      <c r="L42" s="156">
        <f>IF('AW Schulen'!$O18=0,"x",G42/'AW Schulen'!$O18)</f>
        <v>0.3253012048192771</v>
      </c>
    </row>
    <row r="43" spans="1:12" ht="9" customHeight="1">
      <c r="A43" s="21" t="s">
        <v>93</v>
      </c>
      <c r="B43" s="120"/>
      <c r="C43" s="35">
        <f>[76]GtS!$F$51</f>
        <v>0</v>
      </c>
      <c r="D43" s="35">
        <f>[77]GtS!$F$53</f>
        <v>0</v>
      </c>
      <c r="E43" s="35">
        <f>[78]GtS!$F$53</f>
        <v>0</v>
      </c>
      <c r="F43" s="35">
        <f>[79]GtS!$F$53</f>
        <v>0</v>
      </c>
      <c r="G43" s="200">
        <f>[80]GtS!$F$53</f>
        <v>0</v>
      </c>
      <c r="H43" s="183" t="str">
        <f>IF('AW Schulen'!$C19=0,".",C43/'AW Schulen'!$C19)</f>
        <v>.</v>
      </c>
      <c r="I43" s="183" t="str">
        <f>IF('AW Schulen'!$F19=0,".",D43/'AW Schulen'!$F19)</f>
        <v>.</v>
      </c>
      <c r="J43" s="183" t="str">
        <f>IF('AW Schulen'!$I19=0,".",E43/'AW Schulen'!$I19)</f>
        <v>.</v>
      </c>
      <c r="K43" s="183" t="str">
        <f>IF('AW Schulen'!$L19=0,".",F43/'AW Schulen'!$L19)</f>
        <v>.</v>
      </c>
      <c r="L43" s="197" t="str">
        <f>IF('AW Schulen'!$O19=0,".",G43/'AW Schulen'!$O19)</f>
        <v>.</v>
      </c>
    </row>
    <row r="44" spans="1:12" ht="9" customHeight="1">
      <c r="A44" s="21" t="s">
        <v>94</v>
      </c>
      <c r="B44" s="120"/>
      <c r="C44" s="23">
        <f>[56]GtS!$F$51</f>
        <v>0</v>
      </c>
      <c r="D44" s="23">
        <f>[57]GtS!$F$53</f>
        <v>0</v>
      </c>
      <c r="E44" s="23">
        <f>[58]GtS!$F$53</f>
        <v>0</v>
      </c>
      <c r="F44" s="23">
        <f>[59]GtS!$F$53</f>
        <v>0</v>
      </c>
      <c r="G44" s="34">
        <f>[60]GtS!$F$53</f>
        <v>0</v>
      </c>
      <c r="H44" s="155">
        <f>IF('AW Schulen'!$C20=0,"x",C44/'AW Schulen'!$C20)</f>
        <v>0</v>
      </c>
      <c r="I44" s="155">
        <f>IF('AW Schulen'!$F20=0,"x",D44/'AW Schulen'!$F20)</f>
        <v>0</v>
      </c>
      <c r="J44" s="155">
        <f>IF('AW Schulen'!$I20=0,"x",E44/'AW Schulen'!$I20)</f>
        <v>0</v>
      </c>
      <c r="K44" s="155">
        <f>IF('AW Schulen'!$L20=0,"x",F44/'AW Schulen'!$L20)</f>
        <v>0</v>
      </c>
      <c r="L44" s="156">
        <f>IF('AW Schulen'!$O20=0,"x",G44/'AW Schulen'!$O20)</f>
        <v>0</v>
      </c>
    </row>
    <row r="45" spans="1:12" ht="9" customHeight="1">
      <c r="A45" s="21" t="s">
        <v>95</v>
      </c>
      <c r="B45" s="120"/>
      <c r="C45" s="23">
        <f>[61]GtS!$F$51</f>
        <v>29</v>
      </c>
      <c r="D45" s="23">
        <f>[62]GtS!$F$53</f>
        <v>27</v>
      </c>
      <c r="E45" s="23">
        <f>[63]GtS!$F$53</f>
        <v>22</v>
      </c>
      <c r="F45" s="23">
        <f>[64]GtS!$F$53</f>
        <v>22</v>
      </c>
      <c r="G45" s="34">
        <f>[65]GtS!$F$53</f>
        <v>23</v>
      </c>
      <c r="H45" s="155">
        <f>IF('AW Schulen'!$C21=0,"x",C45/'AW Schulen'!$C21)</f>
        <v>0.82857142857142863</v>
      </c>
      <c r="I45" s="155">
        <f>IF('AW Schulen'!$F21=0,"x",D45/'AW Schulen'!$F21)</f>
        <v>0.81818181818181823</v>
      </c>
      <c r="J45" s="155">
        <f>IF('AW Schulen'!$I21=0,"x",E45/'AW Schulen'!$I21)</f>
        <v>0.70967741935483875</v>
      </c>
      <c r="K45" s="155">
        <f>IF('AW Schulen'!$L21=0,"x",F45/'AW Schulen'!$L21)</f>
        <v>0.73333333333333328</v>
      </c>
      <c r="L45" s="156">
        <f>IF('AW Schulen'!$O21=0,"x",G45/'AW Schulen'!$O21)</f>
        <v>0.76666666666666672</v>
      </c>
    </row>
    <row r="46" spans="1:12" ht="9" customHeight="1">
      <c r="A46" s="21" t="s">
        <v>96</v>
      </c>
      <c r="B46" s="120"/>
      <c r="C46" s="23">
        <f t="shared" ref="C46:E46" si="35">SUM(C30:C45)</f>
        <v>115</v>
      </c>
      <c r="D46" s="23">
        <f t="shared" si="35"/>
        <v>123</v>
      </c>
      <c r="E46" s="23">
        <f t="shared" si="35"/>
        <v>124</v>
      </c>
      <c r="F46" s="23">
        <f t="shared" ref="F46:G46" si="36">SUM(F30:F45)</f>
        <v>121</v>
      </c>
      <c r="G46" s="34">
        <f t="shared" si="36"/>
        <v>119</v>
      </c>
      <c r="H46" s="155">
        <f>IF('AW Schulen'!$C22=0,"x",C46/'AW Schulen'!$C22)</f>
        <v>0.16475644699140402</v>
      </c>
      <c r="I46" s="155">
        <f>IF('AW Schulen'!$F22=0,"x",D46/'AW Schulen'!$F22)</f>
        <v>0.17546362339514979</v>
      </c>
      <c r="J46" s="155">
        <f>IF('AW Schulen'!$I22=0,"x",E46/'AW Schulen'!$I22)</f>
        <v>0.17246175243393602</v>
      </c>
      <c r="K46" s="155">
        <f>IF('AW Schulen'!$L22=0,"x",F46/'AW Schulen'!$L22)</f>
        <v>0.16735822959889349</v>
      </c>
      <c r="L46" s="156">
        <f>IF('AW Schulen'!$O22=0,"x",G46/'AW Schulen'!$O22)</f>
        <v>0.16413793103448276</v>
      </c>
    </row>
    <row r="47" spans="1:12" ht="12.75" customHeight="1">
      <c r="A47" s="391" t="s">
        <v>99</v>
      </c>
      <c r="B47" s="392"/>
      <c r="C47" s="392"/>
      <c r="D47" s="392"/>
      <c r="E47" s="392"/>
      <c r="F47" s="392"/>
      <c r="G47" s="392"/>
      <c r="H47" s="392"/>
      <c r="I47" s="392"/>
      <c r="J47" s="392"/>
      <c r="K47" s="392"/>
      <c r="L47" s="393"/>
    </row>
    <row r="48" spans="1:12" ht="9" customHeight="1">
      <c r="A48" s="21" t="s">
        <v>80</v>
      </c>
      <c r="B48" s="34"/>
      <c r="C48" s="23">
        <f>[1]GtS!$G$51</f>
        <v>3</v>
      </c>
      <c r="D48" s="23">
        <f>[2]GtS!$G$53</f>
        <v>3</v>
      </c>
      <c r="E48" s="23">
        <f>[3]GtS!$G$53</f>
        <v>2</v>
      </c>
      <c r="F48" s="23">
        <f>[4]GtS!$G$53</f>
        <v>2</v>
      </c>
      <c r="G48" s="34">
        <f>[5]GtS!$G$53</f>
        <v>3</v>
      </c>
      <c r="H48" s="155">
        <f>IF('AW Schulen'!$C6=0,"x",C48/'AW Schulen'!$C6)</f>
        <v>2.9702970297029702E-2</v>
      </c>
      <c r="I48" s="155">
        <f>IF('AW Schulen'!$F6=0,"x",D48/'AW Schulen'!$F6)</f>
        <v>2.9411764705882353E-2</v>
      </c>
      <c r="J48" s="155">
        <f>IF('AW Schulen'!$I6=0,"x",E48/'AW Schulen'!$I6)</f>
        <v>1.9417475728155338E-2</v>
      </c>
      <c r="K48" s="155">
        <f>IF('AW Schulen'!$L6=0,"x",F48/'AW Schulen'!$L6)</f>
        <v>1.9607843137254902E-2</v>
      </c>
      <c r="L48" s="156">
        <f>IF('AW Schulen'!$O6=0,"x",G48/'AW Schulen'!$O6)</f>
        <v>2.9702970297029702E-2</v>
      </c>
    </row>
    <row r="49" spans="1:12" ht="9" customHeight="1">
      <c r="A49" s="21" t="s">
        <v>81</v>
      </c>
      <c r="B49" s="34"/>
      <c r="C49" s="23">
        <f>[6]GtS!$G$51</f>
        <v>5</v>
      </c>
      <c r="D49" s="23">
        <f>[7]GtS!$G$53</f>
        <v>9</v>
      </c>
      <c r="E49" s="23">
        <f>[8]GtS!$G$53</f>
        <v>7</v>
      </c>
      <c r="F49" s="23">
        <f>[9]GtS!$G$53</f>
        <v>8</v>
      </c>
      <c r="G49" s="34">
        <f>[10]GtS!$G$53</f>
        <v>9</v>
      </c>
      <c r="H49" s="155">
        <f>IF('AW Schulen'!$C7=0,"x",C49/'AW Schulen'!$C7)</f>
        <v>3.4482758620689655E-2</v>
      </c>
      <c r="I49" s="155">
        <f>IF('AW Schulen'!$F7=0,"x",D49/'AW Schulen'!$F7)</f>
        <v>6.1643835616438353E-2</v>
      </c>
      <c r="J49" s="155">
        <f>IF('AW Schulen'!$I7=0,"x",E49/'AW Schulen'!$I7)</f>
        <v>4.7619047619047616E-2</v>
      </c>
      <c r="K49" s="155">
        <f>IF('AW Schulen'!$L7=0,"x",F49/'AW Schulen'!$L7)</f>
        <v>5.4794520547945202E-2</v>
      </c>
      <c r="L49" s="156">
        <f>IF('AW Schulen'!$O7=0,"x",G49/'AW Schulen'!$O7)</f>
        <v>6.2068965517241378E-2</v>
      </c>
    </row>
    <row r="50" spans="1:12" ht="9" customHeight="1">
      <c r="A50" s="21" t="s">
        <v>82</v>
      </c>
      <c r="B50" s="34"/>
      <c r="C50" s="23">
        <f>[11]GtS!$G$51</f>
        <v>0</v>
      </c>
      <c r="D50" s="23">
        <f>[12]GtS!$G$53</f>
        <v>0</v>
      </c>
      <c r="E50" s="23">
        <f>[13]GtS!$G$53</f>
        <v>0</v>
      </c>
      <c r="F50" s="23">
        <f>[14]GtS!$G$53</f>
        <v>0</v>
      </c>
      <c r="G50" s="34">
        <f>[15]GtS!$G$53</f>
        <v>0</v>
      </c>
      <c r="H50" s="155">
        <f>IF('AW Schulen'!$C8=0,"x",C50/'AW Schulen'!$C8)</f>
        <v>0</v>
      </c>
      <c r="I50" s="155">
        <f>IF('AW Schulen'!$F8=0,"x",D50/'AW Schulen'!$F8)</f>
        <v>0</v>
      </c>
      <c r="J50" s="155">
        <f>IF('AW Schulen'!$I8=0,"x",E50/'AW Schulen'!$I8)</f>
        <v>0</v>
      </c>
      <c r="K50" s="155">
        <f>IF('AW Schulen'!$L8=0,"x",F50/'AW Schulen'!$L8)</f>
        <v>0</v>
      </c>
      <c r="L50" s="156">
        <f>IF('AW Schulen'!$O8=0,"x",G50/'AW Schulen'!$O8)</f>
        <v>0</v>
      </c>
    </row>
    <row r="51" spans="1:12" ht="9" customHeight="1">
      <c r="A51" s="21" t="s">
        <v>83</v>
      </c>
      <c r="B51" s="34"/>
      <c r="C51" s="23">
        <f>[16]GtS!$G$51</f>
        <v>0</v>
      </c>
      <c r="D51" s="23">
        <f>[17]GtS!$G$53</f>
        <v>0</v>
      </c>
      <c r="E51" s="23">
        <f>[18]GtS!$G$53</f>
        <v>0</v>
      </c>
      <c r="F51" s="23">
        <f>[19]GtS!$G$53</f>
        <v>0</v>
      </c>
      <c r="G51" s="34">
        <f>[20]GtS!$G$53</f>
        <v>0</v>
      </c>
      <c r="H51" s="155">
        <f>IF('AW Schulen'!$C9=0,"x",C51/'AW Schulen'!$C9)</f>
        <v>0</v>
      </c>
      <c r="I51" s="155">
        <f>IF('AW Schulen'!$F9=0,"x",D51/'AW Schulen'!$F9)</f>
        <v>0</v>
      </c>
      <c r="J51" s="155">
        <f>IF('AW Schulen'!$I9=0,"x",E51/'AW Schulen'!$I9)</f>
        <v>0</v>
      </c>
      <c r="K51" s="155">
        <f>IF('AW Schulen'!$L9=0,"x",F51/'AW Schulen'!$L9)</f>
        <v>0</v>
      </c>
      <c r="L51" s="156">
        <f>IF('AW Schulen'!$O9=0,"x",G51/'AW Schulen'!$O9)</f>
        <v>0</v>
      </c>
    </row>
    <row r="52" spans="1:12" ht="9" customHeight="1">
      <c r="A52" s="21" t="s">
        <v>84</v>
      </c>
      <c r="B52" s="34"/>
      <c r="C52" s="23">
        <f>[21]GtS!$G$51</f>
        <v>0</v>
      </c>
      <c r="D52" s="23">
        <f>[22]GtS!$G$53</f>
        <v>0</v>
      </c>
      <c r="E52" s="23">
        <f>[23]GtS!$G$53</f>
        <v>0</v>
      </c>
      <c r="F52" s="23">
        <f>[24]GtS!$G$53</f>
        <v>0</v>
      </c>
      <c r="G52" s="34">
        <f>[25]GtS!$G$53</f>
        <v>0</v>
      </c>
      <c r="H52" s="155">
        <f>IF('AW Schulen'!$C10=0,"x",C52/'AW Schulen'!$C10)</f>
        <v>0</v>
      </c>
      <c r="I52" s="155">
        <f>IF('AW Schulen'!$F10=0,"x",D52/'AW Schulen'!$F10)</f>
        <v>0</v>
      </c>
      <c r="J52" s="155">
        <f>IF('AW Schulen'!$I10=0,"x",E52/'AW Schulen'!$I10)</f>
        <v>0</v>
      </c>
      <c r="K52" s="155">
        <f>IF('AW Schulen'!$L10=0,"x",F52/'AW Schulen'!$L10)</f>
        <v>0</v>
      </c>
      <c r="L52" s="156">
        <f>IF('AW Schulen'!$O10=0,"x",G52/'AW Schulen'!$O10)</f>
        <v>0</v>
      </c>
    </row>
    <row r="53" spans="1:12" ht="9" customHeight="1">
      <c r="A53" s="21" t="s">
        <v>85</v>
      </c>
      <c r="B53" s="34"/>
      <c r="C53" s="23">
        <f>[26]GtS!$G$51</f>
        <v>0</v>
      </c>
      <c r="D53" s="23">
        <f>[27]GtS!$G$53</f>
        <v>0</v>
      </c>
      <c r="E53" s="23">
        <f>[28]GtS!$G$53</f>
        <v>0</v>
      </c>
      <c r="F53" s="23">
        <f>[29]GtS!$G$53</f>
        <v>0</v>
      </c>
      <c r="G53" s="34">
        <f>[30]GtS!$G$53</f>
        <v>0</v>
      </c>
      <c r="H53" s="155">
        <f>IF('AW Schulen'!$C11=0,"x",C53/'AW Schulen'!$C11)</f>
        <v>0</v>
      </c>
      <c r="I53" s="155">
        <f>IF('AW Schulen'!$F11=0,"x",D53/'AW Schulen'!$F11)</f>
        <v>0</v>
      </c>
      <c r="J53" s="155">
        <f>IF('AW Schulen'!$I11=0,"x",E53/'AW Schulen'!$I11)</f>
        <v>0</v>
      </c>
      <c r="K53" s="155">
        <f>IF('AW Schulen'!$L11=0,"x",F53/'AW Schulen'!$L11)</f>
        <v>0</v>
      </c>
      <c r="L53" s="156">
        <f>IF('AW Schulen'!$O11=0,"x",G53/'AW Schulen'!$O11)</f>
        <v>0</v>
      </c>
    </row>
    <row r="54" spans="1:12" ht="9" customHeight="1">
      <c r="A54" s="21" t="s">
        <v>86</v>
      </c>
      <c r="B54" s="34"/>
      <c r="C54" s="35">
        <f>[66]GtS!$G$51</f>
        <v>0</v>
      </c>
      <c r="D54" s="35">
        <f>[67]GtS!$G$53</f>
        <v>0</v>
      </c>
      <c r="E54" s="35">
        <f>[68]GtS!$G$53</f>
        <v>0</v>
      </c>
      <c r="F54" s="35">
        <f>[69]GtS!$G$53</f>
        <v>0</v>
      </c>
      <c r="G54" s="200">
        <f>[70]GtS!$G$53</f>
        <v>0</v>
      </c>
      <c r="H54" s="183">
        <f>IF('AW Schulen'!$C12=0,"x",C54/'AW Schulen'!$C12)</f>
        <v>0</v>
      </c>
      <c r="I54" s="183" t="str">
        <f>IF('AW Schulen'!$F12=0,".",D54/'AW Schulen'!$F12)</f>
        <v>.</v>
      </c>
      <c r="J54" s="183" t="str">
        <f>IF('AW Schulen'!$I12=0,".",E54/'AW Schulen'!$I12)</f>
        <v>.</v>
      </c>
      <c r="K54" s="183" t="str">
        <f>IF('AW Schulen'!$L12=0,".",F54/'AW Schulen'!$L12)</f>
        <v>.</v>
      </c>
      <c r="L54" s="197" t="str">
        <f>IF('AW Schulen'!$O12=0,".",G54/'AW Schulen'!$O12)</f>
        <v>.</v>
      </c>
    </row>
    <row r="55" spans="1:12" ht="9" customHeight="1">
      <c r="A55" s="21" t="s">
        <v>176</v>
      </c>
      <c r="B55" s="34"/>
      <c r="C55" s="23">
        <f>[31]GtS!$G$51</f>
        <v>1</v>
      </c>
      <c r="D55" s="23">
        <f>[32]GtS!$G$53</f>
        <v>0</v>
      </c>
      <c r="E55" s="23">
        <f>[33]GtS!$G$53</f>
        <v>0</v>
      </c>
      <c r="F55" s="23">
        <f>[34]GtS!$G$53</f>
        <v>1</v>
      </c>
      <c r="G55" s="34">
        <f>[35]GtS!$G$53</f>
        <v>0</v>
      </c>
      <c r="H55" s="155">
        <f>IF('AW Schulen'!$C13=0,"x",C55/'AW Schulen'!$C13)</f>
        <v>0.02</v>
      </c>
      <c r="I55" s="155">
        <f>IF('AW Schulen'!$F13=0,"x",D55/'AW Schulen'!$F13)</f>
        <v>0</v>
      </c>
      <c r="J55" s="155">
        <f>IF('AW Schulen'!$I13=0,"x",E55/'AW Schulen'!$I13)</f>
        <v>0</v>
      </c>
      <c r="K55" s="155">
        <f>IF('AW Schulen'!$L13=0,"x",F55/'AW Schulen'!$L13)</f>
        <v>1.9230769230769232E-2</v>
      </c>
      <c r="L55" s="156">
        <f>IF('AW Schulen'!$O13=0,"x",G55/'AW Schulen'!$O13)</f>
        <v>0</v>
      </c>
    </row>
    <row r="56" spans="1:12" ht="9" customHeight="1">
      <c r="A56" s="21" t="s">
        <v>88</v>
      </c>
      <c r="B56" s="34"/>
      <c r="C56" s="35">
        <f>[71]GtS!$G$51</f>
        <v>0</v>
      </c>
      <c r="D56" s="35">
        <f>[72]GtS!$G$53</f>
        <v>0</v>
      </c>
      <c r="E56" s="35">
        <f>[73]GtS!$G$53</f>
        <v>0</v>
      </c>
      <c r="F56" s="35">
        <f>[74]GtS!$G$53</f>
        <v>0</v>
      </c>
      <c r="G56" s="200">
        <f>[75]GtS!$G$53</f>
        <v>0</v>
      </c>
      <c r="H56" s="183">
        <f>IF('AW Schulen'!$C14=0,"x",C56/'AW Schulen'!$C14)</f>
        <v>0</v>
      </c>
      <c r="I56" s="183">
        <f>IF('AW Schulen'!$F14=0,"x",D56/'AW Schulen'!$F14)</f>
        <v>0</v>
      </c>
      <c r="J56" s="183">
        <f>IF('AW Schulen'!$I14=0,"x",E56/'AW Schulen'!$I14)</f>
        <v>0</v>
      </c>
      <c r="K56" s="183">
        <f>IF('AW Schulen'!$L14=0,"x",F56/'AW Schulen'!$L14)</f>
        <v>0</v>
      </c>
      <c r="L56" s="197">
        <f>IF('AW Schulen'!$O14=0,"x",G56/'AW Schulen'!$O14)</f>
        <v>0</v>
      </c>
    </row>
    <row r="57" spans="1:12" ht="9" customHeight="1">
      <c r="A57" s="21" t="s">
        <v>89</v>
      </c>
      <c r="B57" s="34"/>
      <c r="C57" s="23">
        <f>[36]GtS!$G$51</f>
        <v>0</v>
      </c>
      <c r="D57" s="23">
        <f>[37]GtS!$G$53</f>
        <v>0</v>
      </c>
      <c r="E57" s="23">
        <f>[38]GtS!$G$53</f>
        <v>0</v>
      </c>
      <c r="F57" s="23">
        <f>[39]GtS!$G$53</f>
        <v>0</v>
      </c>
      <c r="G57" s="34">
        <f>[40]GtS!$G$53</f>
        <v>0</v>
      </c>
      <c r="H57" s="155">
        <f>IF('AW Schulen'!$C15=0,"x",C57/'AW Schulen'!$C15)</f>
        <v>0</v>
      </c>
      <c r="I57" s="155">
        <f>IF('AW Schulen'!$F15=0,"x",D57/'AW Schulen'!$F15)</f>
        <v>0</v>
      </c>
      <c r="J57" s="155">
        <f>IF('AW Schulen'!$I15=0,"x",E57/'AW Schulen'!$I15)</f>
        <v>0</v>
      </c>
      <c r="K57" s="155">
        <f>IF('AW Schulen'!$L15=0,"x",F57/'AW Schulen'!$L15)</f>
        <v>0</v>
      </c>
      <c r="L57" s="156">
        <f>IF('AW Schulen'!$O15=0,"x",G57/'AW Schulen'!$O15)</f>
        <v>0</v>
      </c>
    </row>
    <row r="58" spans="1:12" ht="9" customHeight="1">
      <c r="A58" s="21" t="s">
        <v>90</v>
      </c>
      <c r="B58" s="34"/>
      <c r="C58" s="23">
        <f>[41]GtS!$G$51</f>
        <v>4</v>
      </c>
      <c r="D58" s="23">
        <f>[42]GtS!$G$53</f>
        <v>3</v>
      </c>
      <c r="E58" s="23">
        <f>[43]GtS!$G$53</f>
        <v>3</v>
      </c>
      <c r="F58" s="23">
        <f>[44]GtS!$G$53</f>
        <v>4</v>
      </c>
      <c r="G58" s="34">
        <f>[45]GtS!$G$53</f>
        <v>4</v>
      </c>
      <c r="H58" s="155">
        <f>IF('AW Schulen'!$C16=0,"x",C58/'AW Schulen'!$C16)</f>
        <v>0.19047619047619047</v>
      </c>
      <c r="I58" s="155">
        <f>IF('AW Schulen'!$F16=0,"x",D58/'AW Schulen'!$F16)</f>
        <v>0.13636363636363635</v>
      </c>
      <c r="J58" s="155">
        <f>IF('AW Schulen'!$I16=0,"x",E58/'AW Schulen'!$I16)</f>
        <v>0.125</v>
      </c>
      <c r="K58" s="155">
        <f>IF('AW Schulen'!$L16=0,"x",F58/'AW Schulen'!$L16)</f>
        <v>0.16666666666666666</v>
      </c>
      <c r="L58" s="156">
        <f>IF('AW Schulen'!$O16=0,"x",G58/'AW Schulen'!$O16)</f>
        <v>0.16666666666666666</v>
      </c>
    </row>
    <row r="59" spans="1:12" ht="9" customHeight="1">
      <c r="A59" s="21" t="s">
        <v>91</v>
      </c>
      <c r="B59" s="34"/>
      <c r="C59" s="23">
        <f>[46]GtS!$G$51</f>
        <v>0</v>
      </c>
      <c r="D59" s="23">
        <f>[47]GtS!$G$53</f>
        <v>0</v>
      </c>
      <c r="E59" s="23">
        <f>[48]GtS!$G$53</f>
        <v>0</v>
      </c>
      <c r="F59" s="23">
        <f>[49]GtS!$G$53</f>
        <v>0</v>
      </c>
      <c r="G59" s="34">
        <f>[50]GtS!$G$53</f>
        <v>0</v>
      </c>
      <c r="H59" s="155">
        <f>IF('AW Schulen'!$C17=0,"x",C59/'AW Schulen'!$C17)</f>
        <v>0</v>
      </c>
      <c r="I59" s="155">
        <f>IF('AW Schulen'!$F17=0,"x",D59/'AW Schulen'!$F17)</f>
        <v>0</v>
      </c>
      <c r="J59" s="155">
        <f>IF('AW Schulen'!$I17=0,"x",E59/'AW Schulen'!$I17)</f>
        <v>0</v>
      </c>
      <c r="K59" s="155">
        <f>IF('AW Schulen'!$L17=0,"x",F59/'AW Schulen'!$L17)</f>
        <v>0</v>
      </c>
      <c r="L59" s="156">
        <f>IF('AW Schulen'!$O17=0,"x",G59/'AW Schulen'!$O17)</f>
        <v>0</v>
      </c>
    </row>
    <row r="60" spans="1:12" ht="9" customHeight="1">
      <c r="A60" s="21" t="s">
        <v>92</v>
      </c>
      <c r="B60" s="34"/>
      <c r="C60" s="23">
        <f>[51]GtS!$G$51</f>
        <v>26</v>
      </c>
      <c r="D60" s="23">
        <f>[52]GtS!$G$53</f>
        <v>24</v>
      </c>
      <c r="E60" s="23">
        <f>[53]GtS!$G$53</f>
        <v>24</v>
      </c>
      <c r="F60" s="23">
        <f>[54]GtS!$G$53</f>
        <v>28</v>
      </c>
      <c r="G60" s="34">
        <f>[55]GtS!$G$53</f>
        <v>28</v>
      </c>
      <c r="H60" s="155">
        <f>IF('AW Schulen'!$C18=0,"x",C60/'AW Schulen'!$C18)</f>
        <v>0.34210526315789475</v>
      </c>
      <c r="I60" s="155">
        <f>IF('AW Schulen'!$F18=0,"x",D60/'AW Schulen'!$F18)</f>
        <v>0.30769230769230771</v>
      </c>
      <c r="J60" s="155">
        <f>IF('AW Schulen'!$I18=0,"x",E60/'AW Schulen'!$I18)</f>
        <v>0.30379746835443039</v>
      </c>
      <c r="K60" s="155">
        <f>IF('AW Schulen'!$L18=0,"x",F60/'AW Schulen'!$L18)</f>
        <v>0.35</v>
      </c>
      <c r="L60" s="156">
        <f>IF('AW Schulen'!$O18=0,"x",G60/'AW Schulen'!$O18)</f>
        <v>0.33734939759036142</v>
      </c>
    </row>
    <row r="61" spans="1:12" ht="9" customHeight="1">
      <c r="A61" s="21" t="s">
        <v>93</v>
      </c>
      <c r="B61" s="34"/>
      <c r="C61" s="35">
        <f>[76]GtS!$G$51</f>
        <v>0</v>
      </c>
      <c r="D61" s="35">
        <f>[77]GtS!$G$53</f>
        <v>0</v>
      </c>
      <c r="E61" s="35">
        <f>[78]GtS!$G$53</f>
        <v>0</v>
      </c>
      <c r="F61" s="35">
        <f>[79]GtS!$G$53</f>
        <v>0</v>
      </c>
      <c r="G61" s="200">
        <f>[80]GtS!$G$53</f>
        <v>0</v>
      </c>
      <c r="H61" s="183" t="str">
        <f>IF('AW Schulen'!$C19=0,".",C61/'AW Schulen'!$C19)</f>
        <v>.</v>
      </c>
      <c r="I61" s="183" t="str">
        <f>IF('AW Schulen'!$F19=0,".",D61/'AW Schulen'!$F19)</f>
        <v>.</v>
      </c>
      <c r="J61" s="183" t="str">
        <f>IF('AW Schulen'!$I19=0,".",E61/'AW Schulen'!$I19)</f>
        <v>.</v>
      </c>
      <c r="K61" s="183" t="str">
        <f>IF('AW Schulen'!$L19=0,".",F61/'AW Schulen'!$L19)</f>
        <v>.</v>
      </c>
      <c r="L61" s="197" t="str">
        <f>IF('AW Schulen'!$O19=0,".",G61/'AW Schulen'!$O19)</f>
        <v>.</v>
      </c>
    </row>
    <row r="62" spans="1:12" ht="9" customHeight="1">
      <c r="A62" s="21" t="s">
        <v>94</v>
      </c>
      <c r="B62" s="34"/>
      <c r="C62" s="23">
        <f>[56]GtS!$G$51</f>
        <v>0</v>
      </c>
      <c r="D62" s="23">
        <f>[57]GtS!$G$53</f>
        <v>0</v>
      </c>
      <c r="E62" s="23">
        <f>[58]GtS!$G$53</f>
        <v>0</v>
      </c>
      <c r="F62" s="23">
        <f>[59]GtS!$G$53</f>
        <v>0</v>
      </c>
      <c r="G62" s="34">
        <f>[60]GtS!$G$53</f>
        <v>0</v>
      </c>
      <c r="H62" s="155">
        <f>IF('AW Schulen'!$C20=0,"x",C62/'AW Schulen'!$C20)</f>
        <v>0</v>
      </c>
      <c r="I62" s="155">
        <f>IF('AW Schulen'!$F20=0,"x",D62/'AW Schulen'!$F20)</f>
        <v>0</v>
      </c>
      <c r="J62" s="155">
        <f>IF('AW Schulen'!$I20=0,"x",E62/'AW Schulen'!$I20)</f>
        <v>0</v>
      </c>
      <c r="K62" s="155">
        <f>IF('AW Schulen'!$L20=0,"x",F62/'AW Schulen'!$L20)</f>
        <v>0</v>
      </c>
      <c r="L62" s="156">
        <f>IF('AW Schulen'!$O20=0,"x",G62/'AW Schulen'!$O20)</f>
        <v>0</v>
      </c>
    </row>
    <row r="63" spans="1:12" ht="9" customHeight="1">
      <c r="A63" s="21" t="s">
        <v>95</v>
      </c>
      <c r="B63" s="34"/>
      <c r="C63" s="23">
        <f>[61]GtS!$G$51</f>
        <v>1</v>
      </c>
      <c r="D63" s="23">
        <f>[62]GtS!$G$53</f>
        <v>2</v>
      </c>
      <c r="E63" s="23">
        <f>[63]GtS!$G$53</f>
        <v>3</v>
      </c>
      <c r="F63" s="23">
        <f>[64]GtS!$G$53</f>
        <v>4</v>
      </c>
      <c r="G63" s="34">
        <f>[65]GtS!$G$53</f>
        <v>3</v>
      </c>
      <c r="H63" s="155">
        <f>IF('AW Schulen'!$C21=0,"x",C63/'AW Schulen'!$C21)</f>
        <v>2.8571428571428571E-2</v>
      </c>
      <c r="I63" s="155">
        <f>IF('AW Schulen'!$F21=0,"x",D63/'AW Schulen'!$F21)</f>
        <v>6.0606060606060608E-2</v>
      </c>
      <c r="J63" s="155">
        <f>IF('AW Schulen'!$I21=0,"x",E63/'AW Schulen'!$I21)</f>
        <v>9.6774193548387094E-2</v>
      </c>
      <c r="K63" s="155">
        <f>IF('AW Schulen'!$L21=0,"x",F63/'AW Schulen'!$L21)</f>
        <v>0.13333333333333333</v>
      </c>
      <c r="L63" s="156">
        <f>IF('AW Schulen'!$O21=0,"x",G63/'AW Schulen'!$O21)</f>
        <v>0.1</v>
      </c>
    </row>
    <row r="64" spans="1:12" ht="8.65" customHeight="1">
      <c r="A64" s="21" t="s">
        <v>96</v>
      </c>
      <c r="B64" s="34"/>
      <c r="C64" s="23">
        <f t="shared" ref="C64:E64" si="37">SUM(C48:C63)</f>
        <v>40</v>
      </c>
      <c r="D64" s="23">
        <f t="shared" si="37"/>
        <v>41</v>
      </c>
      <c r="E64" s="23">
        <f t="shared" si="37"/>
        <v>39</v>
      </c>
      <c r="F64" s="23">
        <f t="shared" ref="F64:G64" si="38">SUM(F48:F63)</f>
        <v>47</v>
      </c>
      <c r="G64" s="34">
        <f t="shared" si="38"/>
        <v>47</v>
      </c>
      <c r="H64" s="155">
        <f>IF('AW Schulen'!$C22=0,"x",C64/'AW Schulen'!$C22)</f>
        <v>5.730659025787966E-2</v>
      </c>
      <c r="I64" s="155">
        <f>IF('AW Schulen'!$F22=0,"x",D64/'AW Schulen'!$F22)</f>
        <v>5.8487874465049931E-2</v>
      </c>
      <c r="J64" s="155">
        <f>IF('AW Schulen'!$I22=0,"x",E64/'AW Schulen'!$I22)</f>
        <v>5.4242002781641166E-2</v>
      </c>
      <c r="K64" s="155">
        <f>IF('AW Schulen'!$L22=0,"x",F64/'AW Schulen'!$L22)</f>
        <v>6.5006915629322273E-2</v>
      </c>
      <c r="L64" s="156">
        <f>IF('AW Schulen'!$O22=0,"x",G64/'AW Schulen'!$O22)</f>
        <v>6.4827586206896548E-2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[1]GtS!$H$51</f>
        <v>7</v>
      </c>
      <c r="D66" s="23">
        <f>[2]GtS!$H$53</f>
        <v>5</v>
      </c>
      <c r="E66" s="23">
        <f>[3]GtS!$H$53</f>
        <v>5</v>
      </c>
      <c r="F66" s="23">
        <f>[4]GtS!$H$53</f>
        <v>5</v>
      </c>
      <c r="G66" s="34">
        <f>[5]GtS!$H$53</f>
        <v>5</v>
      </c>
      <c r="H66" s="155">
        <f>IF('AW Schulen'!$C6=0,"x",C66/'AW Schulen'!$C6)</f>
        <v>6.9306930693069313E-2</v>
      </c>
      <c r="I66" s="155">
        <f>IF('AW Schulen'!$F6=0,"x",D66/'AW Schulen'!$F6)</f>
        <v>4.9019607843137254E-2</v>
      </c>
      <c r="J66" s="155">
        <f>IF('AW Schulen'!$I6=0,"x",E66/'AW Schulen'!$I6)</f>
        <v>4.8543689320388349E-2</v>
      </c>
      <c r="K66" s="155">
        <f>IF('AW Schulen'!$L6=0,"x",F66/'AW Schulen'!$L6)</f>
        <v>4.9019607843137254E-2</v>
      </c>
      <c r="L66" s="156">
        <f>IF('AW Schulen'!$O6=0,"x",G66/'AW Schulen'!$O6)</f>
        <v>4.9504950495049507E-2</v>
      </c>
    </row>
    <row r="67" spans="1:12" ht="10.15" customHeight="1">
      <c r="A67" s="224" t="s">
        <v>81</v>
      </c>
      <c r="B67" s="120"/>
      <c r="C67" s="23">
        <f>[6]GtS!$H$51</f>
        <v>20</v>
      </c>
      <c r="D67" s="23">
        <f>[7]GtS!$H$53</f>
        <v>17</v>
      </c>
      <c r="E67" s="23">
        <f>[8]GtS!$H$53</f>
        <v>22</v>
      </c>
      <c r="F67" s="23">
        <f>[9]GtS!$H$53</f>
        <v>26</v>
      </c>
      <c r="G67" s="34">
        <f>[10]GtS!$H$53</f>
        <v>83</v>
      </c>
      <c r="H67" s="155">
        <f>IF('AW Schulen'!$C7=0,"x",C67/'AW Schulen'!$C7)</f>
        <v>0.13793103448275862</v>
      </c>
      <c r="I67" s="155">
        <f>IF('AW Schulen'!$F7=0,"x",D67/'AW Schulen'!$F7)</f>
        <v>0.11643835616438356</v>
      </c>
      <c r="J67" s="155">
        <f>IF('AW Schulen'!$I7=0,"x",E67/'AW Schulen'!$I7)</f>
        <v>0.14965986394557823</v>
      </c>
      <c r="K67" s="155">
        <f>IF('AW Schulen'!$L7=0,"x",F67/'AW Schulen'!$L7)</f>
        <v>0.17808219178082191</v>
      </c>
      <c r="L67" s="156">
        <f>IF('AW Schulen'!$O7=0,"x",G67/'AW Schulen'!$O7)</f>
        <v>0.57241379310344831</v>
      </c>
    </row>
    <row r="68" spans="1:12" ht="10.15" customHeight="1">
      <c r="A68" s="224" t="s">
        <v>82</v>
      </c>
      <c r="B68" s="120"/>
      <c r="C68" s="23">
        <f>[11]GtS!$H$51</f>
        <v>42</v>
      </c>
      <c r="D68" s="23">
        <f>[12]GtS!$H$53</f>
        <v>38</v>
      </c>
      <c r="E68" s="23">
        <f>[13]GtS!$H$53</f>
        <v>36</v>
      </c>
      <c r="F68" s="23">
        <f>[14]GtS!$H$53</f>
        <v>42</v>
      </c>
      <c r="G68" s="34">
        <f>[15]GtS!$H$53</f>
        <v>39</v>
      </c>
      <c r="H68" s="155">
        <f>IF('AW Schulen'!$C8=0,"x",C68/'AW Schulen'!$C8)</f>
        <v>0.75</v>
      </c>
      <c r="I68" s="155">
        <f>IF('AW Schulen'!$F8=0,"x",D68/'AW Schulen'!$F8)</f>
        <v>0.79166666666666663</v>
      </c>
      <c r="J68" s="155">
        <f>IF('AW Schulen'!$I8=0,"x",E68/'AW Schulen'!$I8)</f>
        <v>0.6</v>
      </c>
      <c r="K68" s="155">
        <f>IF('AW Schulen'!$L8=0,"x",F68/'AW Schulen'!$L8)</f>
        <v>0.71186440677966101</v>
      </c>
      <c r="L68" s="156">
        <f>IF('AW Schulen'!$O8=0,"x",G68/'AW Schulen'!$O8)</f>
        <v>0.6964285714285714</v>
      </c>
    </row>
    <row r="69" spans="1:12" ht="9" customHeight="1">
      <c r="A69" s="21" t="s">
        <v>83</v>
      </c>
      <c r="B69" s="120"/>
      <c r="C69" s="23">
        <f>[16]GtS!$H$51</f>
        <v>50</v>
      </c>
      <c r="D69" s="23">
        <f>[17]GtS!$H$53</f>
        <v>51</v>
      </c>
      <c r="E69" s="23">
        <f>[18]GtS!$H$53</f>
        <v>51</v>
      </c>
      <c r="F69" s="23">
        <f>[19]GtS!$H$53</f>
        <v>50</v>
      </c>
      <c r="G69" s="34">
        <f>[20]GtS!$H$53</f>
        <v>50</v>
      </c>
      <c r="H69" s="155">
        <f>IF('AW Schulen'!$C9=0,"x",C69/'AW Schulen'!$C9)</f>
        <v>0.80645161290322576</v>
      </c>
      <c r="I69" s="155">
        <f>IF('AW Schulen'!$F9=0,"x",D69/'AW Schulen'!$F9)</f>
        <v>0.80952380952380953</v>
      </c>
      <c r="J69" s="155">
        <f>IF('AW Schulen'!$I9=0,"x",E69/'AW Schulen'!$I9)</f>
        <v>0.80952380952380953</v>
      </c>
      <c r="K69" s="155">
        <f>IF('AW Schulen'!$L9=0,"x",F69/'AW Schulen'!$L9)</f>
        <v>0.76923076923076927</v>
      </c>
      <c r="L69" s="156">
        <f>IF('AW Schulen'!$O9=0,"x",G69/'AW Schulen'!$O9)</f>
        <v>0.76923076923076927</v>
      </c>
    </row>
    <row r="70" spans="1:12" ht="9" customHeight="1">
      <c r="A70" s="21" t="s">
        <v>84</v>
      </c>
      <c r="B70" s="120"/>
      <c r="C70" s="23">
        <f>[21]GtS!$H$51</f>
        <v>3</v>
      </c>
      <c r="D70" s="23">
        <f>[22]GtS!$H$53</f>
        <v>4</v>
      </c>
      <c r="E70" s="23">
        <f>[23]GtS!$H$53</f>
        <v>4</v>
      </c>
      <c r="F70" s="23">
        <f>[24]GtS!$H$53</f>
        <v>4</v>
      </c>
      <c r="G70" s="34">
        <f>[25]GtS!$H$53</f>
        <v>4</v>
      </c>
      <c r="H70" s="155">
        <f>IF('AW Schulen'!$C10=0,"x",C70/'AW Schulen'!$C10)</f>
        <v>0.33333333333333331</v>
      </c>
      <c r="I70" s="155">
        <f>IF('AW Schulen'!$F10=0,"x",D70/'AW Schulen'!$F10)</f>
        <v>0.44444444444444442</v>
      </c>
      <c r="J70" s="155">
        <f>IF('AW Schulen'!$I10=0,"x",E70/'AW Schulen'!$I10)</f>
        <v>0.5</v>
      </c>
      <c r="K70" s="155">
        <f>IF('AW Schulen'!$L10=0,"x",F70/'AW Schulen'!$L10)</f>
        <v>0.5</v>
      </c>
      <c r="L70" s="156">
        <f>IF('AW Schulen'!$O10=0,"x",G70/'AW Schulen'!$O10)</f>
        <v>0.5714285714285714</v>
      </c>
    </row>
    <row r="71" spans="1:12" ht="9" customHeight="1">
      <c r="A71" s="21" t="s">
        <v>85</v>
      </c>
      <c r="B71" s="120"/>
      <c r="C71" s="23">
        <f>[26]GtS!$H$51</f>
        <v>8</v>
      </c>
      <c r="D71" s="23">
        <f>[27]GtS!$H$53</f>
        <v>15</v>
      </c>
      <c r="E71" s="23">
        <f>[28]GtS!$H$53</f>
        <v>18</v>
      </c>
      <c r="F71" s="23">
        <f>[29]GtS!$H$53</f>
        <v>19</v>
      </c>
      <c r="G71" s="34">
        <f>[30]GtS!$H$53</f>
        <v>19</v>
      </c>
      <c r="H71" s="155">
        <f>IF('AW Schulen'!$C11=0,"x",C71/'AW Schulen'!$C11)</f>
        <v>0.27586206896551724</v>
      </c>
      <c r="I71" s="155">
        <f>IF('AW Schulen'!$F11=0,"x",D71/'AW Schulen'!$F11)</f>
        <v>0.5</v>
      </c>
      <c r="J71" s="155">
        <f>IF('AW Schulen'!$I11=0,"x",E71/'AW Schulen'!$I11)</f>
        <v>0.58064516129032262</v>
      </c>
      <c r="K71" s="155">
        <f>IF('AW Schulen'!$L11=0,"x",F71/'AW Schulen'!$L11)</f>
        <v>0.6333333333333333</v>
      </c>
      <c r="L71" s="156">
        <f>IF('AW Schulen'!$O11=0,"x",G71/'AW Schulen'!$O11)</f>
        <v>0.6333333333333333</v>
      </c>
    </row>
    <row r="72" spans="1:12" ht="9" customHeight="1">
      <c r="A72" s="21" t="s">
        <v>86</v>
      </c>
      <c r="B72" s="120"/>
      <c r="C72" s="35">
        <f>[66]GtS!$H$51</f>
        <v>0</v>
      </c>
      <c r="D72" s="35">
        <f>[67]GtS!$H$53</f>
        <v>0</v>
      </c>
      <c r="E72" s="35">
        <f>[68]GtS!$H$53</f>
        <v>0</v>
      </c>
      <c r="F72" s="35">
        <f>[69]GtS!$H$53</f>
        <v>0</v>
      </c>
      <c r="G72" s="200">
        <f>[70]GtS!$H$53</f>
        <v>0</v>
      </c>
      <c r="H72" s="183">
        <f>IF('AW Schulen'!$C12=0,"x",C72/'AW Schulen'!$C12)</f>
        <v>0</v>
      </c>
      <c r="I72" s="183" t="str">
        <f>IF('AW Schulen'!$F12=0,".",D72/'AW Schulen'!$F12)</f>
        <v>.</v>
      </c>
      <c r="J72" s="183" t="str">
        <f>IF('AW Schulen'!$I12=0,".",E72/'AW Schulen'!$I12)</f>
        <v>.</v>
      </c>
      <c r="K72" s="183" t="str">
        <f>IF('AW Schulen'!$L12=0,".",F72/'AW Schulen'!$L12)</f>
        <v>.</v>
      </c>
      <c r="L72" s="197" t="str">
        <f>IF('AW Schulen'!$O12=0,".",G72/'AW Schulen'!$O12)</f>
        <v>.</v>
      </c>
    </row>
    <row r="73" spans="1:12" ht="9" customHeight="1">
      <c r="A73" s="21" t="s">
        <v>176</v>
      </c>
      <c r="B73" s="120"/>
      <c r="C73" s="23">
        <f>[31]GtS!$H$51</f>
        <v>5</v>
      </c>
      <c r="D73" s="23">
        <f>[32]GtS!$H$53</f>
        <v>5</v>
      </c>
      <c r="E73" s="23">
        <f>[33]GtS!$H$53</f>
        <v>5</v>
      </c>
      <c r="F73" s="23">
        <f>[34]GtS!$H$53</f>
        <v>8</v>
      </c>
      <c r="G73" s="34">
        <f>[35]GtS!$H$53</f>
        <v>0</v>
      </c>
      <c r="H73" s="155">
        <f>IF('AW Schulen'!$C13=0,"x",C73/'AW Schulen'!$C13)</f>
        <v>0.1</v>
      </c>
      <c r="I73" s="155">
        <f>IF('AW Schulen'!$F13=0,"x",D73/'AW Schulen'!$F13)</f>
        <v>9.6153846153846159E-2</v>
      </c>
      <c r="J73" s="155">
        <f>IF('AW Schulen'!$I13=0,"x",E73/'AW Schulen'!$I13)</f>
        <v>9.4339622641509441E-2</v>
      </c>
      <c r="K73" s="155">
        <f>IF('AW Schulen'!$L13=0,"x",F73/'AW Schulen'!$L13)</f>
        <v>0.15384615384615385</v>
      </c>
      <c r="L73" s="156">
        <f>IF('AW Schulen'!$O13=0,"x",G73/'AW Schulen'!$O13)</f>
        <v>0</v>
      </c>
    </row>
    <row r="74" spans="1:12" ht="9" customHeight="1">
      <c r="A74" s="21" t="s">
        <v>88</v>
      </c>
      <c r="B74" s="120"/>
      <c r="C74" s="35">
        <f>[71]GtS!$H$51</f>
        <v>0</v>
      </c>
      <c r="D74" s="35">
        <f>[72]GtS!$H$53</f>
        <v>0</v>
      </c>
      <c r="E74" s="35">
        <f>[73]GtS!$H$53</f>
        <v>0</v>
      </c>
      <c r="F74" s="35">
        <f>[74]GtS!$H$53</f>
        <v>0</v>
      </c>
      <c r="G74" s="200">
        <f>[75]GtS!$H$53</f>
        <v>0</v>
      </c>
      <c r="H74" s="183">
        <f>IF('AW Schulen'!$C14=0,"x",C74/'AW Schulen'!$C14)</f>
        <v>0</v>
      </c>
      <c r="I74" s="183">
        <f>IF('AW Schulen'!$F14=0,"x",D74/'AW Schulen'!$F14)</f>
        <v>0</v>
      </c>
      <c r="J74" s="183">
        <f>IF('AW Schulen'!$I14=0,"x",E74/'AW Schulen'!$I14)</f>
        <v>0</v>
      </c>
      <c r="K74" s="183">
        <f>IF('AW Schulen'!$L14=0,"x",F74/'AW Schulen'!$L14)</f>
        <v>0</v>
      </c>
      <c r="L74" s="197">
        <f>IF('AW Schulen'!$O14=0,"x",G74/'AW Schulen'!$O14)</f>
        <v>0</v>
      </c>
    </row>
    <row r="75" spans="1:12" ht="9" customHeight="1">
      <c r="A75" s="21" t="s">
        <v>89</v>
      </c>
      <c r="B75" s="120"/>
      <c r="C75" s="23">
        <f>[36]GtS!$H$51</f>
        <v>24</v>
      </c>
      <c r="D75" s="23">
        <f>[37]GtS!$H$53</f>
        <v>25</v>
      </c>
      <c r="E75" s="23">
        <f>[38]GtS!$H$53</f>
        <v>27</v>
      </c>
      <c r="F75" s="23">
        <f>[39]GtS!$H$53</f>
        <v>33</v>
      </c>
      <c r="G75" s="34">
        <f>[40]GtS!$H$53</f>
        <v>34</v>
      </c>
      <c r="H75" s="155">
        <f>IF('AW Schulen'!$C15=0,"x",C75/'AW Schulen'!$C15)</f>
        <v>0.47058823529411764</v>
      </c>
      <c r="I75" s="155">
        <f>IF('AW Schulen'!$F15=0,"x",D75/'AW Schulen'!$F15)</f>
        <v>0.46296296296296297</v>
      </c>
      <c r="J75" s="155">
        <f>IF('AW Schulen'!$I15=0,"x",E75/'AW Schulen'!$I15)</f>
        <v>0.48214285714285715</v>
      </c>
      <c r="K75" s="155">
        <f>IF('AW Schulen'!$L15=0,"x",F75/'AW Schulen'!$L15)</f>
        <v>0.55000000000000004</v>
      </c>
      <c r="L75" s="156">
        <f>IF('AW Schulen'!$O15=0,"x",G75/'AW Schulen'!$O15)</f>
        <v>0.53968253968253965</v>
      </c>
    </row>
    <row r="76" spans="1:12" ht="9" customHeight="1">
      <c r="A76" s="21" t="s">
        <v>90</v>
      </c>
      <c r="B76" s="120"/>
      <c r="C76" s="23">
        <f>[41]GtS!$H$51</f>
        <v>3</v>
      </c>
      <c r="D76" s="23">
        <f>[42]GtS!$H$53</f>
        <v>5</v>
      </c>
      <c r="E76" s="23">
        <f>[43]GtS!$H$53</f>
        <v>6</v>
      </c>
      <c r="F76" s="23">
        <f>[44]GtS!$H$53</f>
        <v>9</v>
      </c>
      <c r="G76" s="34">
        <f>[45]GtS!$H$53</f>
        <v>8</v>
      </c>
      <c r="H76" s="155">
        <f>IF('AW Schulen'!$C16=0,"x",C76/'AW Schulen'!$C16)</f>
        <v>0.14285714285714285</v>
      </c>
      <c r="I76" s="155">
        <f>IF('AW Schulen'!$F16=0,"x",D76/'AW Schulen'!$F16)</f>
        <v>0.22727272727272727</v>
      </c>
      <c r="J76" s="155">
        <f>IF('AW Schulen'!$I16=0,"x",E76/'AW Schulen'!$I16)</f>
        <v>0.25</v>
      </c>
      <c r="K76" s="155">
        <f>IF('AW Schulen'!$L16=0,"x",F76/'AW Schulen'!$L16)</f>
        <v>0.375</v>
      </c>
      <c r="L76" s="156">
        <f>IF('AW Schulen'!$O16=0,"x",G76/'AW Schulen'!$O16)</f>
        <v>0.33333333333333331</v>
      </c>
    </row>
    <row r="77" spans="1:12" ht="9" customHeight="1">
      <c r="A77" s="21" t="s">
        <v>91</v>
      </c>
      <c r="B77" s="120"/>
      <c r="C77" s="23">
        <f>[46]GtS!$H$51</f>
        <v>7</v>
      </c>
      <c r="D77" s="23">
        <f>[47]GtS!$H$53</f>
        <v>7</v>
      </c>
      <c r="E77" s="23">
        <f>[48]GtS!$H$53</f>
        <v>7</v>
      </c>
      <c r="F77" s="23">
        <f>[49]GtS!$H$53</f>
        <v>7</v>
      </c>
      <c r="G77" s="34">
        <f>[50]GtS!$H$53</f>
        <v>7</v>
      </c>
      <c r="H77" s="155">
        <f>IF('AW Schulen'!$C17=0,"x",C77/'AW Schulen'!$C17)</f>
        <v>1</v>
      </c>
      <c r="I77" s="155">
        <f>IF('AW Schulen'!$F17=0,"x",D77/'AW Schulen'!$F17)</f>
        <v>1</v>
      </c>
      <c r="J77" s="155">
        <f>IF('AW Schulen'!$I17=0,"x",E77/'AW Schulen'!$I17)</f>
        <v>1</v>
      </c>
      <c r="K77" s="155">
        <f>IF('AW Schulen'!$L17=0,"x",F77/'AW Schulen'!$L17)</f>
        <v>1</v>
      </c>
      <c r="L77" s="156">
        <f>IF('AW Schulen'!$O17=0,"x",G77/'AW Schulen'!$O17)</f>
        <v>1</v>
      </c>
    </row>
    <row r="78" spans="1:12" ht="9" customHeight="1">
      <c r="A78" s="21" t="s">
        <v>92</v>
      </c>
      <c r="B78" s="120"/>
      <c r="C78" s="23">
        <f>[51]GtS!$H$51</f>
        <v>17</v>
      </c>
      <c r="D78" s="23">
        <f>[52]GtS!$H$53</f>
        <v>20</v>
      </c>
      <c r="E78" s="23">
        <f>[53]GtS!$H$53</f>
        <v>18</v>
      </c>
      <c r="F78" s="23">
        <f>[54]GtS!$H$53</f>
        <v>19</v>
      </c>
      <c r="G78" s="34">
        <f>[55]GtS!$H$53</f>
        <v>20</v>
      </c>
      <c r="H78" s="155">
        <f>IF('AW Schulen'!$C18=0,"x",C78/'AW Schulen'!$C18)</f>
        <v>0.22368421052631579</v>
      </c>
      <c r="I78" s="155">
        <f>IF('AW Schulen'!$F18=0,"x",D78/'AW Schulen'!$F18)</f>
        <v>0.25641025641025639</v>
      </c>
      <c r="J78" s="155">
        <f>IF('AW Schulen'!$I18=0,"x",E78/'AW Schulen'!$I18)</f>
        <v>0.22784810126582278</v>
      </c>
      <c r="K78" s="155">
        <f>IF('AW Schulen'!$L18=0,"x",F78/'AW Schulen'!$L18)</f>
        <v>0.23749999999999999</v>
      </c>
      <c r="L78" s="156">
        <f>IF('AW Schulen'!$O18=0,"x",G78/'AW Schulen'!$O18)</f>
        <v>0.24096385542168675</v>
      </c>
    </row>
    <row r="79" spans="1:12" ht="9" customHeight="1">
      <c r="A79" s="21" t="s">
        <v>93</v>
      </c>
      <c r="B79" s="120"/>
      <c r="C79" s="35">
        <f>[76]GtS!$H$51</f>
        <v>0</v>
      </c>
      <c r="D79" s="35">
        <f>[77]GtS!$H$53</f>
        <v>0</v>
      </c>
      <c r="E79" s="35">
        <f>[78]GtS!$H$53</f>
        <v>0</v>
      </c>
      <c r="F79" s="35">
        <f>[79]GtS!$H$53</f>
        <v>0</v>
      </c>
      <c r="G79" s="200">
        <f>[80]GtS!$H$53</f>
        <v>0</v>
      </c>
      <c r="H79" s="183" t="str">
        <f>IF('AW Schulen'!$C19=0,".",C79/'AW Schulen'!$C19)</f>
        <v>.</v>
      </c>
      <c r="I79" s="183" t="str">
        <f>IF('AW Schulen'!$F19=0,".",D79/'AW Schulen'!$F19)</f>
        <v>.</v>
      </c>
      <c r="J79" s="183" t="str">
        <f>IF('AW Schulen'!$I19=0,".",E79/'AW Schulen'!$I19)</f>
        <v>.</v>
      </c>
      <c r="K79" s="183" t="str">
        <f>IF('AW Schulen'!$L19=0,".",F79/'AW Schulen'!$L19)</f>
        <v>.</v>
      </c>
      <c r="L79" s="197" t="str">
        <f>IF('AW Schulen'!$O19=0,".",G79/'AW Schulen'!$O19)</f>
        <v>.</v>
      </c>
    </row>
    <row r="80" spans="1:12" ht="9" customHeight="1">
      <c r="A80" s="21" t="s">
        <v>94</v>
      </c>
      <c r="B80" s="120"/>
      <c r="C80" s="23">
        <f>[56]GtS!$H$51</f>
        <v>6</v>
      </c>
      <c r="D80" s="23">
        <f>[57]GtS!$H$53</f>
        <v>5</v>
      </c>
      <c r="E80" s="23">
        <f>[58]GtS!$H$53</f>
        <v>11</v>
      </c>
      <c r="F80" s="23">
        <f>[59]GtS!$H$53</f>
        <v>12</v>
      </c>
      <c r="G80" s="34">
        <f>[60]GtS!$H$53</f>
        <v>15</v>
      </c>
      <c r="H80" s="155">
        <f>IF('AW Schulen'!$C20=0,"x",C80/'AW Schulen'!$C20)</f>
        <v>0.10714285714285714</v>
      </c>
      <c r="I80" s="155">
        <f>IF('AW Schulen'!$F20=0,"x",D80/'AW Schulen'!$F20)</f>
        <v>8.771929824561403E-2</v>
      </c>
      <c r="J80" s="155">
        <f>IF('AW Schulen'!$I20=0,"x",E80/'AW Schulen'!$I20)</f>
        <v>0.19298245614035087</v>
      </c>
      <c r="K80" s="155">
        <f>IF('AW Schulen'!$L20=0,"x",F80/'AW Schulen'!$L20)</f>
        <v>0.2</v>
      </c>
      <c r="L80" s="156">
        <f>IF('AW Schulen'!$O20=0,"x",G80/'AW Schulen'!$O20)</f>
        <v>0.24193548387096775</v>
      </c>
    </row>
    <row r="81" spans="1:12" ht="9" customHeight="1">
      <c r="A81" s="21" t="s">
        <v>95</v>
      </c>
      <c r="B81" s="120"/>
      <c r="C81" s="23">
        <f>[61]GtS!$H$51</f>
        <v>5</v>
      </c>
      <c r="D81" s="23">
        <f>[62]GtS!$H$53</f>
        <v>4</v>
      </c>
      <c r="E81" s="23">
        <f>[63]GtS!$H$53</f>
        <v>6</v>
      </c>
      <c r="F81" s="23">
        <f>[64]GtS!$H$53</f>
        <v>4</v>
      </c>
      <c r="G81" s="34">
        <f>[65]GtS!$H$53</f>
        <v>4</v>
      </c>
      <c r="H81" s="155">
        <f>IF('AW Schulen'!$C21=0,"x",C81/'AW Schulen'!$C21)</f>
        <v>0.14285714285714285</v>
      </c>
      <c r="I81" s="155">
        <f>IF('AW Schulen'!$F21=0,"x",D81/'AW Schulen'!$F21)</f>
        <v>0.12121212121212122</v>
      </c>
      <c r="J81" s="155">
        <f>IF('AW Schulen'!$I21=0,"x",E81/'AW Schulen'!$I21)</f>
        <v>0.19354838709677419</v>
      </c>
      <c r="K81" s="155">
        <f>IF('AW Schulen'!$L21=0,"x",F81/'AW Schulen'!$L21)</f>
        <v>0.13333333333333333</v>
      </c>
      <c r="L81" s="156">
        <f>IF('AW Schulen'!$O21=0,"x",G81/'AW Schulen'!$O21)</f>
        <v>0.13333333333333333</v>
      </c>
    </row>
    <row r="82" spans="1:12" ht="9" customHeight="1">
      <c r="A82" s="24" t="s">
        <v>96</v>
      </c>
      <c r="B82" s="121"/>
      <c r="C82" s="26">
        <f t="shared" ref="C82:E82" si="39">SUM(C66:C81)</f>
        <v>197</v>
      </c>
      <c r="D82" s="26">
        <f t="shared" si="39"/>
        <v>201</v>
      </c>
      <c r="E82" s="26">
        <f t="shared" si="39"/>
        <v>216</v>
      </c>
      <c r="F82" s="26">
        <f t="shared" ref="F82:G82" si="40">SUM(F66:F81)</f>
        <v>238</v>
      </c>
      <c r="G82" s="47">
        <f t="shared" si="40"/>
        <v>288</v>
      </c>
      <c r="H82" s="157">
        <f>IF('AW Schulen'!$C22=0,"x",C82/'AW Schulen'!$C22)</f>
        <v>0.2822349570200573</v>
      </c>
      <c r="I82" s="157">
        <f>IF('AW Schulen'!$F22=0,"x",D82/'AW Schulen'!$F22)</f>
        <v>0.28673323823109842</v>
      </c>
      <c r="J82" s="157">
        <f>IF('AW Schulen'!$I22=0,"x",E82/'AW Schulen'!$I22)</f>
        <v>0.3004172461752434</v>
      </c>
      <c r="K82" s="157">
        <f>IF('AW Schulen'!$L22=0,"x",F82/'AW Schulen'!$L22)</f>
        <v>0.32918395573997233</v>
      </c>
      <c r="L82" s="158">
        <f>IF('AW Schulen'!$O22=0,"x",G82/'AW Schulen'!$O22)</f>
        <v>0.39724137931034481</v>
      </c>
    </row>
    <row r="83" spans="1:12" ht="18.75" customHeight="1">
      <c r="A83" s="396" t="s">
        <v>312</v>
      </c>
      <c r="B83" s="396"/>
      <c r="C83" s="396"/>
      <c r="D83" s="396"/>
      <c r="E83" s="396"/>
      <c r="F83" s="396"/>
      <c r="G83" s="396"/>
      <c r="H83" s="396"/>
      <c r="I83" s="396"/>
      <c r="J83" s="396"/>
      <c r="K83" s="396"/>
      <c r="L83" s="396"/>
    </row>
    <row r="84" spans="1:12" s="215" customFormat="1" ht="10.15" customHeight="1">
      <c r="A84" s="220" t="s">
        <v>166</v>
      </c>
      <c r="B84" s="220"/>
      <c r="C84" s="220"/>
      <c r="D84" s="220"/>
      <c r="E84" s="220"/>
      <c r="F84" s="318"/>
      <c r="G84" s="346"/>
      <c r="I84" s="237"/>
      <c r="J84" s="247"/>
      <c r="K84" s="316"/>
      <c r="L84" s="343"/>
    </row>
    <row r="85" spans="1:12" s="268" customFormat="1" ht="10.15" customHeight="1">
      <c r="A85" s="220" t="s">
        <v>220</v>
      </c>
      <c r="B85" s="220"/>
      <c r="C85" s="220"/>
      <c r="D85" s="220"/>
      <c r="E85" s="220"/>
      <c r="F85" s="318"/>
      <c r="G85" s="346"/>
      <c r="K85" s="316"/>
      <c r="L85" s="343"/>
    </row>
    <row r="86" spans="1:12" s="215" customFormat="1" ht="10.15" customHeight="1">
      <c r="A86" s="214"/>
      <c r="D86" s="237"/>
      <c r="E86" s="247"/>
      <c r="F86" s="316"/>
      <c r="G86" s="343"/>
      <c r="I86" s="237"/>
      <c r="J86" s="247"/>
      <c r="K86" s="316"/>
      <c r="L86" s="343"/>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46" priority="1" stopIfTrue="1" operator="greaterThan">
      <formula>1</formula>
    </cfRule>
  </conditionalFormatting>
  <hyperlinks>
    <hyperlink ref="M1" location="Inhalt!A1" display="Inhalt!A1"/>
  </hyperlinks>
  <printOptions horizontalCentered="1" vertic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M85"/>
  <sheetViews>
    <sheetView view="pageBreakPreview" topLeftCell="A76" zoomScale="175" zoomScaleNormal="130" zoomScaleSheetLayoutView="175"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'2.3.1'!A1:E1+1</f>
        <v>25</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2.6" customHeight="1">
      <c r="A5" s="13" t="s">
        <v>30</v>
      </c>
      <c r="B5" s="48" t="s">
        <v>9</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C28" si="0">SUM(C30+C48+C66)</f>
        <v>0</v>
      </c>
      <c r="D12" s="149">
        <f t="shared" ref="D12:E12" si="1">SUM(D30+D48+D66)</f>
        <v>0</v>
      </c>
      <c r="E12" s="149">
        <f t="shared" si="1"/>
        <v>0</v>
      </c>
      <c r="F12" s="149">
        <f t="shared" ref="F12:G12" si="2">SUM(F30+F48+F66)</f>
        <v>0</v>
      </c>
      <c r="G12" s="150">
        <f t="shared" si="2"/>
        <v>0</v>
      </c>
      <c r="H12" s="153" t="str">
        <f>IF('AW Schulen'!$C24=0,"x",C12/'AW Schulen'!$C24)</f>
        <v>x</v>
      </c>
      <c r="I12" s="153" t="str">
        <f>IF('AW Schulen'!$F24=0,"x",D12/'AW Schulen'!$F24)</f>
        <v>x</v>
      </c>
      <c r="J12" s="153" t="str">
        <f>IF('AW Schulen'!$I24=0,"x",E12/'AW Schulen'!$I24)</f>
        <v>x</v>
      </c>
      <c r="K12" s="153" t="str">
        <f>IF('AW Schulen'!$L24=0,"x",F12/'AW Schulen'!$L24)</f>
        <v>x</v>
      </c>
      <c r="L12" s="154" t="str">
        <f>IF('AW Schulen'!$O24=0,"x",G12/'AW Schulen'!$O24)</f>
        <v>x</v>
      </c>
    </row>
    <row r="13" spans="1:13" ht="9" customHeight="1">
      <c r="A13" s="21" t="s">
        <v>81</v>
      </c>
      <c r="B13" s="120"/>
      <c r="C13" s="149">
        <f t="shared" si="0"/>
        <v>0</v>
      </c>
      <c r="D13" s="149">
        <f t="shared" ref="D13:E13" si="3">SUM(D31+D49+D67)</f>
        <v>0</v>
      </c>
      <c r="E13" s="149">
        <f t="shared" si="3"/>
        <v>0</v>
      </c>
      <c r="F13" s="149" t="e">
        <f t="shared" ref="F13:G13" si="4">SUM(F31+F49+F67)</f>
        <v>#VALUE!</v>
      </c>
      <c r="G13" s="150">
        <f t="shared" si="4"/>
        <v>0</v>
      </c>
      <c r="H13" s="153" t="str">
        <f>IF('AW Schulen'!$C25=0,"x",C13/'AW Schulen'!$C25)</f>
        <v>x</v>
      </c>
      <c r="I13" s="153" t="str">
        <f>IF('AW Schulen'!$F25=0,"x",D13/'AW Schulen'!$F25)</f>
        <v>x</v>
      </c>
      <c r="J13" s="153" t="str">
        <f>IF('AW Schulen'!$I25=0,"x",E13/'AW Schulen'!$I25)</f>
        <v>x</v>
      </c>
      <c r="K13" s="153" t="e">
        <f>IF('AW Schulen'!$L25=0,"x",F13/'AW Schulen'!$L25)</f>
        <v>#VALUE!</v>
      </c>
      <c r="L13" s="154" t="str">
        <f>IF('AW Schulen'!$O25=0,"x",G13/'AW Schulen'!$O25)</f>
        <v>x</v>
      </c>
    </row>
    <row r="14" spans="1:13" ht="9" customHeight="1">
      <c r="A14" s="21" t="s">
        <v>82</v>
      </c>
      <c r="B14" s="120"/>
      <c r="C14" s="42">
        <f t="shared" si="0"/>
        <v>41</v>
      </c>
      <c r="D14" s="42">
        <f t="shared" ref="D14:E14" si="5">SUM(D32+D50+D68)</f>
        <v>40</v>
      </c>
      <c r="E14" s="42">
        <f t="shared" si="5"/>
        <v>36</v>
      </c>
      <c r="F14" s="42">
        <f t="shared" ref="F14:G14" si="6">SUM(F32+F50+F68)</f>
        <v>52</v>
      </c>
      <c r="G14" s="44">
        <f t="shared" si="6"/>
        <v>47</v>
      </c>
      <c r="H14" s="153">
        <f>IF('AW Schulen'!$C26=0,"x",C14/'AW Schulen'!$C26)</f>
        <v>0.82</v>
      </c>
      <c r="I14" s="153">
        <f>IF('AW Schulen'!$F26=0,"x",D14/'AW Schulen'!$F26)</f>
        <v>0.88888888888888884</v>
      </c>
      <c r="J14" s="153">
        <f>IF('AW Schulen'!$I26=0,"x",E14/'AW Schulen'!$I26)</f>
        <v>0.63157894736842102</v>
      </c>
      <c r="K14" s="153">
        <f>IF('AW Schulen'!$L26=0,"x",F14/'AW Schulen'!$L26)</f>
        <v>0.91228070175438591</v>
      </c>
      <c r="L14" s="154">
        <f>IF('AW Schulen'!$O26=0,"x",G14/'AW Schulen'!$O26)</f>
        <v>0.87037037037037035</v>
      </c>
    </row>
    <row r="15" spans="1:13" ht="9" customHeight="1">
      <c r="A15" s="21" t="s">
        <v>83</v>
      </c>
      <c r="B15" s="120"/>
      <c r="C15" s="42">
        <f t="shared" si="0"/>
        <v>46</v>
      </c>
      <c r="D15" s="42">
        <f t="shared" ref="D15:E15" si="7">SUM(D33+D51+D69)</f>
        <v>48</v>
      </c>
      <c r="E15" s="42">
        <f t="shared" si="7"/>
        <v>49</v>
      </c>
      <c r="F15" s="42">
        <f t="shared" ref="F15:G15" si="8">SUM(F33+F51+F69)</f>
        <v>49</v>
      </c>
      <c r="G15" s="44">
        <f t="shared" si="8"/>
        <v>49</v>
      </c>
      <c r="H15" s="153">
        <f>IF('AW Schulen'!$C27=0,"x",C15/'AW Schulen'!$C27)</f>
        <v>0.8214285714285714</v>
      </c>
      <c r="I15" s="153">
        <f>IF('AW Schulen'!$F27=0,"x",D15/'AW Schulen'!$F27)</f>
        <v>0.81355932203389836</v>
      </c>
      <c r="J15" s="153">
        <f>IF('AW Schulen'!$I27=0,"x",E15/'AW Schulen'!$I27)</f>
        <v>0.81666666666666665</v>
      </c>
      <c r="K15" s="153">
        <f>IF('AW Schulen'!$L27=0,"x",F15/'AW Schulen'!$L27)</f>
        <v>0.80327868852459017</v>
      </c>
      <c r="L15" s="154">
        <f>IF('AW Schulen'!$O27=0,"x",G15/'AW Schulen'!$O27)</f>
        <v>0.79032258064516125</v>
      </c>
    </row>
    <row r="16" spans="1:13" ht="9" customHeight="1">
      <c r="A16" s="21" t="s">
        <v>84</v>
      </c>
      <c r="B16" s="120"/>
      <c r="C16" s="149">
        <f t="shared" si="0"/>
        <v>0</v>
      </c>
      <c r="D16" s="149">
        <f t="shared" ref="D16:E16" si="9">SUM(D34+D52+D70)</f>
        <v>0</v>
      </c>
      <c r="E16" s="149">
        <f t="shared" si="9"/>
        <v>0</v>
      </c>
      <c r="F16" s="149">
        <f t="shared" ref="F16:G16" si="10">SUM(F34+F52+F70)</f>
        <v>0</v>
      </c>
      <c r="G16" s="150">
        <f t="shared" si="10"/>
        <v>0</v>
      </c>
      <c r="H16" s="153" t="str">
        <f>IF('AW Schulen'!$C28=0,"x",C16/'AW Schulen'!$C28)</f>
        <v>x</v>
      </c>
      <c r="I16" s="153" t="str">
        <f>IF('AW Schulen'!$F28=0,"x",D16/'AW Schulen'!$F28)</f>
        <v>x</v>
      </c>
      <c r="J16" s="153" t="str">
        <f>IF('AW Schulen'!$I28=0,"x",E16/'AW Schulen'!$I28)</f>
        <v>x</v>
      </c>
      <c r="K16" s="153" t="str">
        <f>IF('AW Schulen'!$L28=0,"x",F16/'AW Schulen'!$L28)</f>
        <v>x</v>
      </c>
      <c r="L16" s="154" t="str">
        <f>IF('AW Schulen'!$O28=0,"x",G16/'AW Schulen'!$O28)</f>
        <v>x</v>
      </c>
    </row>
    <row r="17" spans="1:12" ht="9" customHeight="1">
      <c r="A17" s="21" t="s">
        <v>85</v>
      </c>
      <c r="B17" s="120"/>
      <c r="C17" s="55">
        <f t="shared" si="0"/>
        <v>0</v>
      </c>
      <c r="D17" s="55">
        <f t="shared" ref="D17:E17" si="11">SUM(D35+D53+D71)</f>
        <v>0</v>
      </c>
      <c r="E17" s="55">
        <f t="shared" si="11"/>
        <v>0</v>
      </c>
      <c r="F17" s="55">
        <f t="shared" ref="F17:G17" si="12">SUM(F35+F53+F71)</f>
        <v>1</v>
      </c>
      <c r="G17" s="56">
        <f t="shared" si="12"/>
        <v>1</v>
      </c>
      <c r="H17" s="182" t="str">
        <f>IF('AW Schulen'!$C29=0,".",C17/'AW Schulen'!$C29)</f>
        <v>.</v>
      </c>
      <c r="I17" s="182">
        <f>IF('AW Schulen'!$F29=0,".",D17/'AW Schulen'!$F29)</f>
        <v>0</v>
      </c>
      <c r="J17" s="182">
        <f>IF('AW Schulen'!$I29=0,".",E17/'AW Schulen'!$I29)</f>
        <v>0</v>
      </c>
      <c r="K17" s="153">
        <f>IF('AW Schulen'!$L29=0,".",F17/'AW Schulen'!$L29)</f>
        <v>1</v>
      </c>
      <c r="L17" s="154">
        <f>IF('AW Schulen'!$O29=0,".",G17/'AW Schulen'!$O29)</f>
        <v>1</v>
      </c>
    </row>
    <row r="18" spans="1:12" ht="9" customHeight="1">
      <c r="A18" s="21" t="s">
        <v>86</v>
      </c>
      <c r="B18" s="120"/>
      <c r="C18" s="55">
        <f t="shared" si="0"/>
        <v>0</v>
      </c>
      <c r="D18" s="55">
        <f t="shared" ref="D18:E18" si="13">SUM(D36+D54+D72)</f>
        <v>0</v>
      </c>
      <c r="E18" s="55">
        <f t="shared" si="13"/>
        <v>0</v>
      </c>
      <c r="F18" s="55">
        <f t="shared" ref="F18:G18" si="14">SUM(F36+F54+F72)</f>
        <v>0</v>
      </c>
      <c r="G18" s="56">
        <f t="shared" si="14"/>
        <v>0</v>
      </c>
      <c r="H18" s="182">
        <f>IF('AW Schulen'!$C30=0,"x",C18/'AW Schulen'!$C30)</f>
        <v>0</v>
      </c>
      <c r="I18" s="182" t="str">
        <f>IF('AW Schulen'!$F30=0,"x",D18/'AW Schulen'!$F30)</f>
        <v>x</v>
      </c>
      <c r="J18" s="182" t="str">
        <f>IF('AW Schulen'!$I30=0,"x",E18/'AW Schulen'!$I30)</f>
        <v>x</v>
      </c>
      <c r="K18" s="182" t="str">
        <f>IF('AW Schulen'!$L30=0,"x",F18/'AW Schulen'!$L30)</f>
        <v>x</v>
      </c>
      <c r="L18" s="196" t="str">
        <f>IF('AW Schulen'!$O30=0,"x",G18/'AW Schulen'!$O30)</f>
        <v>x</v>
      </c>
    </row>
    <row r="19" spans="1:12" ht="9" customHeight="1">
      <c r="A19" s="21" t="s">
        <v>87</v>
      </c>
      <c r="B19" s="120"/>
      <c r="C19" s="149">
        <f t="shared" si="0"/>
        <v>0</v>
      </c>
      <c r="D19" s="149">
        <f t="shared" ref="D19:E19" si="15">SUM(D37+D55+D73)</f>
        <v>0</v>
      </c>
      <c r="E19" s="149">
        <f t="shared" si="15"/>
        <v>0</v>
      </c>
      <c r="F19" s="149">
        <f t="shared" ref="F19:G19" si="16">SUM(F37+F55+F73)</f>
        <v>0</v>
      </c>
      <c r="G19" s="150">
        <f t="shared" si="16"/>
        <v>0</v>
      </c>
      <c r="H19" s="153" t="str">
        <f>IF('AW Schulen'!$C31=0,"x",C19/'AW Schulen'!$C31)</f>
        <v>x</v>
      </c>
      <c r="I19" s="153" t="str">
        <f>IF('AW Schulen'!$F31=0,"x",D19/'AW Schulen'!$F31)</f>
        <v>x</v>
      </c>
      <c r="J19" s="153" t="str">
        <f>IF('AW Schulen'!$I31=0,"x",E19/'AW Schulen'!$I31)</f>
        <v>x</v>
      </c>
      <c r="K19" s="153" t="str">
        <f>IF('AW Schulen'!$L31=0,"x",F19/'AW Schulen'!$L31)</f>
        <v>x</v>
      </c>
      <c r="L19" s="154" t="str">
        <f>IF('AW Schulen'!$O31=0,"x",G19/'AW Schulen'!$O31)</f>
        <v>x</v>
      </c>
    </row>
    <row r="20" spans="1:12" ht="9" customHeight="1">
      <c r="A20" s="21" t="s">
        <v>88</v>
      </c>
      <c r="B20" s="120"/>
      <c r="C20" s="149">
        <f t="shared" si="0"/>
        <v>0</v>
      </c>
      <c r="D20" s="149">
        <f t="shared" ref="D20:E20" si="17">SUM(D38+D56+D74)</f>
        <v>0</v>
      </c>
      <c r="E20" s="149">
        <f t="shared" si="17"/>
        <v>0</v>
      </c>
      <c r="F20" s="149">
        <f t="shared" ref="F20:G20" si="18">SUM(F38+F56+F74)</f>
        <v>0</v>
      </c>
      <c r="G20" s="150">
        <f t="shared" si="18"/>
        <v>0</v>
      </c>
      <c r="H20" s="153" t="str">
        <f>IF('AW Schulen'!$C32=0,"x",C20/'AW Schulen'!$C32)</f>
        <v>x</v>
      </c>
      <c r="I20" s="153" t="str">
        <f>IF('AW Schulen'!$F32=0,"x",D20/'AW Schulen'!$F32)</f>
        <v>x</v>
      </c>
      <c r="J20" s="153" t="str">
        <f>IF('AW Schulen'!$I32=0,"x",E20/'AW Schulen'!$I32)</f>
        <v>x</v>
      </c>
      <c r="K20" s="153" t="str">
        <f>IF('AW Schulen'!$L32=0,"x",F20/'AW Schulen'!$L32)</f>
        <v>x</v>
      </c>
      <c r="L20" s="154" t="str">
        <f>IF('AW Schulen'!$O32=0,"x",G20/'AW Schulen'!$O32)</f>
        <v>x</v>
      </c>
    </row>
    <row r="21" spans="1:12" ht="9" customHeight="1">
      <c r="A21" s="21" t="s">
        <v>89</v>
      </c>
      <c r="B21" s="120"/>
      <c r="C21" s="149">
        <f t="shared" si="0"/>
        <v>0</v>
      </c>
      <c r="D21" s="149">
        <f t="shared" ref="D21:E21" si="19">SUM(D39+D57+D75)</f>
        <v>0</v>
      </c>
      <c r="E21" s="149">
        <f t="shared" si="19"/>
        <v>0</v>
      </c>
      <c r="F21" s="149">
        <f t="shared" ref="F21:G21" si="20">SUM(F39+F57+F75)</f>
        <v>0</v>
      </c>
      <c r="G21" s="150">
        <f t="shared" si="20"/>
        <v>0</v>
      </c>
      <c r="H21" s="153" t="str">
        <f>IF('AW Schulen'!$C33=0,"x",C21/'AW Schulen'!$C33)</f>
        <v>x</v>
      </c>
      <c r="I21" s="153" t="str">
        <f>IF('AW Schulen'!$F33=0,"x",D21/'AW Schulen'!$F33)</f>
        <v>x</v>
      </c>
      <c r="J21" s="153" t="str">
        <f>IF('AW Schulen'!$I33=0,"x",E21/'AW Schulen'!$I33)</f>
        <v>x</v>
      </c>
      <c r="K21" s="153" t="str">
        <f>IF('AW Schulen'!$L33=0,"x",F21/'AW Schulen'!$L33)</f>
        <v>x</v>
      </c>
      <c r="L21" s="154" t="str">
        <f>IF('AW Schulen'!$O33=0,"x",G21/'AW Schulen'!$O33)</f>
        <v>x</v>
      </c>
    </row>
    <row r="22" spans="1:12" ht="9" customHeight="1">
      <c r="A22" s="21" t="s">
        <v>90</v>
      </c>
      <c r="B22" s="120"/>
      <c r="C22" s="149">
        <f t="shared" si="0"/>
        <v>0</v>
      </c>
      <c r="D22" s="149">
        <f t="shared" ref="D22:E22" si="21">SUM(D40+D58+D76)</f>
        <v>0</v>
      </c>
      <c r="E22" s="149">
        <f t="shared" si="21"/>
        <v>0</v>
      </c>
      <c r="F22" s="149">
        <f t="shared" ref="F22:G22" si="22">SUM(F40+F58+F76)</f>
        <v>0</v>
      </c>
      <c r="G22" s="150">
        <f t="shared" si="22"/>
        <v>0</v>
      </c>
      <c r="H22" s="153" t="str">
        <f>IF('AW Schulen'!$C34=0,"x",C22/'AW Schulen'!$C34)</f>
        <v>x</v>
      </c>
      <c r="I22" s="153" t="str">
        <f>IF('AW Schulen'!$F34=0,"x",D22/'AW Schulen'!$F34)</f>
        <v>x</v>
      </c>
      <c r="J22" s="153" t="str">
        <f>IF('AW Schulen'!$I34=0,"x",E22/'AW Schulen'!$I34)</f>
        <v>x</v>
      </c>
      <c r="K22" s="153" t="str">
        <f>IF('AW Schulen'!$L34=0,"x",F22/'AW Schulen'!$L34)</f>
        <v>x</v>
      </c>
      <c r="L22" s="154" t="str">
        <f>IF('AW Schulen'!$O34=0,"x",G22/'AW Schulen'!$O34)</f>
        <v>x</v>
      </c>
    </row>
    <row r="23" spans="1:12" ht="9" customHeight="1">
      <c r="A23" s="21" t="s">
        <v>91</v>
      </c>
      <c r="B23" s="120"/>
      <c r="C23" s="149">
        <f t="shared" si="0"/>
        <v>0</v>
      </c>
      <c r="D23" s="149">
        <f t="shared" ref="D23:E23" si="23">SUM(D41+D59+D77)</f>
        <v>0</v>
      </c>
      <c r="E23" s="149">
        <f t="shared" si="23"/>
        <v>0</v>
      </c>
      <c r="F23" s="149">
        <f t="shared" ref="F23:G23" si="24">SUM(F41+F59+F77)</f>
        <v>0</v>
      </c>
      <c r="G23" s="150">
        <f t="shared" si="24"/>
        <v>0</v>
      </c>
      <c r="H23" s="153" t="str">
        <f>IF('AW Schulen'!$C35=0,"x",C23/'AW Schulen'!$C35)</f>
        <v>x</v>
      </c>
      <c r="I23" s="153" t="str">
        <f>IF('AW Schulen'!$F35=0,"x",D23/'AW Schulen'!$F35)</f>
        <v>x</v>
      </c>
      <c r="J23" s="153" t="str">
        <f>IF('AW Schulen'!$I35=0,"x",E23/'AW Schulen'!$I35)</f>
        <v>x</v>
      </c>
      <c r="K23" s="153" t="str">
        <f>IF('AW Schulen'!$L35=0,"x",F23/'AW Schulen'!$L35)</f>
        <v>x</v>
      </c>
      <c r="L23" s="154" t="str">
        <f>IF('AW Schulen'!$O35=0,"x",G23/'AW Schulen'!$O35)</f>
        <v>x</v>
      </c>
    </row>
    <row r="24" spans="1:12" ht="9" customHeight="1">
      <c r="A24" s="21" t="s">
        <v>92</v>
      </c>
      <c r="B24" s="120"/>
      <c r="C24" s="149">
        <f t="shared" si="0"/>
        <v>0</v>
      </c>
      <c r="D24" s="149">
        <f t="shared" ref="D24:E24" si="25">SUM(D42+D60+D78)</f>
        <v>0</v>
      </c>
      <c r="E24" s="149">
        <f t="shared" si="25"/>
        <v>0</v>
      </c>
      <c r="F24" s="149">
        <f t="shared" ref="F24:G24" si="26">SUM(F42+F60+F78)</f>
        <v>0</v>
      </c>
      <c r="G24" s="150">
        <f t="shared" si="26"/>
        <v>0</v>
      </c>
      <c r="H24" s="153" t="str">
        <f>IF('AW Schulen'!$C36=0,"x",C24/'AW Schulen'!$C36)</f>
        <v>x</v>
      </c>
      <c r="I24" s="153" t="str">
        <f>IF('AW Schulen'!$F36=0,"x",D24/'AW Schulen'!$F36)</f>
        <v>x</v>
      </c>
      <c r="J24" s="153" t="str">
        <f>IF('AW Schulen'!$I36=0,"x",E24/'AW Schulen'!$I36)</f>
        <v>x</v>
      </c>
      <c r="K24" s="153" t="str">
        <f>IF('AW Schulen'!$L36=0,"x",F24/'AW Schulen'!$L36)</f>
        <v>x</v>
      </c>
      <c r="L24" s="154" t="str">
        <f>IF('AW Schulen'!$O36=0,"x",G24/'AW Schulen'!$O36)</f>
        <v>x</v>
      </c>
    </row>
    <row r="25" spans="1:12" ht="9" customHeight="1">
      <c r="A25" s="21" t="s">
        <v>93</v>
      </c>
      <c r="B25" s="120"/>
      <c r="C25" s="149">
        <f t="shared" si="0"/>
        <v>0</v>
      </c>
      <c r="D25" s="149">
        <f t="shared" ref="D25:E25" si="27">SUM(D43+D61+D79)</f>
        <v>0</v>
      </c>
      <c r="E25" s="149">
        <f t="shared" si="27"/>
        <v>0</v>
      </c>
      <c r="F25" s="149">
        <f t="shared" ref="F25:G25" si="28">SUM(F43+F61+F79)</f>
        <v>0</v>
      </c>
      <c r="G25" s="150">
        <f t="shared" si="28"/>
        <v>0</v>
      </c>
      <c r="H25" s="153" t="str">
        <f>IF('AW Schulen'!$C37=0,"x",C25/'AW Schulen'!$C37)</f>
        <v>x</v>
      </c>
      <c r="I25" s="153" t="str">
        <f>IF('AW Schulen'!$F37=0,"x",D25/'AW Schulen'!$F37)</f>
        <v>x</v>
      </c>
      <c r="J25" s="153" t="str">
        <f>IF('AW Schulen'!$I37=0,"x",E25/'AW Schulen'!$I37)</f>
        <v>x</v>
      </c>
      <c r="K25" s="153" t="str">
        <f>IF('AW Schulen'!$L37=0,"x",F25/'AW Schulen'!$L37)</f>
        <v>x</v>
      </c>
      <c r="L25" s="154" t="str">
        <f>IF('AW Schulen'!$O37=0,"x",G25/'AW Schulen'!$O37)</f>
        <v>x</v>
      </c>
    </row>
    <row r="26" spans="1:12" ht="9" customHeight="1">
      <c r="A26" s="21" t="s">
        <v>94</v>
      </c>
      <c r="B26" s="120"/>
      <c r="C26" s="149">
        <f t="shared" si="0"/>
        <v>0</v>
      </c>
      <c r="D26" s="149">
        <f t="shared" ref="D26:E26" si="29">SUM(D44+D62+D80)</f>
        <v>0</v>
      </c>
      <c r="E26" s="149">
        <f t="shared" si="29"/>
        <v>0</v>
      </c>
      <c r="F26" s="149">
        <f t="shared" ref="F26:G26" si="30">SUM(F44+F62+F80)</f>
        <v>0</v>
      </c>
      <c r="G26" s="150">
        <f t="shared" si="30"/>
        <v>0</v>
      </c>
      <c r="H26" s="153" t="str">
        <f>IF('AW Schulen'!$C38=0,"x",C26/'AW Schulen'!$C38)</f>
        <v>x</v>
      </c>
      <c r="I26" s="153" t="str">
        <f>IF('AW Schulen'!$F38=0,"x",D26/'AW Schulen'!$F38)</f>
        <v>x</v>
      </c>
      <c r="J26" s="153" t="str">
        <f>IF('AW Schulen'!$I38=0,"x",E26/'AW Schulen'!$I38)</f>
        <v>x</v>
      </c>
      <c r="K26" s="153" t="str">
        <f>IF('AW Schulen'!$L38=0,"x",F26/'AW Schulen'!$L38)</f>
        <v>x</v>
      </c>
      <c r="L26" s="154" t="str">
        <f>IF('AW Schulen'!$O38=0,"x",G26/'AW Schulen'!$O38)</f>
        <v>x</v>
      </c>
    </row>
    <row r="27" spans="1:12" ht="9" customHeight="1">
      <c r="A27" s="21" t="s">
        <v>95</v>
      </c>
      <c r="B27" s="120"/>
      <c r="C27" s="149">
        <f t="shared" si="0"/>
        <v>0</v>
      </c>
      <c r="D27" s="149">
        <f t="shared" ref="D27:E27" si="31">SUM(D45+D63+D81)</f>
        <v>0</v>
      </c>
      <c r="E27" s="149">
        <f t="shared" si="31"/>
        <v>0</v>
      </c>
      <c r="F27" s="149">
        <f t="shared" ref="F27:G27" si="32">SUM(F45+F63+F81)</f>
        <v>0</v>
      </c>
      <c r="G27" s="150">
        <f t="shared" si="32"/>
        <v>0</v>
      </c>
      <c r="H27" s="153" t="str">
        <f>IF('AW Schulen'!$C39=0,"x",C27/'AW Schulen'!$C39)</f>
        <v>x</v>
      </c>
      <c r="I27" s="153" t="str">
        <f>IF('AW Schulen'!$F39=0,"x",D27/'AW Schulen'!$F39)</f>
        <v>x</v>
      </c>
      <c r="J27" s="153" t="str">
        <f>IF('AW Schulen'!$I39=0,"x",E27/'AW Schulen'!$I39)</f>
        <v>x</v>
      </c>
      <c r="K27" s="153" t="str">
        <f>IF('AW Schulen'!$L39=0,"x",F27/'AW Schulen'!$L39)</f>
        <v>x</v>
      </c>
      <c r="L27" s="154" t="str">
        <f>IF('AW Schulen'!$O39=0,"x",G27/'AW Schulen'!$O39)</f>
        <v>x</v>
      </c>
    </row>
    <row r="28" spans="1:12" ht="9" customHeight="1">
      <c r="A28" s="21" t="s">
        <v>96</v>
      </c>
      <c r="B28" s="120"/>
      <c r="C28" s="42">
        <f t="shared" si="0"/>
        <v>87</v>
      </c>
      <c r="D28" s="42">
        <f t="shared" ref="D28:E28" si="33">SUM(D46+D64+D82)</f>
        <v>88</v>
      </c>
      <c r="E28" s="42">
        <f t="shared" si="33"/>
        <v>85</v>
      </c>
      <c r="F28" s="42">
        <f t="shared" ref="F28:G28" si="34">SUM(F46+F64+F82)</f>
        <v>102</v>
      </c>
      <c r="G28" s="44">
        <f t="shared" si="34"/>
        <v>97</v>
      </c>
      <c r="H28" s="153">
        <f>IF('AW Schulen'!$C40=0,"x",C28/'AW Schulen'!$C40)</f>
        <v>0.82075471698113212</v>
      </c>
      <c r="I28" s="153">
        <f>IF('AW Schulen'!$F40=0,"x",D28/'AW Schulen'!$F40)</f>
        <v>0.83809523809523812</v>
      </c>
      <c r="J28" s="153">
        <f>IF('AW Schulen'!$I40=0,"x",E28/'AW Schulen'!$I40)</f>
        <v>0.72033898305084743</v>
      </c>
      <c r="K28" s="153">
        <f>IF('AW Schulen'!$L40=0,"x",F28/'AW Schulen'!$L40)</f>
        <v>0.8571428571428571</v>
      </c>
      <c r="L28" s="154">
        <f>IF('AW Schulen'!$O40=0,"x",G28/'AW Schulen'!$O40)</f>
        <v>0.82905982905982911</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151">
        <f>[1]GtS!$F$52</f>
        <v>0</v>
      </c>
      <c r="D30" s="151">
        <f>[2]GtS!$F$54</f>
        <v>0</v>
      </c>
      <c r="E30" s="151">
        <f>[3]GtS!$F$54</f>
        <v>0</v>
      </c>
      <c r="F30" s="151">
        <f>[4]GtS!$F$54</f>
        <v>0</v>
      </c>
      <c r="G30" s="152">
        <f>[5]GtS!$F$54</f>
        <v>0</v>
      </c>
      <c r="H30" s="155" t="str">
        <f>IF('AW Schulen'!$C24=0,"x",C30/'AW Schulen'!$C24)</f>
        <v>x</v>
      </c>
      <c r="I30" s="155" t="str">
        <f>IF('AW Schulen'!$F24=0,"x",D30/'AW Schulen'!$F24)</f>
        <v>x</v>
      </c>
      <c r="J30" s="155" t="str">
        <f>IF('AW Schulen'!$I24=0,"x",E30/'AW Schulen'!$I24)</f>
        <v>x</v>
      </c>
      <c r="K30" s="155" t="str">
        <f>IF('AW Schulen'!$L24=0,"x",F30/'AW Schulen'!$L24)</f>
        <v>x</v>
      </c>
      <c r="L30" s="156" t="str">
        <f>IF('AW Schulen'!$O24=0,"x",G30/'AW Schulen'!$O24)</f>
        <v>x</v>
      </c>
    </row>
    <row r="31" spans="1:12" ht="9" customHeight="1">
      <c r="A31" s="21" t="s">
        <v>81</v>
      </c>
      <c r="B31" s="120"/>
      <c r="C31" s="151">
        <f>[6]GtS!$F$52</f>
        <v>0</v>
      </c>
      <c r="D31" s="151">
        <f>[7]GtS!$F$54</f>
        <v>0</v>
      </c>
      <c r="E31" s="151">
        <f>[8]GtS!$F$54</f>
        <v>0</v>
      </c>
      <c r="F31" s="151" t="str">
        <f>[9]GtS!$F$54</f>
        <v xml:space="preserve">                                      -   </v>
      </c>
      <c r="G31" s="152">
        <f>[10]GtS!$F$54</f>
        <v>0</v>
      </c>
      <c r="H31" s="155" t="str">
        <f>IF('AW Schulen'!$C25=0,"x",C31/'AW Schulen'!$C25)</f>
        <v>x</v>
      </c>
      <c r="I31" s="155" t="str">
        <f>IF('AW Schulen'!$F25=0,"x",D31/'AW Schulen'!$F25)</f>
        <v>x</v>
      </c>
      <c r="J31" s="155" t="str">
        <f>IF('AW Schulen'!$I25=0,"x",E31/'AW Schulen'!$I25)</f>
        <v>x</v>
      </c>
      <c r="K31" s="155" t="e">
        <f>IF('AW Schulen'!$L25=0,"x",F31/'AW Schulen'!$L25)</f>
        <v>#VALUE!</v>
      </c>
      <c r="L31" s="156" t="str">
        <f>IF('AW Schulen'!$O25=0,"x",G31/'AW Schulen'!$O25)</f>
        <v>x</v>
      </c>
    </row>
    <row r="32" spans="1:12" ht="9" customHeight="1">
      <c r="A32" s="21" t="s">
        <v>82</v>
      </c>
      <c r="B32" s="120"/>
      <c r="C32" s="23">
        <f>[11]GtS!$F$52</f>
        <v>5</v>
      </c>
      <c r="D32" s="23">
        <f>[12]GtS!$F$54</f>
        <v>5</v>
      </c>
      <c r="E32" s="23">
        <f>[13]GtS!$F$54</f>
        <v>5</v>
      </c>
      <c r="F32" s="23">
        <f>[14]GtS!$F$54</f>
        <v>10</v>
      </c>
      <c r="G32" s="34">
        <f>[15]GtS!$F$54</f>
        <v>10</v>
      </c>
      <c r="H32" s="155">
        <f>IF('AW Schulen'!$C26=0,"x",C32/'AW Schulen'!$C26)</f>
        <v>0.1</v>
      </c>
      <c r="I32" s="155">
        <f>IF('AW Schulen'!$F26=0,"x",D32/'AW Schulen'!$F26)</f>
        <v>0.1111111111111111</v>
      </c>
      <c r="J32" s="155">
        <f>IF('AW Schulen'!$I26=0,"x",E32/'AW Schulen'!$I26)</f>
        <v>8.771929824561403E-2</v>
      </c>
      <c r="K32" s="155">
        <f>IF('AW Schulen'!$L26=0,"x",F32/'AW Schulen'!$L26)</f>
        <v>0.17543859649122806</v>
      </c>
      <c r="L32" s="156">
        <f>IF('AW Schulen'!$O26=0,"x",G32/'AW Schulen'!$O26)</f>
        <v>0.18518518518518517</v>
      </c>
    </row>
    <row r="33" spans="1:12" ht="9" customHeight="1">
      <c r="A33" s="21" t="s">
        <v>83</v>
      </c>
      <c r="B33" s="120"/>
      <c r="C33" s="23">
        <f>[16]GtS!$F$52</f>
        <v>0</v>
      </c>
      <c r="D33" s="23">
        <f>[17]GtS!$F$54</f>
        <v>0</v>
      </c>
      <c r="E33" s="23">
        <f>[18]GtS!$F$54</f>
        <v>0</v>
      </c>
      <c r="F33" s="23">
        <f>[19]GtS!$F$54</f>
        <v>0</v>
      </c>
      <c r="G33" s="34">
        <f>[20]GtS!$F$54</f>
        <v>0</v>
      </c>
      <c r="H33" s="155">
        <f>IF('AW Schulen'!$C27=0,"x",C33/'AW Schulen'!$C27)</f>
        <v>0</v>
      </c>
      <c r="I33" s="155">
        <f>IF('AW Schulen'!$F27=0,"x",D33/'AW Schulen'!$F27)</f>
        <v>0</v>
      </c>
      <c r="J33" s="155">
        <f>IF('AW Schulen'!$I27=0,"x",E33/'AW Schulen'!$I27)</f>
        <v>0</v>
      </c>
      <c r="K33" s="155">
        <f>IF('AW Schulen'!$L27=0,"x",F33/'AW Schulen'!$L27)</f>
        <v>0</v>
      </c>
      <c r="L33" s="156">
        <f>IF('AW Schulen'!$O27=0,"x",G33/'AW Schulen'!$O27)</f>
        <v>0</v>
      </c>
    </row>
    <row r="34" spans="1:12" ht="9" customHeight="1">
      <c r="A34" s="21" t="s">
        <v>84</v>
      </c>
      <c r="B34" s="120"/>
      <c r="C34" s="151">
        <f>[21]GtS!$F$52</f>
        <v>0</v>
      </c>
      <c r="D34" s="151">
        <f>[22]GtS!$F$54</f>
        <v>0</v>
      </c>
      <c r="E34" s="151">
        <f>[23]GtS!$F$54</f>
        <v>0</v>
      </c>
      <c r="F34" s="151">
        <f>[24]GtS!$F$54</f>
        <v>0</v>
      </c>
      <c r="G34" s="152">
        <f>[25]GtS!$F$54</f>
        <v>0</v>
      </c>
      <c r="H34" s="155" t="str">
        <f>IF('AW Schulen'!$C28=0,"x",C34/'AW Schulen'!$C28)</f>
        <v>x</v>
      </c>
      <c r="I34" s="155" t="str">
        <f>IF('AW Schulen'!$F28=0,"x",D34/'AW Schulen'!$F28)</f>
        <v>x</v>
      </c>
      <c r="J34" s="155" t="str">
        <f>IF('AW Schulen'!$I28=0,"x",E34/'AW Schulen'!$I28)</f>
        <v>x</v>
      </c>
      <c r="K34" s="155" t="str">
        <f>IF('AW Schulen'!$L28=0,"x",F34/'AW Schulen'!$L28)</f>
        <v>x</v>
      </c>
      <c r="L34" s="156" t="str">
        <f>IF('AW Schulen'!$O28=0,"x",G34/'AW Schulen'!$O28)</f>
        <v>x</v>
      </c>
    </row>
    <row r="35" spans="1:12" ht="9" customHeight="1">
      <c r="A35" s="21" t="s">
        <v>85</v>
      </c>
      <c r="B35" s="120"/>
      <c r="C35" s="36">
        <f>[26]GtS!$F$52</f>
        <v>0</v>
      </c>
      <c r="D35" s="36">
        <f>[27]GtS!$F$54</f>
        <v>0</v>
      </c>
      <c r="E35" s="36">
        <f>[28]GtS!$F$54</f>
        <v>0</v>
      </c>
      <c r="F35" s="36">
        <f>[29]GtS!$F$54</f>
        <v>0</v>
      </c>
      <c r="G35" s="37">
        <f>[30]GtS!$F$54</f>
        <v>0</v>
      </c>
      <c r="H35" s="183" t="str">
        <f>IF('AW Schulen'!$C29=0,".",C35/'AW Schulen'!$C29)</f>
        <v>.</v>
      </c>
      <c r="I35" s="183">
        <f>IF('AW Schulen'!$F29=0,".",D35/'AW Schulen'!$F29)</f>
        <v>0</v>
      </c>
      <c r="J35" s="183">
        <f>IF('AW Schulen'!$I29=0,".",E35/'AW Schulen'!$I29)</f>
        <v>0</v>
      </c>
      <c r="K35" s="183">
        <f>IF('AW Schulen'!$L29=0,".",F35/'AW Schulen'!$L29)</f>
        <v>0</v>
      </c>
      <c r="L35" s="197">
        <f>IF('AW Schulen'!$O29=0,".",G35/'AW Schulen'!$O29)</f>
        <v>0</v>
      </c>
    </row>
    <row r="36" spans="1:12" ht="9" customHeight="1">
      <c r="A36" s="21" t="s">
        <v>86</v>
      </c>
      <c r="B36" s="120"/>
      <c r="C36" s="36">
        <f>[66]GtS!$F$52</f>
        <v>0</v>
      </c>
      <c r="D36" s="36">
        <f>[67]GtS!$F$54</f>
        <v>0</v>
      </c>
      <c r="E36" s="36">
        <f>[68]GtS!$F$54</f>
        <v>0</v>
      </c>
      <c r="F36" s="36">
        <f>[69]GtS!$F$54</f>
        <v>0</v>
      </c>
      <c r="G36" s="37">
        <f>[70]GtS!$F$54</f>
        <v>0</v>
      </c>
      <c r="H36" s="183">
        <f>IF('AW Schulen'!$C30=0,"x",C36/'AW Schulen'!$C30)</f>
        <v>0</v>
      </c>
      <c r="I36" s="183" t="str">
        <f>IF('AW Schulen'!$F30=0,".",D36/'AW Schulen'!$F30)</f>
        <v>.</v>
      </c>
      <c r="J36" s="183" t="str">
        <f>IF('AW Schulen'!$I30=0,".",E36/'AW Schulen'!$I30)</f>
        <v>.</v>
      </c>
      <c r="K36" s="183" t="str">
        <f>IF('AW Schulen'!$L30=0,".",F36/'AW Schulen'!$L30)</f>
        <v>.</v>
      </c>
      <c r="L36" s="197" t="str">
        <f>IF('AW Schulen'!$O30=0,".",G36/'AW Schulen'!$O30)</f>
        <v>.</v>
      </c>
    </row>
    <row r="37" spans="1:12" ht="9" customHeight="1">
      <c r="A37" s="21" t="s">
        <v>87</v>
      </c>
      <c r="B37" s="120"/>
      <c r="C37" s="151">
        <f>[31]GtS!$F$52</f>
        <v>0</v>
      </c>
      <c r="D37" s="151">
        <f>[32]GtS!$F$54</f>
        <v>0</v>
      </c>
      <c r="E37" s="151">
        <f>[33]GtS!$F$54</f>
        <v>0</v>
      </c>
      <c r="F37" s="151">
        <f>[34]GtS!$F$54</f>
        <v>0</v>
      </c>
      <c r="G37" s="152">
        <f>[35]GtS!$F$54</f>
        <v>0</v>
      </c>
      <c r="H37" s="155" t="str">
        <f>IF('AW Schulen'!$C31=0,"x",C37/'AW Schulen'!$C31)</f>
        <v>x</v>
      </c>
      <c r="I37" s="155" t="str">
        <f>IF('AW Schulen'!$F31=0,"x",D37/'AW Schulen'!$F31)</f>
        <v>x</v>
      </c>
      <c r="J37" s="155" t="str">
        <f>IF('AW Schulen'!$I31=0,"x",E37/'AW Schulen'!$I31)</f>
        <v>x</v>
      </c>
      <c r="K37" s="155" t="str">
        <f>IF('AW Schulen'!$L31=0,"x",F37/'AW Schulen'!$L31)</f>
        <v>x</v>
      </c>
      <c r="L37" s="156" t="str">
        <f>IF('AW Schulen'!$O31=0,"x",G37/'AW Schulen'!$O31)</f>
        <v>x</v>
      </c>
    </row>
    <row r="38" spans="1:12" ht="9" customHeight="1">
      <c r="A38" s="21" t="s">
        <v>88</v>
      </c>
      <c r="B38" s="120"/>
      <c r="C38" s="151">
        <f>[71]GtS!$F$52</f>
        <v>0</v>
      </c>
      <c r="D38" s="151">
        <f>[72]GtS!$F$54</f>
        <v>0</v>
      </c>
      <c r="E38" s="151">
        <f>[73]GtS!$F$54</f>
        <v>0</v>
      </c>
      <c r="F38" s="151">
        <f>[74]GtS!$F$54</f>
        <v>0</v>
      </c>
      <c r="G38" s="152">
        <f>[75]GtS!$F$54</f>
        <v>0</v>
      </c>
      <c r="H38" s="155" t="str">
        <f>IF('AW Schulen'!$C32=0,"x",C38/'AW Schulen'!$C32)</f>
        <v>x</v>
      </c>
      <c r="I38" s="155" t="str">
        <f>IF('AW Schulen'!$F32=0,"x",D38/'AW Schulen'!$F32)</f>
        <v>x</v>
      </c>
      <c r="J38" s="155" t="str">
        <f>IF('AW Schulen'!$I32=0,"x",E38/'AW Schulen'!$I32)</f>
        <v>x</v>
      </c>
      <c r="K38" s="155" t="str">
        <f>IF('AW Schulen'!$L32=0,"x",F38/'AW Schulen'!$L32)</f>
        <v>x</v>
      </c>
      <c r="L38" s="156" t="str">
        <f>IF('AW Schulen'!$O32=0,"x",G38/'AW Schulen'!$O32)</f>
        <v>x</v>
      </c>
    </row>
    <row r="39" spans="1:12" ht="9" customHeight="1">
      <c r="A39" s="21" t="s">
        <v>89</v>
      </c>
      <c r="B39" s="120"/>
      <c r="C39" s="151">
        <f>[36]GtS!$F$52</f>
        <v>0</v>
      </c>
      <c r="D39" s="151">
        <f>[37]GtS!$F$54</f>
        <v>0</v>
      </c>
      <c r="E39" s="151">
        <f>[38]GtS!$F$54</f>
        <v>0</v>
      </c>
      <c r="F39" s="151">
        <f>[39]GtS!$F$54</f>
        <v>0</v>
      </c>
      <c r="G39" s="152">
        <f>[40]GtS!$F$54</f>
        <v>0</v>
      </c>
      <c r="H39" s="155" t="str">
        <f>IF('AW Schulen'!$C33=0,"x",C39/'AW Schulen'!$C33)</f>
        <v>x</v>
      </c>
      <c r="I39" s="155" t="str">
        <f>IF('AW Schulen'!$F33=0,"x",D39/'AW Schulen'!$F33)</f>
        <v>x</v>
      </c>
      <c r="J39" s="155" t="str">
        <f>IF('AW Schulen'!$I33=0,"x",E39/'AW Schulen'!$I33)</f>
        <v>x</v>
      </c>
      <c r="K39" s="155" t="str">
        <f>IF('AW Schulen'!$L33=0,"x",F39/'AW Schulen'!$L33)</f>
        <v>x</v>
      </c>
      <c r="L39" s="156" t="str">
        <f>IF('AW Schulen'!$O33=0,"x",G39/'AW Schulen'!$O33)</f>
        <v>x</v>
      </c>
    </row>
    <row r="40" spans="1:12" ht="9" customHeight="1">
      <c r="A40" s="21" t="s">
        <v>90</v>
      </c>
      <c r="B40" s="120"/>
      <c r="C40" s="151">
        <f>[41]GtS!$F$52</f>
        <v>0</v>
      </c>
      <c r="D40" s="151">
        <f>[42]GtS!$F$54</f>
        <v>0</v>
      </c>
      <c r="E40" s="151">
        <f>[43]GtS!$F$54</f>
        <v>0</v>
      </c>
      <c r="F40" s="151">
        <f>[44]GtS!$F$54</f>
        <v>0</v>
      </c>
      <c r="G40" s="152">
        <f>[45]GtS!$F$54</f>
        <v>0</v>
      </c>
      <c r="H40" s="155" t="str">
        <f>IF('AW Schulen'!$C34=0,"x",C40/'AW Schulen'!$C34)</f>
        <v>x</v>
      </c>
      <c r="I40" s="155" t="str">
        <f>IF('AW Schulen'!$F34=0,"x",D40/'AW Schulen'!$F34)</f>
        <v>x</v>
      </c>
      <c r="J40" s="155" t="str">
        <f>IF('AW Schulen'!$I34=0,"x",E40/'AW Schulen'!$I34)</f>
        <v>x</v>
      </c>
      <c r="K40" s="155" t="str">
        <f>IF('AW Schulen'!$L34=0,"x",F40/'AW Schulen'!$L34)</f>
        <v>x</v>
      </c>
      <c r="L40" s="156" t="str">
        <f>IF('AW Schulen'!$O34=0,"x",G40/'AW Schulen'!$O34)</f>
        <v>x</v>
      </c>
    </row>
    <row r="41" spans="1:12" ht="9" customHeight="1">
      <c r="A41" s="21" t="s">
        <v>91</v>
      </c>
      <c r="B41" s="120"/>
      <c r="C41" s="151">
        <f>[46]GtS!$F$52</f>
        <v>0</v>
      </c>
      <c r="D41" s="151">
        <f>[47]GtS!$F$54</f>
        <v>0</v>
      </c>
      <c r="E41" s="151">
        <f>[48]GtS!$F$54</f>
        <v>0</v>
      </c>
      <c r="F41" s="151">
        <f>[49]GtS!$F$54</f>
        <v>0</v>
      </c>
      <c r="G41" s="152">
        <f>[50]GtS!$F$54</f>
        <v>0</v>
      </c>
      <c r="H41" s="155" t="str">
        <f>IF('AW Schulen'!$C35=0,"x",C41/'AW Schulen'!$C35)</f>
        <v>x</v>
      </c>
      <c r="I41" s="155" t="str">
        <f>IF('AW Schulen'!$F35=0,"x",D41/'AW Schulen'!$F35)</f>
        <v>x</v>
      </c>
      <c r="J41" s="155" t="str">
        <f>IF('AW Schulen'!$I35=0,"x",E41/'AW Schulen'!$I35)</f>
        <v>x</v>
      </c>
      <c r="K41" s="155" t="str">
        <f>IF('AW Schulen'!$L35=0,"x",F41/'AW Schulen'!$L35)</f>
        <v>x</v>
      </c>
      <c r="L41" s="156" t="str">
        <f>IF('AW Schulen'!$O35=0,"x",G41/'AW Schulen'!$O35)</f>
        <v>x</v>
      </c>
    </row>
    <row r="42" spans="1:12" ht="9" customHeight="1">
      <c r="A42" s="21" t="s">
        <v>92</v>
      </c>
      <c r="B42" s="120"/>
      <c r="C42" s="151">
        <f>[51]GtS!$F$52</f>
        <v>0</v>
      </c>
      <c r="D42" s="151">
        <f>[52]GtS!$F$54</f>
        <v>0</v>
      </c>
      <c r="E42" s="151">
        <f>[53]GtS!$F$54</f>
        <v>0</v>
      </c>
      <c r="F42" s="151">
        <f>[54]GtS!$F$54</f>
        <v>0</v>
      </c>
      <c r="G42" s="152">
        <f>[55]GtS!$F$54</f>
        <v>0</v>
      </c>
      <c r="H42" s="155" t="str">
        <f>IF('AW Schulen'!$C36=0,"x",C42/'AW Schulen'!$C36)</f>
        <v>x</v>
      </c>
      <c r="I42" s="155" t="str">
        <f>IF('AW Schulen'!$F36=0,"x",D42/'AW Schulen'!$F36)</f>
        <v>x</v>
      </c>
      <c r="J42" s="155" t="str">
        <f>IF('AW Schulen'!$I36=0,"x",E42/'AW Schulen'!$I36)</f>
        <v>x</v>
      </c>
      <c r="K42" s="155" t="str">
        <f>IF('AW Schulen'!$L36=0,"x",F42/'AW Schulen'!$L36)</f>
        <v>x</v>
      </c>
      <c r="L42" s="156" t="str">
        <f>IF('AW Schulen'!$O36=0,"x",G42/'AW Schulen'!$O36)</f>
        <v>x</v>
      </c>
    </row>
    <row r="43" spans="1:12" ht="9" customHeight="1">
      <c r="A43" s="21" t="s">
        <v>93</v>
      </c>
      <c r="B43" s="120"/>
      <c r="C43" s="151">
        <f>[76]GtS!$F$52</f>
        <v>0</v>
      </c>
      <c r="D43" s="151">
        <f>[77]GtS!$F$54</f>
        <v>0</v>
      </c>
      <c r="E43" s="151">
        <f>[78]GtS!$F$54</f>
        <v>0</v>
      </c>
      <c r="F43" s="151">
        <f>[79]GtS!$F$54</f>
        <v>0</v>
      </c>
      <c r="G43" s="152">
        <f>[80]GtS!$F$54</f>
        <v>0</v>
      </c>
      <c r="H43" s="155" t="str">
        <f>IF('AW Schulen'!$C37=0,"x",C43/'AW Schulen'!$C37)</f>
        <v>x</v>
      </c>
      <c r="I43" s="155" t="str">
        <f>IF('AW Schulen'!$F37=0,"x",D43/'AW Schulen'!$F37)</f>
        <v>x</v>
      </c>
      <c r="J43" s="155" t="str">
        <f>IF('AW Schulen'!$I37=0,"x",E43/'AW Schulen'!$I37)</f>
        <v>x</v>
      </c>
      <c r="K43" s="155" t="str">
        <f>IF('AW Schulen'!$L37=0,"x",F43/'AW Schulen'!$L37)</f>
        <v>x</v>
      </c>
      <c r="L43" s="156" t="str">
        <f>IF('AW Schulen'!$O37=0,"x",G43/'AW Schulen'!$O37)</f>
        <v>x</v>
      </c>
    </row>
    <row r="44" spans="1:12" ht="9" customHeight="1">
      <c r="A44" s="21" t="s">
        <v>94</v>
      </c>
      <c r="B44" s="120"/>
      <c r="C44" s="151">
        <f>[56]GtS!$F$52</f>
        <v>0</v>
      </c>
      <c r="D44" s="151">
        <f>[57]GtS!$F$54</f>
        <v>0</v>
      </c>
      <c r="E44" s="151">
        <f>[58]GtS!$F$54</f>
        <v>0</v>
      </c>
      <c r="F44" s="151">
        <f>[59]GtS!$F$54</f>
        <v>0</v>
      </c>
      <c r="G44" s="152">
        <f>[60]GtS!$F$54</f>
        <v>0</v>
      </c>
      <c r="H44" s="155" t="str">
        <f>IF('AW Schulen'!$C38=0,"x",C44/'AW Schulen'!$C38)</f>
        <v>x</v>
      </c>
      <c r="I44" s="155" t="str">
        <f>IF('AW Schulen'!$F38=0,"x",D44/'AW Schulen'!$F38)</f>
        <v>x</v>
      </c>
      <c r="J44" s="155" t="str">
        <f>IF('AW Schulen'!$I38=0,"x",E44/'AW Schulen'!$I38)</f>
        <v>x</v>
      </c>
      <c r="K44" s="155" t="str">
        <f>IF('AW Schulen'!$L38=0,"x",F44/'AW Schulen'!$L38)</f>
        <v>x</v>
      </c>
      <c r="L44" s="156" t="str">
        <f>IF('AW Schulen'!$O38=0,"x",G44/'AW Schulen'!$O38)</f>
        <v>x</v>
      </c>
    </row>
    <row r="45" spans="1:12" ht="9" customHeight="1">
      <c r="A45" s="21" t="s">
        <v>95</v>
      </c>
      <c r="B45" s="120"/>
      <c r="C45" s="151">
        <f>[61]GtS!$F$52</f>
        <v>0</v>
      </c>
      <c r="D45" s="151">
        <f>[62]GtS!$F$54</f>
        <v>0</v>
      </c>
      <c r="E45" s="151">
        <f>[63]GtS!$F$54</f>
        <v>0</v>
      </c>
      <c r="F45" s="151">
        <f>[64]GtS!$F$54</f>
        <v>0</v>
      </c>
      <c r="G45" s="152">
        <f>[65]GtS!$F$54</f>
        <v>0</v>
      </c>
      <c r="H45" s="155" t="str">
        <f>IF('AW Schulen'!$C39=0,"x",C45/'AW Schulen'!$C39)</f>
        <v>x</v>
      </c>
      <c r="I45" s="155" t="str">
        <f>IF('AW Schulen'!$F39=0,"x",D45/'AW Schulen'!$F39)</f>
        <v>x</v>
      </c>
      <c r="J45" s="155" t="str">
        <f>IF('AW Schulen'!$I39=0,"x",E45/'AW Schulen'!$I39)</f>
        <v>x</v>
      </c>
      <c r="K45" s="155" t="str">
        <f>IF('AW Schulen'!$L39=0,"x",F45/'AW Schulen'!$L39)</f>
        <v>x</v>
      </c>
      <c r="L45" s="156" t="str">
        <f>IF('AW Schulen'!$O39=0,"x",G45/'AW Schulen'!$O39)</f>
        <v>x</v>
      </c>
    </row>
    <row r="46" spans="1:12" ht="9" customHeight="1">
      <c r="A46" s="21" t="s">
        <v>96</v>
      </c>
      <c r="B46" s="120"/>
      <c r="C46" s="23">
        <f t="shared" ref="C46:E46" si="35">SUM(C30:C45)</f>
        <v>5</v>
      </c>
      <c r="D46" s="23">
        <f t="shared" si="35"/>
        <v>5</v>
      </c>
      <c r="E46" s="23">
        <f t="shared" si="35"/>
        <v>5</v>
      </c>
      <c r="F46" s="23">
        <f t="shared" ref="F46:G46" si="36">SUM(F30:F45)</f>
        <v>10</v>
      </c>
      <c r="G46" s="34">
        <f t="shared" si="36"/>
        <v>10</v>
      </c>
      <c r="H46" s="155">
        <f>IF('AW Schulen'!$C40=0,"x",C46/'AW Schulen'!$C40)</f>
        <v>4.716981132075472E-2</v>
      </c>
      <c r="I46" s="155">
        <f>IF('AW Schulen'!$F40=0,"x",D46/'AW Schulen'!$F40)</f>
        <v>4.7619047619047616E-2</v>
      </c>
      <c r="J46" s="155">
        <f>IF('AW Schulen'!$I40=0,"x",E46/'AW Schulen'!$I40)</f>
        <v>4.2372881355932202E-2</v>
      </c>
      <c r="K46" s="155">
        <f>IF('AW Schulen'!$L40=0,"x",F46/'AW Schulen'!$L40)</f>
        <v>8.4033613445378158E-2</v>
      </c>
      <c r="L46" s="156">
        <f>IF('AW Schulen'!$O40=0,"x",G46/'AW Schulen'!$O40)</f>
        <v>8.5470085470085472E-2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151">
        <f>[1]GtS!$G$52</f>
        <v>0</v>
      </c>
      <c r="D48" s="151">
        <f>[2]GtS!$G$54</f>
        <v>0</v>
      </c>
      <c r="E48" s="151">
        <f>[3]GtS!$G$54</f>
        <v>0</v>
      </c>
      <c r="F48" s="151">
        <f>[4]GtS!$G$54</f>
        <v>0</v>
      </c>
      <c r="G48" s="152">
        <f>[5]GtS!$G$54</f>
        <v>0</v>
      </c>
      <c r="H48" s="155" t="str">
        <f>IF('AW Schulen'!$C24=0,"x",C48/'AW Schulen'!$C24)</f>
        <v>x</v>
      </c>
      <c r="I48" s="155" t="str">
        <f>IF('AW Schulen'!$F24=0,"x",D48/'AW Schulen'!$F24)</f>
        <v>x</v>
      </c>
      <c r="J48" s="155" t="str">
        <f>IF('AW Schulen'!$I24=0,"x",E48/'AW Schulen'!$I24)</f>
        <v>x</v>
      </c>
      <c r="K48" s="155" t="str">
        <f>IF('AW Schulen'!$L24=0,"x",F48/'AW Schulen'!$L24)</f>
        <v>x</v>
      </c>
      <c r="L48" s="156" t="str">
        <f>IF('AW Schulen'!$O24=0,"x",G48/'AW Schulen'!$O24)</f>
        <v>x</v>
      </c>
    </row>
    <row r="49" spans="1:12" ht="9" customHeight="1">
      <c r="A49" s="21" t="s">
        <v>81</v>
      </c>
      <c r="B49" s="120"/>
      <c r="C49" s="151">
        <f>[6]GtS!$G$52</f>
        <v>0</v>
      </c>
      <c r="D49" s="151">
        <f>[7]GtS!$G$54</f>
        <v>0</v>
      </c>
      <c r="E49" s="151">
        <f>[8]GtS!$G$54</f>
        <v>0</v>
      </c>
      <c r="F49" s="151" t="str">
        <f>[9]GtS!$G$54</f>
        <v xml:space="preserve">                                      -   </v>
      </c>
      <c r="G49" s="152">
        <f>[10]GtS!$G$54</f>
        <v>0</v>
      </c>
      <c r="H49" s="155" t="str">
        <f>IF('AW Schulen'!$C25=0,"x",C49/'AW Schulen'!$C25)</f>
        <v>x</v>
      </c>
      <c r="I49" s="155" t="str">
        <f>IF('AW Schulen'!$F25=0,"x",D49/'AW Schulen'!$F25)</f>
        <v>x</v>
      </c>
      <c r="J49" s="155" t="str">
        <f>IF('AW Schulen'!$I25=0,"x",E49/'AW Schulen'!$I25)</f>
        <v>x</v>
      </c>
      <c r="K49" s="155" t="e">
        <f>IF('AW Schulen'!$L25=0,"x",F49/'AW Schulen'!$L25)</f>
        <v>#VALUE!</v>
      </c>
      <c r="L49" s="156" t="str">
        <f>IF('AW Schulen'!$O25=0,"x",G49/'AW Schulen'!$O25)</f>
        <v>x</v>
      </c>
    </row>
    <row r="50" spans="1:12" ht="9" customHeight="1">
      <c r="A50" s="21" t="s">
        <v>82</v>
      </c>
      <c r="B50" s="120"/>
      <c r="C50" s="23">
        <f>[11]GtS!$G$52</f>
        <v>0</v>
      </c>
      <c r="D50" s="23">
        <f>[12]GtS!$G$54</f>
        <v>0</v>
      </c>
      <c r="E50" s="23">
        <f>[13]GtS!$G$54</f>
        <v>0</v>
      </c>
      <c r="F50" s="23">
        <f>[14]GtS!$G$54</f>
        <v>0</v>
      </c>
      <c r="G50" s="34">
        <f>[15]GtS!$G$54</f>
        <v>0</v>
      </c>
      <c r="H50" s="155">
        <f>IF('AW Schulen'!$C26=0,"x",C50/'AW Schulen'!$C26)</f>
        <v>0</v>
      </c>
      <c r="I50" s="155">
        <f>IF('AW Schulen'!$F26=0,"x",D50/'AW Schulen'!$F26)</f>
        <v>0</v>
      </c>
      <c r="J50" s="155">
        <f>IF('AW Schulen'!$I26=0,"x",E50/'AW Schulen'!$I26)</f>
        <v>0</v>
      </c>
      <c r="K50" s="155">
        <f>IF('AW Schulen'!$L26=0,"x",F50/'AW Schulen'!$L26)</f>
        <v>0</v>
      </c>
      <c r="L50" s="156">
        <f>IF('AW Schulen'!$O26=0,"x",G50/'AW Schulen'!$O26)</f>
        <v>0</v>
      </c>
    </row>
    <row r="51" spans="1:12" ht="9" customHeight="1">
      <c r="A51" s="21" t="s">
        <v>83</v>
      </c>
      <c r="B51" s="120"/>
      <c r="C51" s="23">
        <f>[16]GtS!$G$52</f>
        <v>0</v>
      </c>
      <c r="D51" s="23">
        <f>[17]GtS!$G$54</f>
        <v>0</v>
      </c>
      <c r="E51" s="23">
        <f>[18]GtS!$G$54</f>
        <v>0</v>
      </c>
      <c r="F51" s="23">
        <f>[19]GtS!$G$54</f>
        <v>0</v>
      </c>
      <c r="G51" s="34">
        <f>[20]GtS!$G$54</f>
        <v>39</v>
      </c>
      <c r="H51" s="155">
        <f>IF('AW Schulen'!$C27=0,"x",C51/'AW Schulen'!$C27)</f>
        <v>0</v>
      </c>
      <c r="I51" s="155">
        <f>IF('AW Schulen'!$F27=0,"x",D51/'AW Schulen'!$F27)</f>
        <v>0</v>
      </c>
      <c r="J51" s="155">
        <f>IF('AW Schulen'!$I27=0,"x",E51/'AW Schulen'!$I27)</f>
        <v>0</v>
      </c>
      <c r="K51" s="155">
        <f>IF('AW Schulen'!$L27=0,"x",F51/'AW Schulen'!$L27)</f>
        <v>0</v>
      </c>
      <c r="L51" s="156">
        <f>IF('AW Schulen'!$O27=0,"x",G51/'AW Schulen'!$O27)</f>
        <v>0.62903225806451613</v>
      </c>
    </row>
    <row r="52" spans="1:12" ht="9" customHeight="1">
      <c r="A52" s="21" t="s">
        <v>84</v>
      </c>
      <c r="B52" s="120"/>
      <c r="C52" s="151">
        <f>[21]GtS!$G$52</f>
        <v>0</v>
      </c>
      <c r="D52" s="151">
        <f>[22]GtS!$G$54</f>
        <v>0</v>
      </c>
      <c r="E52" s="151">
        <f>[23]GtS!$G$54</f>
        <v>0</v>
      </c>
      <c r="F52" s="151">
        <f>[24]GtS!$G$54</f>
        <v>0</v>
      </c>
      <c r="G52" s="152">
        <f>[25]GtS!$G$54</f>
        <v>0</v>
      </c>
      <c r="H52" s="155" t="str">
        <f>IF('AW Schulen'!$C28=0,"x",C52/'AW Schulen'!$C28)</f>
        <v>x</v>
      </c>
      <c r="I52" s="155" t="str">
        <f>IF('AW Schulen'!$F28=0,"x",D52/'AW Schulen'!$F28)</f>
        <v>x</v>
      </c>
      <c r="J52" s="155" t="str">
        <f>IF('AW Schulen'!$I28=0,"x",E52/'AW Schulen'!$I28)</f>
        <v>x</v>
      </c>
      <c r="K52" s="155" t="str">
        <f>IF('AW Schulen'!$L28=0,"x",F52/'AW Schulen'!$L28)</f>
        <v>x</v>
      </c>
      <c r="L52" s="156" t="str">
        <f>IF('AW Schulen'!$O28=0,"x",G52/'AW Schulen'!$O28)</f>
        <v>x</v>
      </c>
    </row>
    <row r="53" spans="1:12" ht="9" customHeight="1">
      <c r="A53" s="21" t="s">
        <v>85</v>
      </c>
      <c r="B53" s="120"/>
      <c r="C53" s="36">
        <f>[26]GtS!$G$52</f>
        <v>0</v>
      </c>
      <c r="D53" s="36">
        <f>[27]GtS!$G$54</f>
        <v>0</v>
      </c>
      <c r="E53" s="36">
        <f>[28]GtS!$G$54</f>
        <v>0</v>
      </c>
      <c r="F53" s="36">
        <f>[29]GtS!$G$54</f>
        <v>0</v>
      </c>
      <c r="G53" s="37">
        <f>[30]GtS!$G$54</f>
        <v>0</v>
      </c>
      <c r="H53" s="183" t="str">
        <f>IF('AW Schulen'!$C29=0,".",C53/'AW Schulen'!$C29)</f>
        <v>.</v>
      </c>
      <c r="I53" s="183">
        <f>IF('AW Schulen'!$F29=0,".",D53/'AW Schulen'!$F29)</f>
        <v>0</v>
      </c>
      <c r="J53" s="183">
        <f>IF('AW Schulen'!$I29=0,".",E53/'AW Schulen'!$I29)</f>
        <v>0</v>
      </c>
      <c r="K53" s="183">
        <f>IF('AW Schulen'!$L29=0,".",F53/'AW Schulen'!$L29)</f>
        <v>0</v>
      </c>
      <c r="L53" s="197">
        <f>IF('AW Schulen'!$O29=0,".",G53/'AW Schulen'!$O29)</f>
        <v>0</v>
      </c>
    </row>
    <row r="54" spans="1:12" ht="9" customHeight="1">
      <c r="A54" s="21" t="s">
        <v>86</v>
      </c>
      <c r="B54" s="120"/>
      <c r="C54" s="36">
        <f>[66]GtS!$G$52</f>
        <v>0</v>
      </c>
      <c r="D54" s="36">
        <f>[67]GtS!$G$54</f>
        <v>0</v>
      </c>
      <c r="E54" s="36">
        <f>[68]GtS!$G$54</f>
        <v>0</v>
      </c>
      <c r="F54" s="36">
        <f>[69]GtS!$G$54</f>
        <v>0</v>
      </c>
      <c r="G54" s="37">
        <f>[70]GtS!$G$54</f>
        <v>0</v>
      </c>
      <c r="H54" s="183">
        <f>IF('AW Schulen'!$C30=0,"x",C54/'AW Schulen'!$C30)</f>
        <v>0</v>
      </c>
      <c r="I54" s="183" t="str">
        <f>IF('AW Schulen'!$F30=0,".",D54/'AW Schulen'!$F30)</f>
        <v>.</v>
      </c>
      <c r="J54" s="183" t="str">
        <f>IF('AW Schulen'!$I30=0,".",E54/'AW Schulen'!$I30)</f>
        <v>.</v>
      </c>
      <c r="K54" s="183" t="str">
        <f>IF('AW Schulen'!$L30=0,".",F54/'AW Schulen'!$L30)</f>
        <v>.</v>
      </c>
      <c r="L54" s="197" t="str">
        <f>IF('AW Schulen'!$O30=0,".",G54/'AW Schulen'!$O30)</f>
        <v>.</v>
      </c>
    </row>
    <row r="55" spans="1:12" ht="9" customHeight="1">
      <c r="A55" s="21" t="s">
        <v>87</v>
      </c>
      <c r="B55" s="120"/>
      <c r="C55" s="151">
        <f>[31]GtS!$G$52</f>
        <v>0</v>
      </c>
      <c r="D55" s="151">
        <f>[32]GtS!$G$54</f>
        <v>0</v>
      </c>
      <c r="E55" s="151">
        <f>[33]GtS!$G$54</f>
        <v>0</v>
      </c>
      <c r="F55" s="151">
        <f>[34]GtS!$G$54</f>
        <v>0</v>
      </c>
      <c r="G55" s="152">
        <f>[35]GtS!$G$54</f>
        <v>0</v>
      </c>
      <c r="H55" s="155" t="str">
        <f>IF('AW Schulen'!$C31=0,"x",C55/'AW Schulen'!$C31)</f>
        <v>x</v>
      </c>
      <c r="I55" s="155" t="str">
        <f>IF('AW Schulen'!$F31=0,"x",D55/'AW Schulen'!$F31)</f>
        <v>x</v>
      </c>
      <c r="J55" s="155" t="str">
        <f>IF('AW Schulen'!$I31=0,"x",E55/'AW Schulen'!$I31)</f>
        <v>x</v>
      </c>
      <c r="K55" s="155" t="str">
        <f>IF('AW Schulen'!$L31=0,"x",F55/'AW Schulen'!$L31)</f>
        <v>x</v>
      </c>
      <c r="L55" s="156" t="str">
        <f>IF('AW Schulen'!$O31=0,"x",G55/'AW Schulen'!$O31)</f>
        <v>x</v>
      </c>
    </row>
    <row r="56" spans="1:12" ht="9" customHeight="1">
      <c r="A56" s="21" t="s">
        <v>88</v>
      </c>
      <c r="B56" s="120"/>
      <c r="C56" s="151">
        <f>[71]GtS!$G$52</f>
        <v>0</v>
      </c>
      <c r="D56" s="151">
        <f>[72]GtS!$G$54</f>
        <v>0</v>
      </c>
      <c r="E56" s="151">
        <f>[73]GtS!$G$54</f>
        <v>0</v>
      </c>
      <c r="F56" s="151">
        <f>[74]GtS!$G$54</f>
        <v>0</v>
      </c>
      <c r="G56" s="152">
        <f>[75]GtS!$G$54</f>
        <v>0</v>
      </c>
      <c r="H56" s="155" t="str">
        <f>IF('AW Schulen'!$C32=0,"x",C56/'AW Schulen'!$C32)</f>
        <v>x</v>
      </c>
      <c r="I56" s="155" t="str">
        <f>IF('AW Schulen'!$F32=0,"x",D56/'AW Schulen'!$F32)</f>
        <v>x</v>
      </c>
      <c r="J56" s="155" t="str">
        <f>IF('AW Schulen'!$I32=0,"x",E56/'AW Schulen'!$I32)</f>
        <v>x</v>
      </c>
      <c r="K56" s="155" t="str">
        <f>IF('AW Schulen'!$L32=0,"x",F56/'AW Schulen'!$L32)</f>
        <v>x</v>
      </c>
      <c r="L56" s="156" t="str">
        <f>IF('AW Schulen'!$O32=0,"x",G56/'AW Schulen'!$O32)</f>
        <v>x</v>
      </c>
    </row>
    <row r="57" spans="1:12" ht="9" customHeight="1">
      <c r="A57" s="21" t="s">
        <v>89</v>
      </c>
      <c r="B57" s="120"/>
      <c r="C57" s="151">
        <f>[36]GtS!$G$52</f>
        <v>0</v>
      </c>
      <c r="D57" s="151">
        <f>[37]GtS!$G$54</f>
        <v>0</v>
      </c>
      <c r="E57" s="151">
        <f>[38]GtS!$G$54</f>
        <v>0</v>
      </c>
      <c r="F57" s="151">
        <f>[39]GtS!$G$54</f>
        <v>0</v>
      </c>
      <c r="G57" s="152">
        <f>[40]GtS!$G$54</f>
        <v>0</v>
      </c>
      <c r="H57" s="155" t="str">
        <f>IF('AW Schulen'!$C33=0,"x",C57/'AW Schulen'!$C33)</f>
        <v>x</v>
      </c>
      <c r="I57" s="155" t="str">
        <f>IF('AW Schulen'!$F33=0,"x",D57/'AW Schulen'!$F33)</f>
        <v>x</v>
      </c>
      <c r="J57" s="155" t="str">
        <f>IF('AW Schulen'!$I33=0,"x",E57/'AW Schulen'!$I33)</f>
        <v>x</v>
      </c>
      <c r="K57" s="155" t="str">
        <f>IF('AW Schulen'!$L33=0,"x",F57/'AW Schulen'!$L33)</f>
        <v>x</v>
      </c>
      <c r="L57" s="156" t="str">
        <f>IF('AW Schulen'!$O33=0,"x",G57/'AW Schulen'!$O33)</f>
        <v>x</v>
      </c>
    </row>
    <row r="58" spans="1:12" ht="9" customHeight="1">
      <c r="A58" s="21" t="s">
        <v>90</v>
      </c>
      <c r="B58" s="120"/>
      <c r="C58" s="151">
        <f>[41]GtS!$G$52</f>
        <v>0</v>
      </c>
      <c r="D58" s="151">
        <f>[42]GtS!$G$54</f>
        <v>0</v>
      </c>
      <c r="E58" s="151">
        <f>[43]GtS!$G$54</f>
        <v>0</v>
      </c>
      <c r="F58" s="151">
        <f>[44]GtS!$G$54</f>
        <v>0</v>
      </c>
      <c r="G58" s="152">
        <f>[45]GtS!$G$54</f>
        <v>0</v>
      </c>
      <c r="H58" s="155" t="str">
        <f>IF('AW Schulen'!$C34=0,"x",C58/'AW Schulen'!$C34)</f>
        <v>x</v>
      </c>
      <c r="I58" s="155" t="str">
        <f>IF('AW Schulen'!$F34=0,"x",D58/'AW Schulen'!$F34)</f>
        <v>x</v>
      </c>
      <c r="J58" s="155" t="str">
        <f>IF('AW Schulen'!$I34=0,"x",E58/'AW Schulen'!$I34)</f>
        <v>x</v>
      </c>
      <c r="K58" s="155" t="str">
        <f>IF('AW Schulen'!$L34=0,"x",F58/'AW Schulen'!$L34)</f>
        <v>x</v>
      </c>
      <c r="L58" s="156" t="str">
        <f>IF('AW Schulen'!$O34=0,"x",G58/'AW Schulen'!$O34)</f>
        <v>x</v>
      </c>
    </row>
    <row r="59" spans="1:12" ht="9" customHeight="1">
      <c r="A59" s="21" t="s">
        <v>91</v>
      </c>
      <c r="B59" s="120"/>
      <c r="C59" s="151">
        <f>[46]GtS!$G$52</f>
        <v>0</v>
      </c>
      <c r="D59" s="151">
        <f>[47]GtS!$G$54</f>
        <v>0</v>
      </c>
      <c r="E59" s="151">
        <f>[48]GtS!$G$54</f>
        <v>0</v>
      </c>
      <c r="F59" s="151">
        <f>[49]GtS!$G$54</f>
        <v>0</v>
      </c>
      <c r="G59" s="152">
        <f>[50]GtS!$G$54</f>
        <v>0</v>
      </c>
      <c r="H59" s="155" t="str">
        <f>IF('AW Schulen'!$C35=0,"x",C59/'AW Schulen'!$C35)</f>
        <v>x</v>
      </c>
      <c r="I59" s="155" t="str">
        <f>IF('AW Schulen'!$F35=0,"x",D59/'AW Schulen'!$F35)</f>
        <v>x</v>
      </c>
      <c r="J59" s="155" t="str">
        <f>IF('AW Schulen'!$I35=0,"x",E59/'AW Schulen'!$I35)</f>
        <v>x</v>
      </c>
      <c r="K59" s="155" t="str">
        <f>IF('AW Schulen'!$L35=0,"x",F59/'AW Schulen'!$L35)</f>
        <v>x</v>
      </c>
      <c r="L59" s="156" t="str">
        <f>IF('AW Schulen'!$O35=0,"x",G59/'AW Schulen'!$O35)</f>
        <v>x</v>
      </c>
    </row>
    <row r="60" spans="1:12" ht="9" customHeight="1">
      <c r="A60" s="21" t="s">
        <v>92</v>
      </c>
      <c r="B60" s="120"/>
      <c r="C60" s="151">
        <f>[51]GtS!$G$52</f>
        <v>0</v>
      </c>
      <c r="D60" s="151">
        <f>[52]GtS!$G$54</f>
        <v>0</v>
      </c>
      <c r="E60" s="151">
        <f>[53]GtS!$G$54</f>
        <v>0</v>
      </c>
      <c r="F60" s="151">
        <f>[54]GtS!$G$54</f>
        <v>0</v>
      </c>
      <c r="G60" s="152">
        <f>[55]GtS!$G$54</f>
        <v>0</v>
      </c>
      <c r="H60" s="155" t="str">
        <f>IF('AW Schulen'!$C36=0,"x",C60/'AW Schulen'!$C36)</f>
        <v>x</v>
      </c>
      <c r="I60" s="155" t="str">
        <f>IF('AW Schulen'!$F36=0,"x",D60/'AW Schulen'!$F36)</f>
        <v>x</v>
      </c>
      <c r="J60" s="155" t="str">
        <f>IF('AW Schulen'!$I36=0,"x",E60/'AW Schulen'!$I36)</f>
        <v>x</v>
      </c>
      <c r="K60" s="155" t="str">
        <f>IF('AW Schulen'!$L36=0,"x",F60/'AW Schulen'!$L36)</f>
        <v>x</v>
      </c>
      <c r="L60" s="156" t="str">
        <f>IF('AW Schulen'!$O36=0,"x",G60/'AW Schulen'!$O36)</f>
        <v>x</v>
      </c>
    </row>
    <row r="61" spans="1:12" ht="9" customHeight="1">
      <c r="A61" s="21" t="s">
        <v>93</v>
      </c>
      <c r="B61" s="120"/>
      <c r="C61" s="151">
        <f>[76]GtS!$G$52</f>
        <v>0</v>
      </c>
      <c r="D61" s="151">
        <f>[77]GtS!$G$54</f>
        <v>0</v>
      </c>
      <c r="E61" s="151">
        <f>[78]GtS!$G$54</f>
        <v>0</v>
      </c>
      <c r="F61" s="151">
        <f>[79]GtS!$G$54</f>
        <v>0</v>
      </c>
      <c r="G61" s="152">
        <f>[80]GtS!$G$54</f>
        <v>0</v>
      </c>
      <c r="H61" s="155" t="str">
        <f>IF('AW Schulen'!$C37=0,"x",C61/'AW Schulen'!$C37)</f>
        <v>x</v>
      </c>
      <c r="I61" s="155" t="str">
        <f>IF('AW Schulen'!$F37=0,"x",D61/'AW Schulen'!$F37)</f>
        <v>x</v>
      </c>
      <c r="J61" s="155" t="str">
        <f>IF('AW Schulen'!$I37=0,"x",E61/'AW Schulen'!$I37)</f>
        <v>x</v>
      </c>
      <c r="K61" s="155" t="str">
        <f>IF('AW Schulen'!$L37=0,"x",F61/'AW Schulen'!$L37)</f>
        <v>x</v>
      </c>
      <c r="L61" s="156" t="str">
        <f>IF('AW Schulen'!$O37=0,"x",G61/'AW Schulen'!$O37)</f>
        <v>x</v>
      </c>
    </row>
    <row r="62" spans="1:12" ht="9" customHeight="1">
      <c r="A62" s="21" t="s">
        <v>94</v>
      </c>
      <c r="B62" s="120"/>
      <c r="C62" s="151">
        <f>[56]GtS!$G$52</f>
        <v>0</v>
      </c>
      <c r="D62" s="151">
        <f>[57]GtS!$G$54</f>
        <v>0</v>
      </c>
      <c r="E62" s="151">
        <f>[58]GtS!$G$54</f>
        <v>0</v>
      </c>
      <c r="F62" s="151">
        <f>[59]GtS!$G$54</f>
        <v>0</v>
      </c>
      <c r="G62" s="152">
        <f>[60]GtS!$G$54</f>
        <v>0</v>
      </c>
      <c r="H62" s="155" t="str">
        <f>IF('AW Schulen'!$C38=0,"x",C62/'AW Schulen'!$C38)</f>
        <v>x</v>
      </c>
      <c r="I62" s="155" t="str">
        <f>IF('AW Schulen'!$F38=0,"x",D62/'AW Schulen'!$F38)</f>
        <v>x</v>
      </c>
      <c r="J62" s="155" t="str">
        <f>IF('AW Schulen'!$I38=0,"x",E62/'AW Schulen'!$I38)</f>
        <v>x</v>
      </c>
      <c r="K62" s="155" t="str">
        <f>IF('AW Schulen'!$L38=0,"x",F62/'AW Schulen'!$L38)</f>
        <v>x</v>
      </c>
      <c r="L62" s="156" t="str">
        <f>IF('AW Schulen'!$O38=0,"x",G62/'AW Schulen'!$O38)</f>
        <v>x</v>
      </c>
    </row>
    <row r="63" spans="1:12" ht="9" customHeight="1">
      <c r="A63" s="21" t="s">
        <v>95</v>
      </c>
      <c r="B63" s="120"/>
      <c r="C63" s="151">
        <f>[61]GtS!$G$52</f>
        <v>0</v>
      </c>
      <c r="D63" s="151">
        <f>[62]GtS!$G$54</f>
        <v>0</v>
      </c>
      <c r="E63" s="151">
        <f>[63]GtS!$G$54</f>
        <v>0</v>
      </c>
      <c r="F63" s="151">
        <f>[64]GtS!$G$54</f>
        <v>0</v>
      </c>
      <c r="G63" s="152">
        <f>[65]GtS!$G$54</f>
        <v>0</v>
      </c>
      <c r="H63" s="155" t="str">
        <f>IF('AW Schulen'!$C39=0,"x",C63/'AW Schulen'!$C39)</f>
        <v>x</v>
      </c>
      <c r="I63" s="155" t="str">
        <f>IF('AW Schulen'!$F39=0,"x",D63/'AW Schulen'!$F39)</f>
        <v>x</v>
      </c>
      <c r="J63" s="155" t="str">
        <f>IF('AW Schulen'!$I39=0,"x",E63/'AW Schulen'!$I39)</f>
        <v>x</v>
      </c>
      <c r="K63" s="155" t="str">
        <f>IF('AW Schulen'!$L39=0,"x",F63/'AW Schulen'!$L39)</f>
        <v>x</v>
      </c>
      <c r="L63" s="156" t="str">
        <f>IF('AW Schulen'!$O39=0,"x",G63/'AW Schulen'!$O39)</f>
        <v>x</v>
      </c>
    </row>
    <row r="64" spans="1:12" ht="8.65" customHeight="1">
      <c r="A64" s="21" t="s">
        <v>96</v>
      </c>
      <c r="B64" s="120"/>
      <c r="C64" s="23">
        <f t="shared" ref="C64:E64" si="37">SUM(C48:C63)</f>
        <v>0</v>
      </c>
      <c r="D64" s="23">
        <f t="shared" si="37"/>
        <v>0</v>
      </c>
      <c r="E64" s="23">
        <f t="shared" si="37"/>
        <v>0</v>
      </c>
      <c r="F64" s="23">
        <f t="shared" ref="F64:G64" si="38">SUM(F48:F63)</f>
        <v>0</v>
      </c>
      <c r="G64" s="34">
        <f t="shared" si="38"/>
        <v>39</v>
      </c>
      <c r="H64" s="155">
        <f>IF('AW Schulen'!$C40=0,"x",C64/'AW Schulen'!$C40)</f>
        <v>0</v>
      </c>
      <c r="I64" s="155">
        <f>IF('AW Schulen'!$F40=0,"x",D64/'AW Schulen'!$F40)</f>
        <v>0</v>
      </c>
      <c r="J64" s="155">
        <f>IF('AW Schulen'!$I40=0,"x",E64/'AW Schulen'!$I40)</f>
        <v>0</v>
      </c>
      <c r="K64" s="155">
        <f>IF('AW Schulen'!$L40=0,"x",F64/'AW Schulen'!$L40)</f>
        <v>0</v>
      </c>
      <c r="L64" s="156">
        <f>IF('AW Schulen'!$O40=0,"x",G64/'AW Schulen'!$O40)</f>
        <v>0.33333333333333331</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151">
        <f>[1]GtS!$H$52</f>
        <v>0</v>
      </c>
      <c r="D66" s="151">
        <f>[2]GtS!$H$54</f>
        <v>0</v>
      </c>
      <c r="E66" s="151">
        <f>[3]GtS!$H$54</f>
        <v>0</v>
      </c>
      <c r="F66" s="151">
        <f>[4]GtS!$H$54</f>
        <v>0</v>
      </c>
      <c r="G66" s="152">
        <f>[5]GtS!$H$54</f>
        <v>0</v>
      </c>
      <c r="H66" s="155" t="str">
        <f>IF('AW Schulen'!$C24=0,"x",C66/'AW Schulen'!$C24)</f>
        <v>x</v>
      </c>
      <c r="I66" s="155" t="str">
        <f>IF('AW Schulen'!$F24=0,"x",D66/'AW Schulen'!$F24)</f>
        <v>x</v>
      </c>
      <c r="J66" s="155" t="str">
        <f>IF('AW Schulen'!$I24=0,"x",E66/'AW Schulen'!$I24)</f>
        <v>x</v>
      </c>
      <c r="K66" s="155" t="str">
        <f>IF('AW Schulen'!$L24=0,"x",F66/'AW Schulen'!$L24)</f>
        <v>x</v>
      </c>
      <c r="L66" s="156" t="str">
        <f>IF('AW Schulen'!$O24=0,"x",G66/'AW Schulen'!$O24)</f>
        <v>x</v>
      </c>
    </row>
    <row r="67" spans="1:12" ht="10.15" customHeight="1">
      <c r="A67" s="224" t="s">
        <v>81</v>
      </c>
      <c r="B67" s="120"/>
      <c r="C67" s="151">
        <f>[6]GtS!$H$52</f>
        <v>0</v>
      </c>
      <c r="D67" s="151">
        <f>[7]GtS!$H$54</f>
        <v>0</v>
      </c>
      <c r="E67" s="151">
        <f>[8]GtS!$H$54</f>
        <v>0</v>
      </c>
      <c r="F67" s="151" t="str">
        <f>[9]GtS!$H$54</f>
        <v xml:space="preserve">                                      -   </v>
      </c>
      <c r="G67" s="152">
        <f>[10]GtS!$H$54</f>
        <v>0</v>
      </c>
      <c r="H67" s="155" t="str">
        <f>IF('AW Schulen'!$C25=0,"x",C67/'AW Schulen'!$C25)</f>
        <v>x</v>
      </c>
      <c r="I67" s="155" t="str">
        <f>IF('AW Schulen'!$F25=0,"x",D67/'AW Schulen'!$F25)</f>
        <v>x</v>
      </c>
      <c r="J67" s="155" t="str">
        <f>IF('AW Schulen'!$I25=0,"x",E67/'AW Schulen'!$I25)</f>
        <v>x</v>
      </c>
      <c r="K67" s="155" t="e">
        <f>IF('AW Schulen'!$L25=0,"x",F67/'AW Schulen'!$L25)</f>
        <v>#VALUE!</v>
      </c>
      <c r="L67" s="156" t="str">
        <f>IF('AW Schulen'!$O25=0,"x",G67/'AW Schulen'!$O25)</f>
        <v>x</v>
      </c>
    </row>
    <row r="68" spans="1:12" ht="10.15" customHeight="1">
      <c r="A68" s="224" t="s">
        <v>82</v>
      </c>
      <c r="B68" s="120"/>
      <c r="C68" s="23">
        <f>[11]GtS!$H$52</f>
        <v>36</v>
      </c>
      <c r="D68" s="23">
        <f>[12]GtS!$H$54</f>
        <v>35</v>
      </c>
      <c r="E68" s="23">
        <f>[13]GtS!$H$54</f>
        <v>31</v>
      </c>
      <c r="F68" s="23">
        <f>[14]GtS!$H$54</f>
        <v>42</v>
      </c>
      <c r="G68" s="34">
        <f>[15]GtS!$H$54</f>
        <v>37</v>
      </c>
      <c r="H68" s="155">
        <f>IF('AW Schulen'!$C26=0,"x",C68/'AW Schulen'!$C26)</f>
        <v>0.72</v>
      </c>
      <c r="I68" s="155">
        <f>IF('AW Schulen'!$F26=0,"x",D68/'AW Schulen'!$F26)</f>
        <v>0.77777777777777779</v>
      </c>
      <c r="J68" s="155">
        <f>IF('AW Schulen'!$I26=0,"x",E68/'AW Schulen'!$I26)</f>
        <v>0.54385964912280704</v>
      </c>
      <c r="K68" s="155">
        <f>IF('AW Schulen'!$L26=0,"x",F68/'AW Schulen'!$L26)</f>
        <v>0.73684210526315785</v>
      </c>
      <c r="L68" s="156">
        <f>IF('AW Schulen'!$O26=0,"x",G68/'AW Schulen'!$O26)</f>
        <v>0.68518518518518523</v>
      </c>
    </row>
    <row r="69" spans="1:12" ht="9" customHeight="1">
      <c r="A69" s="21" t="s">
        <v>83</v>
      </c>
      <c r="B69" s="120"/>
      <c r="C69" s="23">
        <f>[16]GtS!$H$52</f>
        <v>46</v>
      </c>
      <c r="D69" s="23">
        <f>[17]GtS!$H$54</f>
        <v>48</v>
      </c>
      <c r="E69" s="23">
        <f>[18]GtS!$H$54</f>
        <v>49</v>
      </c>
      <c r="F69" s="23">
        <f>[19]GtS!$H$54</f>
        <v>49</v>
      </c>
      <c r="G69" s="34">
        <f>[20]GtS!$H$54</f>
        <v>10</v>
      </c>
      <c r="H69" s="155">
        <f>IF('AW Schulen'!$C27=0,"x",C69/'AW Schulen'!$C27)</f>
        <v>0.8214285714285714</v>
      </c>
      <c r="I69" s="155">
        <f>IF('AW Schulen'!$F27=0,"x",D69/'AW Schulen'!$F27)</f>
        <v>0.81355932203389836</v>
      </c>
      <c r="J69" s="155">
        <f>IF('AW Schulen'!$I27=0,"x",E69/'AW Schulen'!$I27)</f>
        <v>0.81666666666666665</v>
      </c>
      <c r="K69" s="155">
        <f>IF('AW Schulen'!$L27=0,"x",F69/'AW Schulen'!$L27)</f>
        <v>0.80327868852459017</v>
      </c>
      <c r="L69" s="156">
        <f>IF('AW Schulen'!$O27=0,"x",G69/'AW Schulen'!$O27)</f>
        <v>0.16129032258064516</v>
      </c>
    </row>
    <row r="70" spans="1:12" ht="9" customHeight="1">
      <c r="A70" s="21" t="s">
        <v>84</v>
      </c>
      <c r="B70" s="120"/>
      <c r="C70" s="151">
        <f>[21]GtS!$H$52</f>
        <v>0</v>
      </c>
      <c r="D70" s="151">
        <f>[22]GtS!$H$54</f>
        <v>0</v>
      </c>
      <c r="E70" s="151">
        <f>[23]GtS!$H$54</f>
        <v>0</v>
      </c>
      <c r="F70" s="151">
        <f>[24]GtS!$H$54</f>
        <v>0</v>
      </c>
      <c r="G70" s="152">
        <f>[25]GtS!$H$54</f>
        <v>0</v>
      </c>
      <c r="H70" s="155" t="str">
        <f>IF('AW Schulen'!$C28=0,"x",C70/'AW Schulen'!$C28)</f>
        <v>x</v>
      </c>
      <c r="I70" s="155" t="str">
        <f>IF('AW Schulen'!$F28=0,"x",D70/'AW Schulen'!$F28)</f>
        <v>x</v>
      </c>
      <c r="J70" s="155" t="str">
        <f>IF('AW Schulen'!$I28=0,"x",E70/'AW Schulen'!$I28)</f>
        <v>x</v>
      </c>
      <c r="K70" s="155" t="str">
        <f>IF('AW Schulen'!$L28=0,"x",F70/'AW Schulen'!$L28)</f>
        <v>x</v>
      </c>
      <c r="L70" s="156" t="str">
        <f>IF('AW Schulen'!$O28=0,"x",G70/'AW Schulen'!$O28)</f>
        <v>x</v>
      </c>
    </row>
    <row r="71" spans="1:12" ht="9" customHeight="1">
      <c r="A71" s="21" t="s">
        <v>85</v>
      </c>
      <c r="B71" s="120"/>
      <c r="C71" s="36">
        <f>[26]GtS!$H$52</f>
        <v>0</v>
      </c>
      <c r="D71" s="36">
        <f>[27]GtS!$H$54</f>
        <v>0</v>
      </c>
      <c r="E71" s="36">
        <f>[28]GtS!$H$54</f>
        <v>0</v>
      </c>
      <c r="F71" s="36">
        <f>[29]GtS!$H$54</f>
        <v>1</v>
      </c>
      <c r="G71" s="37">
        <f>[30]GtS!$H$54</f>
        <v>1</v>
      </c>
      <c r="H71" s="183" t="str">
        <f>IF('AW Schulen'!$C29=0,".",C71/'AW Schulen'!$C29)</f>
        <v>.</v>
      </c>
      <c r="I71" s="183">
        <f>IF('AW Schulen'!$F29=0,".",D71/'AW Schulen'!$F29)</f>
        <v>0</v>
      </c>
      <c r="J71" s="183">
        <f>IF('AW Schulen'!$I29=0,".",E71/'AW Schulen'!$I29)</f>
        <v>0</v>
      </c>
      <c r="K71" s="155">
        <f>IF('AW Schulen'!$L29=0,".",F71/'AW Schulen'!$L29)</f>
        <v>1</v>
      </c>
      <c r="L71" s="156">
        <f>IF('AW Schulen'!$O29=0,".",G71/'AW Schulen'!$O29)</f>
        <v>1</v>
      </c>
    </row>
    <row r="72" spans="1:12" ht="9" customHeight="1">
      <c r="A72" s="21" t="s">
        <v>86</v>
      </c>
      <c r="B72" s="120"/>
      <c r="C72" s="36">
        <f>[66]GtS!$H$52</f>
        <v>0</v>
      </c>
      <c r="D72" s="36">
        <f>[67]GtS!$H$54</f>
        <v>0</v>
      </c>
      <c r="E72" s="36">
        <f>[68]GtS!$H$54</f>
        <v>0</v>
      </c>
      <c r="F72" s="36">
        <f>[69]GtS!$H$54</f>
        <v>0</v>
      </c>
      <c r="G72" s="37">
        <f>[70]GtS!$H$54</f>
        <v>0</v>
      </c>
      <c r="H72" s="183">
        <f>IF('AW Schulen'!$C30=0,"x",C72/'AW Schulen'!$C30)</f>
        <v>0</v>
      </c>
      <c r="I72" s="183" t="str">
        <f>IF('AW Schulen'!$F30=0,".",D72/'AW Schulen'!$F30)</f>
        <v>.</v>
      </c>
      <c r="J72" s="183" t="str">
        <f>IF('AW Schulen'!$I30=0,".",E72/'AW Schulen'!$I30)</f>
        <v>.</v>
      </c>
      <c r="K72" s="183" t="str">
        <f>IF('AW Schulen'!$L30=0,".",F72/'AW Schulen'!$L30)</f>
        <v>.</v>
      </c>
      <c r="L72" s="197" t="str">
        <f>IF('AW Schulen'!$O30=0,".",G72/'AW Schulen'!$O30)</f>
        <v>.</v>
      </c>
    </row>
    <row r="73" spans="1:12" ht="9" customHeight="1">
      <c r="A73" s="21" t="s">
        <v>87</v>
      </c>
      <c r="B73" s="120"/>
      <c r="C73" s="151">
        <f>[31]GtS!$H$52</f>
        <v>0</v>
      </c>
      <c r="D73" s="151">
        <f>[32]GtS!$H$54</f>
        <v>0</v>
      </c>
      <c r="E73" s="151">
        <f>[33]GtS!$H$54</f>
        <v>0</v>
      </c>
      <c r="F73" s="151">
        <f>[34]GtS!$H$54</f>
        <v>0</v>
      </c>
      <c r="G73" s="152">
        <f>[35]GtS!$H$54</f>
        <v>0</v>
      </c>
      <c r="H73" s="155" t="str">
        <f>IF('AW Schulen'!$C31=0,"x",C73/'AW Schulen'!$C31)</f>
        <v>x</v>
      </c>
      <c r="I73" s="155" t="str">
        <f>IF('AW Schulen'!$F31=0,"x",D73/'AW Schulen'!$F31)</f>
        <v>x</v>
      </c>
      <c r="J73" s="155" t="str">
        <f>IF('AW Schulen'!$I31=0,"x",E73/'AW Schulen'!$I31)</f>
        <v>x</v>
      </c>
      <c r="K73" s="155" t="str">
        <f>IF('AW Schulen'!$L31=0,"x",F73/'AW Schulen'!$L31)</f>
        <v>x</v>
      </c>
      <c r="L73" s="156" t="str">
        <f>IF('AW Schulen'!$O31=0,"x",G73/'AW Schulen'!$O31)</f>
        <v>x</v>
      </c>
    </row>
    <row r="74" spans="1:12" ht="9" customHeight="1">
      <c r="A74" s="21" t="s">
        <v>88</v>
      </c>
      <c r="B74" s="120"/>
      <c r="C74" s="151">
        <f>[71]GtS!$H$52</f>
        <v>0</v>
      </c>
      <c r="D74" s="151">
        <f>[72]GtS!$H$54</f>
        <v>0</v>
      </c>
      <c r="E74" s="151">
        <f>[73]GtS!$H$54</f>
        <v>0</v>
      </c>
      <c r="F74" s="151">
        <f>[74]GtS!$H$54</f>
        <v>0</v>
      </c>
      <c r="G74" s="152">
        <f>[75]GtS!$H$54</f>
        <v>0</v>
      </c>
      <c r="H74" s="155" t="str">
        <f>IF('AW Schulen'!$C32=0,"x",C74/'AW Schulen'!$C32)</f>
        <v>x</v>
      </c>
      <c r="I74" s="155" t="str">
        <f>IF('AW Schulen'!$F32=0,"x",D74/'AW Schulen'!$F32)</f>
        <v>x</v>
      </c>
      <c r="J74" s="155" t="str">
        <f>IF('AW Schulen'!$I32=0,"x",E74/'AW Schulen'!$I32)</f>
        <v>x</v>
      </c>
      <c r="K74" s="155" t="str">
        <f>IF('AW Schulen'!$L32=0,"x",F74/'AW Schulen'!$L32)</f>
        <v>x</v>
      </c>
      <c r="L74" s="156" t="str">
        <f>IF('AW Schulen'!$O32=0,"x",G74/'AW Schulen'!$O32)</f>
        <v>x</v>
      </c>
    </row>
    <row r="75" spans="1:12" ht="9" customHeight="1">
      <c r="A75" s="21" t="s">
        <v>89</v>
      </c>
      <c r="B75" s="120"/>
      <c r="C75" s="151">
        <f>[36]GtS!$H$52</f>
        <v>0</v>
      </c>
      <c r="D75" s="151">
        <f>[37]GtS!$H$54</f>
        <v>0</v>
      </c>
      <c r="E75" s="151">
        <f>[38]GtS!$H$54</f>
        <v>0</v>
      </c>
      <c r="F75" s="151">
        <f>[39]GtS!$H$54</f>
        <v>0</v>
      </c>
      <c r="G75" s="152">
        <f>[40]GtS!$H$54</f>
        <v>0</v>
      </c>
      <c r="H75" s="155" t="str">
        <f>IF('AW Schulen'!$C33=0,"x",C75/'AW Schulen'!$C33)</f>
        <v>x</v>
      </c>
      <c r="I75" s="155" t="str">
        <f>IF('AW Schulen'!$F33=0,"x",D75/'AW Schulen'!$F33)</f>
        <v>x</v>
      </c>
      <c r="J75" s="155" t="str">
        <f>IF('AW Schulen'!$I33=0,"x",E75/'AW Schulen'!$I33)</f>
        <v>x</v>
      </c>
      <c r="K75" s="155" t="str">
        <f>IF('AW Schulen'!$L33=0,"x",F75/'AW Schulen'!$L33)</f>
        <v>x</v>
      </c>
      <c r="L75" s="156" t="str">
        <f>IF('AW Schulen'!$O33=0,"x",G75/'AW Schulen'!$O33)</f>
        <v>x</v>
      </c>
    </row>
    <row r="76" spans="1:12" ht="9" customHeight="1">
      <c r="A76" s="21" t="s">
        <v>90</v>
      </c>
      <c r="B76" s="120"/>
      <c r="C76" s="151">
        <f>[41]GtS!$H$52</f>
        <v>0</v>
      </c>
      <c r="D76" s="151">
        <f>[42]GtS!$H$54</f>
        <v>0</v>
      </c>
      <c r="E76" s="151">
        <f>[43]GtS!$H$54</f>
        <v>0</v>
      </c>
      <c r="F76" s="151">
        <f>[44]GtS!$H$54</f>
        <v>0</v>
      </c>
      <c r="G76" s="152">
        <f>[45]GtS!$H$54</f>
        <v>0</v>
      </c>
      <c r="H76" s="155" t="str">
        <f>IF('AW Schulen'!$C34=0,"x",C76/'AW Schulen'!$C34)</f>
        <v>x</v>
      </c>
      <c r="I76" s="155" t="str">
        <f>IF('AW Schulen'!$F34=0,"x",D76/'AW Schulen'!$F34)</f>
        <v>x</v>
      </c>
      <c r="J76" s="155" t="str">
        <f>IF('AW Schulen'!$I34=0,"x",E76/'AW Schulen'!$I34)</f>
        <v>x</v>
      </c>
      <c r="K76" s="155" t="str">
        <f>IF('AW Schulen'!$L34=0,"x",F76/'AW Schulen'!$L34)</f>
        <v>x</v>
      </c>
      <c r="L76" s="156" t="str">
        <f>IF('AW Schulen'!$O34=0,"x",G76/'AW Schulen'!$O34)</f>
        <v>x</v>
      </c>
    </row>
    <row r="77" spans="1:12" ht="9" customHeight="1">
      <c r="A77" s="21" t="s">
        <v>91</v>
      </c>
      <c r="B77" s="120"/>
      <c r="C77" s="151">
        <f>[46]GtS!$H$52</f>
        <v>0</v>
      </c>
      <c r="D77" s="151">
        <f>[47]GtS!$H$54</f>
        <v>0</v>
      </c>
      <c r="E77" s="151">
        <f>[48]GtS!$H$54</f>
        <v>0</v>
      </c>
      <c r="F77" s="151">
        <f>[49]GtS!$H$54</f>
        <v>0</v>
      </c>
      <c r="G77" s="152">
        <f>[50]GtS!$H$54</f>
        <v>0</v>
      </c>
      <c r="H77" s="155" t="str">
        <f>IF('AW Schulen'!$C35=0,"x",C77/'AW Schulen'!$C35)</f>
        <v>x</v>
      </c>
      <c r="I77" s="155" t="str">
        <f>IF('AW Schulen'!$F35=0,"x",D77/'AW Schulen'!$F35)</f>
        <v>x</v>
      </c>
      <c r="J77" s="155" t="str">
        <f>IF('AW Schulen'!$I35=0,"x",E77/'AW Schulen'!$I35)</f>
        <v>x</v>
      </c>
      <c r="K77" s="155" t="str">
        <f>IF('AW Schulen'!$L35=0,"x",F77/'AW Schulen'!$L35)</f>
        <v>x</v>
      </c>
      <c r="L77" s="156" t="str">
        <f>IF('AW Schulen'!$O35=0,"x",G77/'AW Schulen'!$O35)</f>
        <v>x</v>
      </c>
    </row>
    <row r="78" spans="1:12" ht="9" customHeight="1">
      <c r="A78" s="21" t="s">
        <v>92</v>
      </c>
      <c r="B78" s="120"/>
      <c r="C78" s="151">
        <f>[51]GtS!$H$52</f>
        <v>0</v>
      </c>
      <c r="D78" s="151">
        <f>[52]GtS!$H$54</f>
        <v>0</v>
      </c>
      <c r="E78" s="151">
        <f>[53]GtS!$H$54</f>
        <v>0</v>
      </c>
      <c r="F78" s="151">
        <f>[54]GtS!$H$54</f>
        <v>0</v>
      </c>
      <c r="G78" s="152">
        <f>[55]GtS!$H$54</f>
        <v>0</v>
      </c>
      <c r="H78" s="155" t="str">
        <f>IF('AW Schulen'!$C36=0,"x",C78/'AW Schulen'!$C36)</f>
        <v>x</v>
      </c>
      <c r="I78" s="155" t="str">
        <f>IF('AW Schulen'!$F36=0,"x",D78/'AW Schulen'!$F36)</f>
        <v>x</v>
      </c>
      <c r="J78" s="155" t="str">
        <f>IF('AW Schulen'!$I36=0,"x",E78/'AW Schulen'!$I36)</f>
        <v>x</v>
      </c>
      <c r="K78" s="155" t="str">
        <f>IF('AW Schulen'!$L36=0,"x",F78/'AW Schulen'!$L36)</f>
        <v>x</v>
      </c>
      <c r="L78" s="156" t="str">
        <f>IF('AW Schulen'!$O36=0,"x",G78/'AW Schulen'!$O36)</f>
        <v>x</v>
      </c>
    </row>
    <row r="79" spans="1:12" ht="9" customHeight="1">
      <c r="A79" s="21" t="s">
        <v>93</v>
      </c>
      <c r="B79" s="120"/>
      <c r="C79" s="151">
        <f>[76]GtS!$H$52</f>
        <v>0</v>
      </c>
      <c r="D79" s="151">
        <f>[77]GtS!$H$54</f>
        <v>0</v>
      </c>
      <c r="E79" s="151">
        <f>[78]GtS!$H$54</f>
        <v>0</v>
      </c>
      <c r="F79" s="151">
        <f>[79]GtS!$H$54</f>
        <v>0</v>
      </c>
      <c r="G79" s="152">
        <f>[80]GtS!$H$54</f>
        <v>0</v>
      </c>
      <c r="H79" s="155" t="str">
        <f>IF('AW Schulen'!$C37=0,"x",C79/'AW Schulen'!$C37)</f>
        <v>x</v>
      </c>
      <c r="I79" s="155" t="str">
        <f>IF('AW Schulen'!$F37=0,"x",D79/'AW Schulen'!$F37)</f>
        <v>x</v>
      </c>
      <c r="J79" s="155" t="str">
        <f>IF('AW Schulen'!$I37=0,"x",E79/'AW Schulen'!$I37)</f>
        <v>x</v>
      </c>
      <c r="K79" s="155" t="str">
        <f>IF('AW Schulen'!$L37=0,"x",F79/'AW Schulen'!$L37)</f>
        <v>x</v>
      </c>
      <c r="L79" s="156" t="str">
        <f>IF('AW Schulen'!$O37=0,"x",G79/'AW Schulen'!$O37)</f>
        <v>x</v>
      </c>
    </row>
    <row r="80" spans="1:12" ht="9" customHeight="1">
      <c r="A80" s="21" t="s">
        <v>94</v>
      </c>
      <c r="B80" s="120"/>
      <c r="C80" s="151">
        <f>[56]GtS!$H$52</f>
        <v>0</v>
      </c>
      <c r="D80" s="151">
        <f>[57]GtS!$H$54</f>
        <v>0</v>
      </c>
      <c r="E80" s="151">
        <f>[58]GtS!$H$54</f>
        <v>0</v>
      </c>
      <c r="F80" s="151">
        <f>[59]GtS!$H$54</f>
        <v>0</v>
      </c>
      <c r="G80" s="152">
        <f>[60]GtS!$H$54</f>
        <v>0</v>
      </c>
      <c r="H80" s="155" t="str">
        <f>IF('AW Schulen'!$C38=0,"x",C80/'AW Schulen'!$C38)</f>
        <v>x</v>
      </c>
      <c r="I80" s="155" t="str">
        <f>IF('AW Schulen'!$F38=0,"x",D80/'AW Schulen'!$F38)</f>
        <v>x</v>
      </c>
      <c r="J80" s="155" t="str">
        <f>IF('AW Schulen'!$I38=0,"x",E80/'AW Schulen'!$I38)</f>
        <v>x</v>
      </c>
      <c r="K80" s="155" t="str">
        <f>IF('AW Schulen'!$L38=0,"x",F80/'AW Schulen'!$L38)</f>
        <v>x</v>
      </c>
      <c r="L80" s="156" t="str">
        <f>IF('AW Schulen'!$O38=0,"x",G80/'AW Schulen'!$O38)</f>
        <v>x</v>
      </c>
    </row>
    <row r="81" spans="1:12" ht="9" customHeight="1">
      <c r="A81" s="21" t="s">
        <v>95</v>
      </c>
      <c r="B81" s="120"/>
      <c r="C81" s="151">
        <f>[61]GtS!$H$52</f>
        <v>0</v>
      </c>
      <c r="D81" s="151">
        <f>[62]GtS!$H$54</f>
        <v>0</v>
      </c>
      <c r="E81" s="151">
        <f>[63]GtS!$H$54</f>
        <v>0</v>
      </c>
      <c r="F81" s="151">
        <f>[64]GtS!$H$54</f>
        <v>0</v>
      </c>
      <c r="G81" s="152">
        <f>[65]GtS!$H$54</f>
        <v>0</v>
      </c>
      <c r="H81" s="155" t="str">
        <f>IF('AW Schulen'!$C39=0,"x",C81/'AW Schulen'!$C39)</f>
        <v>x</v>
      </c>
      <c r="I81" s="155" t="str">
        <f>IF('AW Schulen'!$F39=0,"x",D81/'AW Schulen'!$F39)</f>
        <v>x</v>
      </c>
      <c r="J81" s="155" t="str">
        <f>IF('AW Schulen'!$I39=0,"x",E81/'AW Schulen'!$I39)</f>
        <v>x</v>
      </c>
      <c r="K81" s="155" t="str">
        <f>IF('AW Schulen'!$L39=0,"x",F81/'AW Schulen'!$L39)</f>
        <v>x</v>
      </c>
      <c r="L81" s="156" t="str">
        <f>IF('AW Schulen'!$O39=0,"x",G81/'AW Schulen'!$O39)</f>
        <v>x</v>
      </c>
    </row>
    <row r="82" spans="1:12" ht="9" customHeight="1">
      <c r="A82" s="24" t="s">
        <v>96</v>
      </c>
      <c r="B82" s="121"/>
      <c r="C82" s="26">
        <f t="shared" ref="C82:E82" si="39">SUM(C66:C81)</f>
        <v>82</v>
      </c>
      <c r="D82" s="26">
        <f t="shared" si="39"/>
        <v>83</v>
      </c>
      <c r="E82" s="26">
        <f t="shared" si="39"/>
        <v>80</v>
      </c>
      <c r="F82" s="26">
        <f t="shared" ref="F82:G82" si="40">SUM(F66:F81)</f>
        <v>92</v>
      </c>
      <c r="G82" s="47">
        <f t="shared" si="40"/>
        <v>48</v>
      </c>
      <c r="H82" s="157">
        <f>IF('AW Schulen'!$C40=0,"x",C82/'AW Schulen'!$C40)</f>
        <v>0.77358490566037741</v>
      </c>
      <c r="I82" s="157">
        <f>IF('AW Schulen'!$F40=0,"x",D82/'AW Schulen'!$F40)</f>
        <v>0.79047619047619044</v>
      </c>
      <c r="J82" s="157">
        <f>IF('AW Schulen'!$I40=0,"x",E82/'AW Schulen'!$I40)</f>
        <v>0.67796610169491522</v>
      </c>
      <c r="K82" s="157">
        <f>IF('AW Schulen'!$L40=0,"x",F82/'AW Schulen'!$L40)</f>
        <v>0.77310924369747902</v>
      </c>
      <c r="L82" s="158">
        <f>IF('AW Schulen'!$O40=0,"x",G82/'AW Schulen'!$O40)</f>
        <v>0.41025641025641024</v>
      </c>
    </row>
    <row r="83" spans="1:12" ht="19.5" customHeight="1">
      <c r="A83" s="396" t="s">
        <v>312</v>
      </c>
      <c r="B83" s="396"/>
      <c r="C83" s="396"/>
      <c r="D83" s="396"/>
      <c r="E83" s="396"/>
      <c r="F83" s="396"/>
      <c r="G83" s="396"/>
      <c r="H83" s="396"/>
      <c r="I83" s="396"/>
      <c r="J83" s="396"/>
      <c r="K83" s="396"/>
      <c r="L83" s="396"/>
    </row>
    <row r="84" spans="1:12" ht="10.15" customHeight="1">
      <c r="A84" s="220" t="s">
        <v>270</v>
      </c>
      <c r="B84" s="38"/>
      <c r="C84" s="38"/>
      <c r="D84" s="38"/>
      <c r="E84" s="38"/>
      <c r="F84" s="38"/>
      <c r="G84" s="38"/>
    </row>
    <row r="85" spans="1:12" ht="10.15" customHeight="1">
      <c r="A85" s="306" t="s">
        <v>101</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45"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M85"/>
  <sheetViews>
    <sheetView view="pageBreakPreview" zoomScale="175" zoomScaleNormal="130" zoomScaleSheetLayoutView="175" workbookViewId="0">
      <selection activeCell="F23" sqref="F23:G23"/>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'2.3.2'!A1:E1+1</f>
        <v>26</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2.6" customHeight="1">
      <c r="A5" s="13" t="s">
        <v>31</v>
      </c>
      <c r="B5" s="48" t="s">
        <v>11</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SUM(C30+C48+C66)</f>
        <v>13</v>
      </c>
      <c r="D12" s="42">
        <f t="shared" ref="D12:E12" si="1">SUM(D30+D48+D66)</f>
        <v>11</v>
      </c>
      <c r="E12" s="42">
        <f t="shared" si="1"/>
        <v>11</v>
      </c>
      <c r="F12" s="42">
        <f t="shared" ref="F12:G12" si="2">SUM(F30+F48+F66)</f>
        <v>11</v>
      </c>
      <c r="G12" s="44">
        <f t="shared" si="2"/>
        <v>10</v>
      </c>
      <c r="H12" s="153">
        <f>IF('AW Schulen'!$C42=0,"x",C12/'AW Schulen'!$C42)</f>
        <v>0.29545454545454547</v>
      </c>
      <c r="I12" s="153">
        <f>IF('AW Schulen'!$F42=0,"x",D12/'AW Schulen'!$F42)</f>
        <v>0.25</v>
      </c>
      <c r="J12" s="153">
        <f>IF('AW Schulen'!$I42=0,"x",E12/'AW Schulen'!$I42)</f>
        <v>0.24444444444444444</v>
      </c>
      <c r="K12" s="153">
        <f>IF('AW Schulen'!$L42=0,"x",F12/'AW Schulen'!$L42)</f>
        <v>0.25</v>
      </c>
      <c r="L12" s="154">
        <f>IF('AW Schulen'!$O42=0,"x",G12/'AW Schulen'!$O42)</f>
        <v>0.22727272727272727</v>
      </c>
    </row>
    <row r="13" spans="1:13" ht="9" customHeight="1">
      <c r="A13" s="21" t="s">
        <v>81</v>
      </c>
      <c r="B13" s="120"/>
      <c r="C13" s="42">
        <f t="shared" si="0"/>
        <v>53</v>
      </c>
      <c r="D13" s="42">
        <f t="shared" ref="D13:E13" si="3">SUM(D31+D49+D67)</f>
        <v>61</v>
      </c>
      <c r="E13" s="42">
        <f t="shared" si="3"/>
        <v>68</v>
      </c>
      <c r="F13" s="42">
        <f t="shared" ref="F13:G13" si="4">SUM(F31+F49+F67)</f>
        <v>74</v>
      </c>
      <c r="G13" s="44">
        <f t="shared" si="4"/>
        <v>85</v>
      </c>
      <c r="H13" s="153">
        <f>IF('AW Schulen'!$C43=0,"x",C13/'AW Schulen'!$C43)</f>
        <v>0.49532710280373832</v>
      </c>
      <c r="I13" s="153">
        <f>IF('AW Schulen'!$F43=0,"x",D13/'AW Schulen'!$F43)</f>
        <v>0.57009345794392519</v>
      </c>
      <c r="J13" s="153">
        <f>IF('AW Schulen'!$I43=0,"x",E13/'AW Schulen'!$I43)</f>
        <v>0.62962962962962965</v>
      </c>
      <c r="K13" s="153">
        <f>IF('AW Schulen'!$L43=0,"x",F13/'AW Schulen'!$L43)</f>
        <v>0.67889908256880738</v>
      </c>
      <c r="L13" s="154">
        <f>IF('AW Schulen'!$O43=0,"x",G13/'AW Schulen'!$O43)</f>
        <v>0.77981651376146788</v>
      </c>
    </row>
    <row r="14" spans="1:13" ht="9" customHeight="1">
      <c r="A14" s="21" t="s">
        <v>82</v>
      </c>
      <c r="B14" s="120"/>
      <c r="C14" s="149">
        <f t="shared" si="0"/>
        <v>0</v>
      </c>
      <c r="D14" s="149">
        <f t="shared" ref="D14:E14" si="5">SUM(D32+D50+D68)</f>
        <v>0</v>
      </c>
      <c r="E14" s="149">
        <f t="shared" si="5"/>
        <v>0</v>
      </c>
      <c r="F14" s="149">
        <f t="shared" ref="F14:G14" si="6">SUM(F32+F50+F68)</f>
        <v>0</v>
      </c>
      <c r="G14" s="150">
        <f t="shared" si="6"/>
        <v>0</v>
      </c>
      <c r="H14" s="153" t="str">
        <f>IF('AW Schulen'!$C44=0,"x",C14/'AW Schulen'!$C44)</f>
        <v>x</v>
      </c>
      <c r="I14" s="153" t="str">
        <f>IF('AW Schulen'!$F44=0,"x",D14/'AW Schulen'!$F44)</f>
        <v>x</v>
      </c>
      <c r="J14" s="153" t="str">
        <f>IF('AW Schulen'!$I44=0,"x",E14/'AW Schulen'!$I44)</f>
        <v>x</v>
      </c>
      <c r="K14" s="153" t="str">
        <f>IF('AW Schulen'!$L44=0,"x",F14/'AW Schulen'!$L44)</f>
        <v>x</v>
      </c>
      <c r="L14" s="154" t="str">
        <f>IF('AW Schulen'!$O44=0,"x",G14/'AW Schulen'!$O44)</f>
        <v>x</v>
      </c>
    </row>
    <row r="15" spans="1:13" ht="9" customHeight="1">
      <c r="A15" s="21" t="s">
        <v>83</v>
      </c>
      <c r="B15" s="120"/>
      <c r="C15" s="149">
        <f t="shared" si="0"/>
        <v>0</v>
      </c>
      <c r="D15" s="149">
        <f t="shared" ref="D15:E15" si="7">SUM(D33+D51+D69)</f>
        <v>0</v>
      </c>
      <c r="E15" s="149">
        <f t="shared" si="7"/>
        <v>0</v>
      </c>
      <c r="F15" s="149">
        <f t="shared" ref="F15:G15" si="8">SUM(F33+F51+F69)</f>
        <v>0</v>
      </c>
      <c r="G15" s="150">
        <f t="shared" si="8"/>
        <v>0</v>
      </c>
      <c r="H15" s="153" t="str">
        <f>IF('AW Schulen'!$C45=0,"x",C15/'AW Schulen'!$C45)</f>
        <v>x</v>
      </c>
      <c r="I15" s="153" t="str">
        <f>IF('AW Schulen'!$F45=0,"x",D15/'AW Schulen'!$F45)</f>
        <v>x</v>
      </c>
      <c r="J15" s="153" t="str">
        <f>IF('AW Schulen'!$I45=0,"x",E15/'AW Schulen'!$I45)</f>
        <v>x</v>
      </c>
      <c r="K15" s="153" t="str">
        <f>IF('AW Schulen'!$L45=0,"x",F15/'AW Schulen'!$L45)</f>
        <v>x</v>
      </c>
      <c r="L15" s="154" t="str">
        <f>IF('AW Schulen'!$O45=0,"x",G15/'AW Schulen'!$O45)</f>
        <v>x</v>
      </c>
    </row>
    <row r="16" spans="1:13" ht="9" customHeight="1">
      <c r="A16" s="21" t="s">
        <v>84</v>
      </c>
      <c r="B16" s="120"/>
      <c r="C16" s="149">
        <f t="shared" si="0"/>
        <v>0</v>
      </c>
      <c r="D16" s="149">
        <f t="shared" ref="D16:E16" si="9">SUM(D34+D52+D70)</f>
        <v>0</v>
      </c>
      <c r="E16" s="149">
        <f t="shared" si="9"/>
        <v>0</v>
      </c>
      <c r="F16" s="149">
        <f t="shared" ref="F16:G16" si="10">SUM(F34+F52+F70)</f>
        <v>0</v>
      </c>
      <c r="G16" s="150">
        <f t="shared" si="10"/>
        <v>0</v>
      </c>
      <c r="H16" s="153" t="str">
        <f>IF('AW Schulen'!$C46=0,"x",C16/'AW Schulen'!$C46)</f>
        <v>x</v>
      </c>
      <c r="I16" s="153" t="str">
        <f>IF('AW Schulen'!$F46=0,"x",D16/'AW Schulen'!$F46)</f>
        <v>x</v>
      </c>
      <c r="J16" s="153" t="str">
        <f>IF('AW Schulen'!$I46=0,"x",E16/'AW Schulen'!$I46)</f>
        <v>x</v>
      </c>
      <c r="K16" s="153" t="str">
        <f>IF('AW Schulen'!$L46=0,"x",F16/'AW Schulen'!$L46)</f>
        <v>x</v>
      </c>
      <c r="L16" s="154" t="str">
        <f>IF('AW Schulen'!$O46=0,"x",G16/'AW Schulen'!$O46)</f>
        <v>x</v>
      </c>
    </row>
    <row r="17" spans="1:13" ht="9" customHeight="1">
      <c r="A17" s="21" t="s">
        <v>85</v>
      </c>
      <c r="B17" s="120"/>
      <c r="C17" s="149">
        <f t="shared" si="0"/>
        <v>0</v>
      </c>
      <c r="D17" s="149">
        <f t="shared" ref="D17:E17" si="11">SUM(D35+D53+D71)</f>
        <v>0</v>
      </c>
      <c r="E17" s="149">
        <f t="shared" si="11"/>
        <v>0</v>
      </c>
      <c r="F17" s="149">
        <f t="shared" ref="F17:G17" si="12">SUM(F35+F53+F71)</f>
        <v>0</v>
      </c>
      <c r="G17" s="150">
        <f t="shared" si="12"/>
        <v>0</v>
      </c>
      <c r="H17" s="153" t="str">
        <f>IF('AW Schulen'!$C47=0,"x",C17/'AW Schulen'!$C47)</f>
        <v>x</v>
      </c>
      <c r="I17" s="153" t="str">
        <f>IF('AW Schulen'!$F47=0,"x",D17/'AW Schulen'!$F47)</f>
        <v>x</v>
      </c>
      <c r="J17" s="153" t="str">
        <f>IF('AW Schulen'!$I47=0,"x",E17/'AW Schulen'!$I47)</f>
        <v>x</v>
      </c>
      <c r="K17" s="153" t="str">
        <f>IF('AW Schulen'!$L47=0,"x",F17/'AW Schulen'!$L47)</f>
        <v>x</v>
      </c>
      <c r="L17" s="154" t="str">
        <f>IF('AW Schulen'!$O47=0,"x",G17/'AW Schulen'!$O47)</f>
        <v>x</v>
      </c>
    </row>
    <row r="18" spans="1:13" ht="9" customHeight="1">
      <c r="A18" s="21" t="s">
        <v>86</v>
      </c>
      <c r="B18" s="120"/>
      <c r="C18" s="55">
        <f t="shared" si="0"/>
        <v>0</v>
      </c>
      <c r="D18" s="55">
        <f t="shared" ref="D18:E18" si="13">SUM(D36+D54+D72)</f>
        <v>0</v>
      </c>
      <c r="E18" s="55">
        <f t="shared" si="13"/>
        <v>0</v>
      </c>
      <c r="F18" s="55">
        <f t="shared" ref="F18:G18" si="14">SUM(F36+F54+F72)</f>
        <v>0</v>
      </c>
      <c r="G18" s="56">
        <f t="shared" si="14"/>
        <v>0</v>
      </c>
      <c r="H18" s="182">
        <f>IF('AW Schulen'!$C48=0,"x",C18/'AW Schulen'!$C48)</f>
        <v>0</v>
      </c>
      <c r="I18" s="153" t="str">
        <f>IF('AW Schulen'!$F12=0,".",D18/'AW Schulen'!$F12)</f>
        <v>.</v>
      </c>
      <c r="J18" s="153" t="str">
        <f>IF('AW Schulen'!$I12=0,".",E18/'AW Schulen'!$I12)</f>
        <v>.</v>
      </c>
      <c r="K18" s="153" t="str">
        <f>IF('AW Schulen'!$L12=0,".",F18/'AW Schulen'!$L12)</f>
        <v>.</v>
      </c>
      <c r="L18" s="154" t="str">
        <f>IF('AW Schulen'!$O12=0,".",G18/'AW Schulen'!$O12)</f>
        <v>.</v>
      </c>
      <c r="M18" s="113"/>
    </row>
    <row r="19" spans="1:13" ht="9" customHeight="1">
      <c r="A19" s="21" t="s">
        <v>87</v>
      </c>
      <c r="B19" s="120"/>
      <c r="C19" s="149">
        <f t="shared" si="0"/>
        <v>0</v>
      </c>
      <c r="D19" s="149">
        <f t="shared" ref="D19:E19" si="15">SUM(D37+D55+D73)</f>
        <v>0</v>
      </c>
      <c r="E19" s="149">
        <f t="shared" si="15"/>
        <v>0</v>
      </c>
      <c r="F19" s="149">
        <f t="shared" ref="F19:G19" si="16">SUM(F37+F55+F73)</f>
        <v>0</v>
      </c>
      <c r="G19" s="150">
        <f t="shared" si="16"/>
        <v>0</v>
      </c>
      <c r="H19" s="153" t="str">
        <f>IF('AW Schulen'!$C49=0,"x",C19/'AW Schulen'!$C49)</f>
        <v>x</v>
      </c>
      <c r="I19" s="153" t="str">
        <f>IF('AW Schulen'!$F49=0,"x",D19/'AW Schulen'!$F49)</f>
        <v>x</v>
      </c>
      <c r="J19" s="153" t="str">
        <f>IF('AW Schulen'!$I49=0,"x",E19/'AW Schulen'!$I49)</f>
        <v>x</v>
      </c>
      <c r="K19" s="153" t="str">
        <f>IF('AW Schulen'!$L49=0,"x",F19/'AW Schulen'!$L49)</f>
        <v>x</v>
      </c>
      <c r="L19" s="154" t="str">
        <f>IF('AW Schulen'!$O49=0,"x",G19/'AW Schulen'!$O49)</f>
        <v>x</v>
      </c>
    </row>
    <row r="20" spans="1:13" ht="9" customHeight="1">
      <c r="A20" s="21" t="s">
        <v>88</v>
      </c>
      <c r="B20" s="120"/>
      <c r="C20" s="55">
        <f t="shared" si="0"/>
        <v>0</v>
      </c>
      <c r="D20" s="55">
        <f t="shared" ref="D20:E20" si="17">SUM(D38+D56+D74)</f>
        <v>0</v>
      </c>
      <c r="E20" s="55">
        <f t="shared" si="17"/>
        <v>0</v>
      </c>
      <c r="F20" s="55">
        <f t="shared" ref="F20:G20" si="18">SUM(F38+F56+F74)</f>
        <v>0</v>
      </c>
      <c r="G20" s="56">
        <f t="shared" si="18"/>
        <v>0</v>
      </c>
      <c r="H20" s="182">
        <f>IF('AW Schulen'!$C50=0,"x",C20/'AW Schulen'!$C50)</f>
        <v>0</v>
      </c>
      <c r="I20" s="182">
        <f>IF('AW Schulen'!$F50=0,"x",D20/'AW Schulen'!$F50)</f>
        <v>0</v>
      </c>
      <c r="J20" s="182">
        <f>IF('AW Schulen'!$I50=0,"x",E20/'AW Schulen'!$I50)</f>
        <v>0</v>
      </c>
      <c r="K20" s="182">
        <f>IF('AW Schulen'!$L50=0,"x",F20/'AW Schulen'!$L50)</f>
        <v>0</v>
      </c>
      <c r="L20" s="196">
        <f>IF('AW Schulen'!$O50=0,"x",G20/'AW Schulen'!$O50)</f>
        <v>0</v>
      </c>
    </row>
    <row r="21" spans="1:13" ht="9" customHeight="1">
      <c r="A21" s="21" t="s">
        <v>89</v>
      </c>
      <c r="B21" s="120"/>
      <c r="C21" s="42">
        <f t="shared" si="0"/>
        <v>2</v>
      </c>
      <c r="D21" s="42">
        <f t="shared" ref="D21:E21" si="19">SUM(D39+D57+D75)</f>
        <v>2</v>
      </c>
      <c r="E21" s="42">
        <f t="shared" si="19"/>
        <v>3</v>
      </c>
      <c r="F21" s="42">
        <f t="shared" ref="F21:G21" si="20">SUM(F39+F57+F75)</f>
        <v>3</v>
      </c>
      <c r="G21" s="44">
        <f t="shared" si="20"/>
        <v>3</v>
      </c>
      <c r="H21" s="153">
        <f>IF('AW Schulen'!$C51=0,"x",C21/'AW Schulen'!$C51)</f>
        <v>0.25</v>
      </c>
      <c r="I21" s="153">
        <f>IF('AW Schulen'!$F51=0,"x",D21/'AW Schulen'!$F51)</f>
        <v>0.22222222222222221</v>
      </c>
      <c r="J21" s="153">
        <f>IF('AW Schulen'!$I51=0,"x",E21/'AW Schulen'!$I51)</f>
        <v>0.33333333333333331</v>
      </c>
      <c r="K21" s="153">
        <f>IF('AW Schulen'!$L51=0,"x",F21/'AW Schulen'!$L51)</f>
        <v>0.33333333333333331</v>
      </c>
      <c r="L21" s="154">
        <f>IF('AW Schulen'!$O51=0,"x",G21/'AW Schulen'!$O51)</f>
        <v>0.33333333333333331</v>
      </c>
    </row>
    <row r="22" spans="1:13" ht="9" customHeight="1">
      <c r="A22" s="21" t="s">
        <v>90</v>
      </c>
      <c r="B22" s="120"/>
      <c r="C22" s="42">
        <f t="shared" si="0"/>
        <v>3</v>
      </c>
      <c r="D22" s="42">
        <f t="shared" ref="D22:E22" si="21">SUM(D40+D58+D76)</f>
        <v>2</v>
      </c>
      <c r="E22" s="42">
        <f t="shared" si="21"/>
        <v>2</v>
      </c>
      <c r="F22" s="42">
        <f t="shared" ref="F22:G22" si="22">SUM(F40+F58+F76)</f>
        <v>2</v>
      </c>
      <c r="G22" s="44">
        <f t="shared" si="22"/>
        <v>2</v>
      </c>
      <c r="H22" s="153">
        <f>IF('AW Schulen'!$C52=0,"x",C22/'AW Schulen'!$C52)</f>
        <v>0.5</v>
      </c>
      <c r="I22" s="153">
        <f>IF('AW Schulen'!$F52=0,"x",D22/'AW Schulen'!$F52)</f>
        <v>0.4</v>
      </c>
      <c r="J22" s="153">
        <f>IF('AW Schulen'!$I52=0,"x",E22/'AW Schulen'!$I52)</f>
        <v>0.5</v>
      </c>
      <c r="K22" s="153">
        <f>IF('AW Schulen'!$L52=0,"x",F22/'AW Schulen'!$L52)</f>
        <v>0.5</v>
      </c>
      <c r="L22" s="154">
        <f>IF('AW Schulen'!$O52=0,"x",G22/'AW Schulen'!$O52)</f>
        <v>0.5</v>
      </c>
    </row>
    <row r="23" spans="1:13" ht="9" customHeight="1">
      <c r="A23" s="21" t="s">
        <v>91</v>
      </c>
      <c r="B23" s="120"/>
      <c r="C23" s="42">
        <f t="shared" si="0"/>
        <v>1</v>
      </c>
      <c r="D23" s="42">
        <f t="shared" ref="D23:E23" si="23">SUM(D41+D59+D77)</f>
        <v>1</v>
      </c>
      <c r="E23" s="42">
        <f t="shared" si="23"/>
        <v>1</v>
      </c>
      <c r="F23" s="149">
        <f t="shared" ref="F23:G23" si="24">SUM(F41+F59+F77)</f>
        <v>0</v>
      </c>
      <c r="G23" s="150">
        <f t="shared" si="24"/>
        <v>0</v>
      </c>
      <c r="H23" s="153">
        <f>IF('AW Schulen'!$C53=0,"x",C23/'AW Schulen'!$C53)</f>
        <v>1</v>
      </c>
      <c r="I23" s="153">
        <f>IF('AW Schulen'!$F53=0,"x",D23/'AW Schulen'!$F53)</f>
        <v>1</v>
      </c>
      <c r="J23" s="153">
        <f>IF('AW Schulen'!$I53=0,"x",E23/'AW Schulen'!$I53)</f>
        <v>1</v>
      </c>
      <c r="K23" s="153" t="str">
        <f>IF('AW Schulen'!$L53=0,"x",F23/'AW Schulen'!$L53)</f>
        <v>x</v>
      </c>
      <c r="L23" s="154" t="str">
        <f>IF('AW Schulen'!$O53=0,"x",G23/'AW Schulen'!$O53)</f>
        <v>x</v>
      </c>
    </row>
    <row r="24" spans="1:13" ht="9" customHeight="1">
      <c r="A24" s="21" t="s">
        <v>92</v>
      </c>
      <c r="B24" s="120"/>
      <c r="C24" s="149">
        <f t="shared" si="0"/>
        <v>0</v>
      </c>
      <c r="D24" s="149">
        <f t="shared" ref="D24:E24" si="25">SUM(D42+D60+D78)</f>
        <v>0</v>
      </c>
      <c r="E24" s="149">
        <f t="shared" si="25"/>
        <v>0</v>
      </c>
      <c r="F24" s="149">
        <f t="shared" ref="F24:G24" si="26">SUM(F42+F60+F78)</f>
        <v>0</v>
      </c>
      <c r="G24" s="150">
        <f t="shared" si="26"/>
        <v>0</v>
      </c>
      <c r="H24" s="153" t="str">
        <f>IF('AW Schulen'!$C54=0,"x",C24/'AW Schulen'!$C54)</f>
        <v>x</v>
      </c>
      <c r="I24" s="153" t="str">
        <f>IF('AW Schulen'!$F54=0,"x",D24/'AW Schulen'!$F54)</f>
        <v>x</v>
      </c>
      <c r="J24" s="153" t="str">
        <f>IF('AW Schulen'!$I54=0,"x",E24/'AW Schulen'!$I54)</f>
        <v>x</v>
      </c>
      <c r="K24" s="153" t="str">
        <f>IF('AW Schulen'!$L54=0,"x",F24/'AW Schulen'!$L54)</f>
        <v>x</v>
      </c>
      <c r="L24" s="154" t="str">
        <f>IF('AW Schulen'!$O54=0,"x",G24/'AW Schulen'!$O54)</f>
        <v>x</v>
      </c>
    </row>
    <row r="25" spans="1:13" ht="9" customHeight="1">
      <c r="A25" s="21" t="s">
        <v>93</v>
      </c>
      <c r="B25" s="120"/>
      <c r="C25" s="149">
        <f t="shared" si="0"/>
        <v>0</v>
      </c>
      <c r="D25" s="149">
        <f t="shared" ref="D25:E25" si="27">SUM(D43+D61+D79)</f>
        <v>0</v>
      </c>
      <c r="E25" s="149">
        <f t="shared" si="27"/>
        <v>0</v>
      </c>
      <c r="F25" s="149">
        <f t="shared" ref="F25:G25" si="28">SUM(F43+F61+F79)</f>
        <v>0</v>
      </c>
      <c r="G25" s="150">
        <f t="shared" si="28"/>
        <v>0</v>
      </c>
      <c r="H25" s="153" t="str">
        <f>IF('AW Schulen'!$C55=0,"x",C25/'AW Schulen'!$C55)</f>
        <v>x</v>
      </c>
      <c r="I25" s="153" t="str">
        <f>IF('AW Schulen'!$F55=0,"x",D25/'AW Schulen'!$F55)</f>
        <v>x</v>
      </c>
      <c r="J25" s="153" t="str">
        <f>IF('AW Schulen'!$I55=0,"x",E25/'AW Schulen'!$I55)</f>
        <v>x</v>
      </c>
      <c r="K25" s="153" t="str">
        <f>IF('AW Schulen'!$L55=0,"x",F25/'AW Schulen'!$L55)</f>
        <v>x</v>
      </c>
      <c r="L25" s="154" t="str">
        <f>IF('AW Schulen'!$O55=0,"x",G25/'AW Schulen'!$O55)</f>
        <v>x</v>
      </c>
    </row>
    <row r="26" spans="1:13" ht="9" customHeight="1">
      <c r="A26" s="21" t="s">
        <v>94</v>
      </c>
      <c r="B26" s="120"/>
      <c r="C26" s="149">
        <f t="shared" si="0"/>
        <v>0</v>
      </c>
      <c r="D26" s="149">
        <f t="shared" ref="D26:E26" si="29">SUM(D44+D62+D80)</f>
        <v>0</v>
      </c>
      <c r="E26" s="149">
        <f t="shared" si="29"/>
        <v>0</v>
      </c>
      <c r="F26" s="149">
        <f t="shared" ref="F26:G26" si="30">SUM(F44+F62+F80)</f>
        <v>0</v>
      </c>
      <c r="G26" s="150">
        <f t="shared" si="30"/>
        <v>0</v>
      </c>
      <c r="H26" s="153" t="str">
        <f>IF('AW Schulen'!$C56=0,"x",C26/'AW Schulen'!$C56)</f>
        <v>x</v>
      </c>
      <c r="I26" s="153" t="str">
        <f>IF('AW Schulen'!$F56=0,"x",D26/'AW Schulen'!$F56)</f>
        <v>x</v>
      </c>
      <c r="J26" s="153" t="str">
        <f>IF('AW Schulen'!$I56=0,"x",E26/'AW Schulen'!$I56)</f>
        <v>x</v>
      </c>
      <c r="K26" s="153" t="str">
        <f>IF('AW Schulen'!$L56=0,"x",F26/'AW Schulen'!$L56)</f>
        <v>x</v>
      </c>
      <c r="L26" s="154" t="str">
        <f>IF('AW Schulen'!$O56=0,"x",G26/'AW Schulen'!$O56)</f>
        <v>x</v>
      </c>
    </row>
    <row r="27" spans="1:13" ht="9" customHeight="1">
      <c r="A27" s="21" t="s">
        <v>95</v>
      </c>
      <c r="B27" s="120"/>
      <c r="C27" s="149">
        <f t="shared" si="0"/>
        <v>0</v>
      </c>
      <c r="D27" s="149">
        <f t="shared" ref="D27:E27" si="31">SUM(D45+D63+D81)</f>
        <v>0</v>
      </c>
      <c r="E27" s="149">
        <f t="shared" si="31"/>
        <v>0</v>
      </c>
      <c r="F27" s="149">
        <f t="shared" ref="F27:G27" si="32">SUM(F45+F63+F81)</f>
        <v>0</v>
      </c>
      <c r="G27" s="150">
        <f t="shared" si="32"/>
        <v>0</v>
      </c>
      <c r="H27" s="153" t="str">
        <f>IF('AW Schulen'!$C57=0,"x",C27/'AW Schulen'!$C57)</f>
        <v>x</v>
      </c>
      <c r="I27" s="153" t="str">
        <f>IF('AW Schulen'!$F57=0,"x",D27/'AW Schulen'!$F57)</f>
        <v>x</v>
      </c>
      <c r="J27" s="153" t="str">
        <f>IF('AW Schulen'!$I57=0,"x",E27/'AW Schulen'!$I57)</f>
        <v>x</v>
      </c>
      <c r="K27" s="153" t="str">
        <f>IF('AW Schulen'!$L57=0,"x",F27/'AW Schulen'!$L57)</f>
        <v>x</v>
      </c>
      <c r="L27" s="154" t="str">
        <f>IF('AW Schulen'!$O57=0,"x",G27/'AW Schulen'!$O57)</f>
        <v>x</v>
      </c>
    </row>
    <row r="28" spans="1:13" ht="9" customHeight="1">
      <c r="A28" s="21" t="s">
        <v>96</v>
      </c>
      <c r="B28" s="120"/>
      <c r="C28" s="42">
        <f t="shared" si="0"/>
        <v>72</v>
      </c>
      <c r="D28" s="42">
        <f t="shared" ref="D28:E28" si="33">SUM(D46+D64+D82)</f>
        <v>77</v>
      </c>
      <c r="E28" s="42">
        <f t="shared" si="33"/>
        <v>85</v>
      </c>
      <c r="F28" s="42">
        <f t="shared" ref="F28:G28" si="34">SUM(F46+F64+F82)</f>
        <v>90</v>
      </c>
      <c r="G28" s="44">
        <f t="shared" si="34"/>
        <v>100</v>
      </c>
      <c r="H28" s="153">
        <f>IF('AW Schulen'!$C58=0,"x",C28/'AW Schulen'!$C58)</f>
        <v>0.43373493975903615</v>
      </c>
      <c r="I28" s="153">
        <f>IF('AW Schulen'!$F58=0,"x",D28/'AW Schulen'!$F58)</f>
        <v>0.46385542168674698</v>
      </c>
      <c r="J28" s="153">
        <f>IF('AW Schulen'!$I58=0,"x",E28/'AW Schulen'!$I58)</f>
        <v>0.50898203592814373</v>
      </c>
      <c r="K28" s="153">
        <f>IF('AW Schulen'!$L58=0,"x",F28/'AW Schulen'!$L58)</f>
        <v>0.54216867469879515</v>
      </c>
      <c r="L28" s="154">
        <f>IF('AW Schulen'!$O58=0,"x",G28/'AW Schulen'!$O58)</f>
        <v>0.60240963855421692</v>
      </c>
    </row>
    <row r="29" spans="1:13" ht="12.75" customHeight="1">
      <c r="A29" s="391" t="s">
        <v>98</v>
      </c>
      <c r="B29" s="392"/>
      <c r="C29" s="392"/>
      <c r="D29" s="392"/>
      <c r="E29" s="392"/>
      <c r="F29" s="392"/>
      <c r="G29" s="392"/>
      <c r="H29" s="392"/>
      <c r="I29" s="392"/>
      <c r="J29" s="392"/>
      <c r="K29" s="392"/>
      <c r="L29" s="393"/>
    </row>
    <row r="30" spans="1:13" ht="9" customHeight="1">
      <c r="A30" s="21" t="s">
        <v>80</v>
      </c>
      <c r="B30" s="120"/>
      <c r="C30" s="23">
        <f>[1]GtS!$F$53</f>
        <v>10</v>
      </c>
      <c r="D30" s="23">
        <f>[2]GtS!$F$55</f>
        <v>8</v>
      </c>
      <c r="E30" s="23">
        <f>[3]GtS!$F$55</f>
        <v>8</v>
      </c>
      <c r="F30" s="23">
        <f>[4]GtS!$F$55</f>
        <v>8</v>
      </c>
      <c r="G30" s="34">
        <f>[5]GtS!$F$55</f>
        <v>7</v>
      </c>
      <c r="H30" s="155">
        <f>IF('AW Schulen'!$C42=0,"x",C30/'AW Schulen'!$C42)</f>
        <v>0.22727272727272727</v>
      </c>
      <c r="I30" s="155">
        <f>IF('AW Schulen'!$F42=0,"x",D30/'AW Schulen'!$F42)</f>
        <v>0.18181818181818182</v>
      </c>
      <c r="J30" s="155">
        <f>IF('AW Schulen'!$I42=0,"x",E30/'AW Schulen'!$I42)</f>
        <v>0.17777777777777778</v>
      </c>
      <c r="K30" s="155">
        <f>IF('AW Schulen'!$L42=0,"x",F30/'AW Schulen'!$L42)</f>
        <v>0.18181818181818182</v>
      </c>
      <c r="L30" s="156">
        <f>IF('AW Schulen'!$O42=0,"x",G30/'AW Schulen'!$O42)</f>
        <v>0.15909090909090909</v>
      </c>
    </row>
    <row r="31" spans="1:13" ht="9" customHeight="1">
      <c r="A31" s="21" t="s">
        <v>81</v>
      </c>
      <c r="B31" s="120"/>
      <c r="C31" s="23">
        <f>[6]GtS!$F$53</f>
        <v>9</v>
      </c>
      <c r="D31" s="23">
        <f>[7]GtS!$F$55</f>
        <v>9</v>
      </c>
      <c r="E31" s="23">
        <f>[8]GtS!$F$55</f>
        <v>9</v>
      </c>
      <c r="F31" s="23">
        <f>[9]GtS!$F$55</f>
        <v>9</v>
      </c>
      <c r="G31" s="34">
        <f>[10]GtS!$F$55</f>
        <v>10</v>
      </c>
      <c r="H31" s="155">
        <f>IF('AW Schulen'!$C43=0,"x",C31/'AW Schulen'!$C43)</f>
        <v>8.4112149532710276E-2</v>
      </c>
      <c r="I31" s="155">
        <f>IF('AW Schulen'!$F43=0,"x",D31/'AW Schulen'!$F43)</f>
        <v>8.4112149532710276E-2</v>
      </c>
      <c r="J31" s="155">
        <f>IF('AW Schulen'!$I43=0,"x",E31/'AW Schulen'!$I43)</f>
        <v>8.3333333333333329E-2</v>
      </c>
      <c r="K31" s="155">
        <f>IF('AW Schulen'!$L43=0,"x",F31/'AW Schulen'!$L43)</f>
        <v>8.2568807339449546E-2</v>
      </c>
      <c r="L31" s="156">
        <f>IF('AW Schulen'!$O43=0,"x",G31/'AW Schulen'!$O43)</f>
        <v>9.1743119266055051E-2</v>
      </c>
    </row>
    <row r="32" spans="1:13" ht="9" customHeight="1">
      <c r="A32" s="21" t="s">
        <v>82</v>
      </c>
      <c r="B32" s="120"/>
      <c r="C32" s="151">
        <f>[11]GtS!$F$53</f>
        <v>0</v>
      </c>
      <c r="D32" s="151">
        <f>[12]GtS!$F$55</f>
        <v>0</v>
      </c>
      <c r="E32" s="151">
        <f>[13]GtS!$F$55</f>
        <v>0</v>
      </c>
      <c r="F32" s="151">
        <f>[14]GtS!$F$55</f>
        <v>0</v>
      </c>
      <c r="G32" s="152">
        <f>[15]GtS!$F$55</f>
        <v>0</v>
      </c>
      <c r="H32" s="155" t="str">
        <f>IF('AW Schulen'!$C44=0,"x",C32/'AW Schulen'!$C44)</f>
        <v>x</v>
      </c>
      <c r="I32" s="155" t="str">
        <f>IF('AW Schulen'!$F44=0,"x",D32/'AW Schulen'!$F44)</f>
        <v>x</v>
      </c>
      <c r="J32" s="155" t="str">
        <f>IF('AW Schulen'!$I44=0,"x",E32/'AW Schulen'!$I44)</f>
        <v>x</v>
      </c>
      <c r="K32" s="155" t="str">
        <f>IF('AW Schulen'!$L44=0,"x",F32/'AW Schulen'!$L44)</f>
        <v>x</v>
      </c>
      <c r="L32" s="156" t="str">
        <f>IF('AW Schulen'!$O44=0,"x",G32/'AW Schulen'!$O44)</f>
        <v>x</v>
      </c>
    </row>
    <row r="33" spans="1:12" ht="9" customHeight="1">
      <c r="A33" s="21" t="s">
        <v>83</v>
      </c>
      <c r="B33" s="120"/>
      <c r="C33" s="151">
        <f>[16]GtS!$F$53</f>
        <v>0</v>
      </c>
      <c r="D33" s="151">
        <f>[17]GtS!$F$55</f>
        <v>0</v>
      </c>
      <c r="E33" s="151">
        <f>[18]GtS!$F$55</f>
        <v>0</v>
      </c>
      <c r="F33" s="151">
        <f>[19]GtS!$F$55</f>
        <v>0</v>
      </c>
      <c r="G33" s="152">
        <f>[20]GtS!$F$55</f>
        <v>0</v>
      </c>
      <c r="H33" s="155" t="str">
        <f>IF('AW Schulen'!$C45=0,"x",C33/'AW Schulen'!$C45)</f>
        <v>x</v>
      </c>
      <c r="I33" s="155" t="str">
        <f>IF('AW Schulen'!$F45=0,"x",D33/'AW Schulen'!$F45)</f>
        <v>x</v>
      </c>
      <c r="J33" s="155" t="str">
        <f>IF('AW Schulen'!$I45=0,"x",E33/'AW Schulen'!$I45)</f>
        <v>x</v>
      </c>
      <c r="K33" s="155" t="str">
        <f>IF('AW Schulen'!$L45=0,"x",F33/'AW Schulen'!$L45)</f>
        <v>x</v>
      </c>
      <c r="L33" s="156" t="str">
        <f>IF('AW Schulen'!$O45=0,"x",G33/'AW Schulen'!$O45)</f>
        <v>x</v>
      </c>
    </row>
    <row r="34" spans="1:12" ht="9" customHeight="1">
      <c r="A34" s="21" t="s">
        <v>84</v>
      </c>
      <c r="B34" s="120"/>
      <c r="C34" s="151">
        <f>[21]GtS!$F$53</f>
        <v>0</v>
      </c>
      <c r="D34" s="151">
        <f>[22]GtS!$F$55</f>
        <v>0</v>
      </c>
      <c r="E34" s="151">
        <f>[23]GtS!$F$55</f>
        <v>0</v>
      </c>
      <c r="F34" s="151">
        <f>[24]GtS!$F$55</f>
        <v>0</v>
      </c>
      <c r="G34" s="152">
        <f>[25]GtS!$F$55</f>
        <v>0</v>
      </c>
      <c r="H34" s="155" t="str">
        <f>IF('AW Schulen'!$C46=0,"x",C34/'AW Schulen'!$C46)</f>
        <v>x</v>
      </c>
      <c r="I34" s="155" t="str">
        <f>IF('AW Schulen'!$F46=0,"x",D34/'AW Schulen'!$F46)</f>
        <v>x</v>
      </c>
      <c r="J34" s="155" t="str">
        <f>IF('AW Schulen'!$I46=0,"x",E34/'AW Schulen'!$I46)</f>
        <v>x</v>
      </c>
      <c r="K34" s="155" t="str">
        <f>IF('AW Schulen'!$L46=0,"x",F34/'AW Schulen'!$L46)</f>
        <v>x</v>
      </c>
      <c r="L34" s="156" t="str">
        <f>IF('AW Schulen'!$O46=0,"x",G34/'AW Schulen'!$O46)</f>
        <v>x</v>
      </c>
    </row>
    <row r="35" spans="1:12" ht="9" customHeight="1">
      <c r="A35" s="21" t="s">
        <v>85</v>
      </c>
      <c r="B35" s="120"/>
      <c r="C35" s="151">
        <f>[26]GtS!$F$53</f>
        <v>0</v>
      </c>
      <c r="D35" s="151">
        <f>[27]GtS!$F$55</f>
        <v>0</v>
      </c>
      <c r="E35" s="151">
        <f>[28]GtS!$F$55</f>
        <v>0</v>
      </c>
      <c r="F35" s="151">
        <f>[29]GtS!$F$55</f>
        <v>0</v>
      </c>
      <c r="G35" s="152">
        <f>[30]GtS!$F$55</f>
        <v>0</v>
      </c>
      <c r="H35" s="155" t="str">
        <f>IF('AW Schulen'!$C47=0,"x",C35/'AW Schulen'!$C47)</f>
        <v>x</v>
      </c>
      <c r="I35" s="155" t="str">
        <f>IF('AW Schulen'!$F47=0,"x",D35/'AW Schulen'!$F47)</f>
        <v>x</v>
      </c>
      <c r="J35" s="155" t="str">
        <f>IF('AW Schulen'!$I47=0,"x",E35/'AW Schulen'!$I47)</f>
        <v>x</v>
      </c>
      <c r="K35" s="155" t="str">
        <f>IF('AW Schulen'!$L47=0,"x",F35/'AW Schulen'!$L47)</f>
        <v>x</v>
      </c>
      <c r="L35" s="156" t="str">
        <f>IF('AW Schulen'!$O47=0,"x",G35/'AW Schulen'!$O47)</f>
        <v>x</v>
      </c>
    </row>
    <row r="36" spans="1:12" ht="9" customHeight="1">
      <c r="A36" s="21" t="s">
        <v>86</v>
      </c>
      <c r="B36" s="120"/>
      <c r="C36" s="36">
        <f>[66]GtS!$F$53</f>
        <v>0</v>
      </c>
      <c r="D36" s="36">
        <f>[67]GtS!$F$55</f>
        <v>0</v>
      </c>
      <c r="E36" s="36">
        <f>[68]GtS!$F$55</f>
        <v>0</v>
      </c>
      <c r="F36" s="36">
        <f>[69]GtS!$F$55</f>
        <v>0</v>
      </c>
      <c r="G36" s="37">
        <f>[70]GtS!$F$55</f>
        <v>0</v>
      </c>
      <c r="H36" s="183">
        <f>IF('AW Schulen'!$C48=0,"x",C36/'AW Schulen'!$C48)</f>
        <v>0</v>
      </c>
      <c r="I36" s="155" t="str">
        <f>IF('AW Schulen'!$F30=0,".",D36/'AW Schulen'!$F30)</f>
        <v>.</v>
      </c>
      <c r="J36" s="155" t="str">
        <f>IF('AW Schulen'!$I30=0,".",E36/'AW Schulen'!$I30)</f>
        <v>.</v>
      </c>
      <c r="K36" s="155" t="str">
        <f>IF('AW Schulen'!$L30=0,".",F36/'AW Schulen'!$L30)</f>
        <v>.</v>
      </c>
      <c r="L36" s="156" t="str">
        <f>IF('AW Schulen'!$O30=0,".",G36/'AW Schulen'!$O30)</f>
        <v>.</v>
      </c>
    </row>
    <row r="37" spans="1:12" ht="9" customHeight="1">
      <c r="A37" s="21" t="s">
        <v>87</v>
      </c>
      <c r="B37" s="120"/>
      <c r="C37" s="151">
        <f>[31]GtS!$F$53</f>
        <v>0</v>
      </c>
      <c r="D37" s="151">
        <f>[32]GtS!$F$55</f>
        <v>0</v>
      </c>
      <c r="E37" s="151">
        <f>[33]GtS!$F$55</f>
        <v>0</v>
      </c>
      <c r="F37" s="151">
        <f>[34]GtS!$F$55</f>
        <v>0</v>
      </c>
      <c r="G37" s="152">
        <f>[35]GtS!$F$55</f>
        <v>0</v>
      </c>
      <c r="H37" s="155" t="str">
        <f>IF('AW Schulen'!$C49=0,"x",C37/'AW Schulen'!$C49)</f>
        <v>x</v>
      </c>
      <c r="I37" s="155" t="str">
        <f>IF('AW Schulen'!$F49=0,"x",D37/'AW Schulen'!$F49)</f>
        <v>x</v>
      </c>
      <c r="J37" s="155" t="str">
        <f>IF('AW Schulen'!$I49=0,"x",E37/'AW Schulen'!$I49)</f>
        <v>x</v>
      </c>
      <c r="K37" s="155" t="str">
        <f>IF('AW Schulen'!$L49=0,"x",F37/'AW Schulen'!$L49)</f>
        <v>x</v>
      </c>
      <c r="L37" s="156" t="str">
        <f>IF('AW Schulen'!$O49=0,"x",G37/'AW Schulen'!$O49)</f>
        <v>x</v>
      </c>
    </row>
    <row r="38" spans="1:12" ht="9" customHeight="1">
      <c r="A38" s="21" t="s">
        <v>88</v>
      </c>
      <c r="B38" s="120"/>
      <c r="C38" s="36">
        <f>[71]GtS!$F$53</f>
        <v>0</v>
      </c>
      <c r="D38" s="36">
        <f>[72]GtS!$F$55</f>
        <v>0</v>
      </c>
      <c r="E38" s="36">
        <f>[73]GtS!$F$55</f>
        <v>0</v>
      </c>
      <c r="F38" s="36">
        <f>[74]GtS!$F$55</f>
        <v>0</v>
      </c>
      <c r="G38" s="37">
        <f>[75]GtS!$F$55</f>
        <v>0</v>
      </c>
      <c r="H38" s="183">
        <f>IF('AW Schulen'!$C50=0,"x",C38/'AW Schulen'!$C50)</f>
        <v>0</v>
      </c>
      <c r="I38" s="183">
        <f>IF('AW Schulen'!$F50=0,"x",D38/'AW Schulen'!$F50)</f>
        <v>0</v>
      </c>
      <c r="J38" s="183">
        <f>IF('AW Schulen'!$I50=0,"x",E38/'AW Schulen'!$I50)</f>
        <v>0</v>
      </c>
      <c r="K38" s="183">
        <f>IF('AW Schulen'!$L50=0,"x",F38/'AW Schulen'!$L50)</f>
        <v>0</v>
      </c>
      <c r="L38" s="197">
        <f>IF('AW Schulen'!$O50=0,"x",G38/'AW Schulen'!$O50)</f>
        <v>0</v>
      </c>
    </row>
    <row r="39" spans="1:12" ht="9" customHeight="1">
      <c r="A39" s="21" t="s">
        <v>89</v>
      </c>
      <c r="B39" s="120"/>
      <c r="C39" s="23">
        <f>[36]GtS!$F$53</f>
        <v>2</v>
      </c>
      <c r="D39" s="23">
        <f>[37]GtS!$F$55</f>
        <v>2</v>
      </c>
      <c r="E39" s="23">
        <f>[38]GtS!$F$55</f>
        <v>3</v>
      </c>
      <c r="F39" s="23">
        <f>[39]GtS!$F$55</f>
        <v>3</v>
      </c>
      <c r="G39" s="34">
        <f>[40]GtS!$F$55</f>
        <v>3</v>
      </c>
      <c r="H39" s="155">
        <f>IF('AW Schulen'!$C51=0,"x",C39/'AW Schulen'!$C51)</f>
        <v>0.25</v>
      </c>
      <c r="I39" s="155">
        <f>IF('AW Schulen'!$F51=0,"x",D39/'AW Schulen'!$F51)</f>
        <v>0.22222222222222221</v>
      </c>
      <c r="J39" s="155">
        <f>IF('AW Schulen'!$I51=0,"x",E39/'AW Schulen'!$I51)</f>
        <v>0.33333333333333331</v>
      </c>
      <c r="K39" s="155">
        <f>IF('AW Schulen'!$L51=0,"x",F39/'AW Schulen'!$L51)</f>
        <v>0.33333333333333331</v>
      </c>
      <c r="L39" s="156">
        <f>IF('AW Schulen'!$O51=0,"x",G39/'AW Schulen'!$O51)</f>
        <v>0.33333333333333331</v>
      </c>
    </row>
    <row r="40" spans="1:12" ht="9" customHeight="1">
      <c r="A40" s="21" t="s">
        <v>90</v>
      </c>
      <c r="B40" s="120"/>
      <c r="C40" s="23">
        <f>[41]GtS!$F$53</f>
        <v>3</v>
      </c>
      <c r="D40" s="23">
        <f>[42]GtS!$F$55</f>
        <v>2</v>
      </c>
      <c r="E40" s="23">
        <f>[43]GtS!$F$55</f>
        <v>2</v>
      </c>
      <c r="F40" s="23">
        <f>[44]GtS!$F$55</f>
        <v>2</v>
      </c>
      <c r="G40" s="34">
        <f>[45]GtS!$F$55</f>
        <v>2</v>
      </c>
      <c r="H40" s="155">
        <f>IF('AW Schulen'!$C52=0,"x",C40/'AW Schulen'!$C52)</f>
        <v>0.5</v>
      </c>
      <c r="I40" s="155">
        <f>IF('AW Schulen'!$F52=0,"x",D40/'AW Schulen'!$F52)</f>
        <v>0.4</v>
      </c>
      <c r="J40" s="155">
        <f>IF('AW Schulen'!$I52=0,"x",E40/'AW Schulen'!$I52)</f>
        <v>0.5</v>
      </c>
      <c r="K40" s="155">
        <f>IF('AW Schulen'!$L52=0,"x",F40/'AW Schulen'!$L52)</f>
        <v>0.5</v>
      </c>
      <c r="L40" s="156">
        <f>IF('AW Schulen'!$O52=0,"x",G40/'AW Schulen'!$O52)</f>
        <v>0.5</v>
      </c>
    </row>
    <row r="41" spans="1:12" ht="9" customHeight="1">
      <c r="A41" s="21" t="s">
        <v>91</v>
      </c>
      <c r="B41" s="120"/>
      <c r="C41" s="23">
        <f>[46]GtS!$F$53</f>
        <v>0</v>
      </c>
      <c r="D41" s="23">
        <f>[47]GtS!$F$55</f>
        <v>0</v>
      </c>
      <c r="E41" s="23">
        <f>[48]GtS!$F$55</f>
        <v>0</v>
      </c>
      <c r="F41" s="151">
        <f>[49]GtS!$F$55</f>
        <v>0</v>
      </c>
      <c r="G41" s="152">
        <f>[50]GtS!$F$55</f>
        <v>0</v>
      </c>
      <c r="H41" s="155">
        <f>IF('AW Schulen'!$C53=0,"x",C41/'AW Schulen'!$C53)</f>
        <v>0</v>
      </c>
      <c r="I41" s="155">
        <f>IF('AW Schulen'!$F53=0,"x",D41/'AW Schulen'!$F53)</f>
        <v>0</v>
      </c>
      <c r="J41" s="155">
        <f>IF('AW Schulen'!$I53=0,"x",E41/'AW Schulen'!$I53)</f>
        <v>0</v>
      </c>
      <c r="K41" s="155" t="str">
        <f>IF('AW Schulen'!$L53=0,"x",F41/'AW Schulen'!$L53)</f>
        <v>x</v>
      </c>
      <c r="L41" s="156" t="str">
        <f>IF('AW Schulen'!$O53=0,"x",G41/'AW Schulen'!$O53)</f>
        <v>x</v>
      </c>
    </row>
    <row r="42" spans="1:12" ht="9" customHeight="1">
      <c r="A42" s="21" t="s">
        <v>92</v>
      </c>
      <c r="B42" s="120"/>
      <c r="C42" s="151">
        <f>[51]GtS!$F$53</f>
        <v>0</v>
      </c>
      <c r="D42" s="151">
        <f>[52]GtS!$F$55</f>
        <v>0</v>
      </c>
      <c r="E42" s="151">
        <f>[53]GtS!$F$55</f>
        <v>0</v>
      </c>
      <c r="F42" s="151">
        <f>[54]GtS!$F$55</f>
        <v>0</v>
      </c>
      <c r="G42" s="152">
        <f>[55]GtS!$F$55</f>
        <v>0</v>
      </c>
      <c r="H42" s="155" t="str">
        <f>IF('AW Schulen'!$C54=0,"x",C42/'AW Schulen'!$C54)</f>
        <v>x</v>
      </c>
      <c r="I42" s="155" t="str">
        <f>IF('AW Schulen'!$F54=0,"x",D42/'AW Schulen'!$F54)</f>
        <v>x</v>
      </c>
      <c r="J42" s="155" t="str">
        <f>IF('AW Schulen'!$I54=0,"x",E42/'AW Schulen'!$I54)</f>
        <v>x</v>
      </c>
      <c r="K42" s="155" t="str">
        <f>IF('AW Schulen'!$L54=0,"x",F42/'AW Schulen'!$L54)</f>
        <v>x</v>
      </c>
      <c r="L42" s="156" t="str">
        <f>IF('AW Schulen'!$O54=0,"x",G42/'AW Schulen'!$O54)</f>
        <v>x</v>
      </c>
    </row>
    <row r="43" spans="1:12" ht="9" customHeight="1">
      <c r="A43" s="21" t="s">
        <v>93</v>
      </c>
      <c r="B43" s="120"/>
      <c r="C43" s="151">
        <f>[76]GtS!$F$53</f>
        <v>0</v>
      </c>
      <c r="D43" s="151">
        <f>[77]GtS!$F$55</f>
        <v>0</v>
      </c>
      <c r="E43" s="151">
        <f>[78]GtS!$F$55</f>
        <v>0</v>
      </c>
      <c r="F43" s="151">
        <f>[79]GtS!$F$55</f>
        <v>0</v>
      </c>
      <c r="G43" s="152">
        <f>[80]GtS!$F$55</f>
        <v>0</v>
      </c>
      <c r="H43" s="155" t="str">
        <f>IF('AW Schulen'!$C55=0,"x",C43/'AW Schulen'!$C55)</f>
        <v>x</v>
      </c>
      <c r="I43" s="155" t="str">
        <f>IF('AW Schulen'!$F55=0,"x",D43/'AW Schulen'!$F55)</f>
        <v>x</v>
      </c>
      <c r="J43" s="155" t="str">
        <f>IF('AW Schulen'!$I55=0,"x",E43/'AW Schulen'!$I55)</f>
        <v>x</v>
      </c>
      <c r="K43" s="155" t="str">
        <f>IF('AW Schulen'!$L55=0,"x",F43/'AW Schulen'!$L55)</f>
        <v>x</v>
      </c>
      <c r="L43" s="156" t="str">
        <f>IF('AW Schulen'!$O55=0,"x",G43/'AW Schulen'!$O55)</f>
        <v>x</v>
      </c>
    </row>
    <row r="44" spans="1:12" ht="9" customHeight="1">
      <c r="A44" s="21" t="s">
        <v>94</v>
      </c>
      <c r="B44" s="120"/>
      <c r="C44" s="151">
        <f>[56]GtS!$F$53</f>
        <v>0</v>
      </c>
      <c r="D44" s="151">
        <f>[57]GtS!$F$55</f>
        <v>0</v>
      </c>
      <c r="E44" s="151">
        <f>[58]GtS!$F$55</f>
        <v>0</v>
      </c>
      <c r="F44" s="151">
        <f>[59]GtS!$F$55</f>
        <v>0</v>
      </c>
      <c r="G44" s="152">
        <f>[60]GtS!$F$55</f>
        <v>0</v>
      </c>
      <c r="H44" s="155" t="str">
        <f>IF('AW Schulen'!$C56=0,"x",C44/'AW Schulen'!$C56)</f>
        <v>x</v>
      </c>
      <c r="I44" s="155" t="str">
        <f>IF('AW Schulen'!$F56=0,"x",D44/'AW Schulen'!$F56)</f>
        <v>x</v>
      </c>
      <c r="J44" s="155" t="str">
        <f>IF('AW Schulen'!$I56=0,"x",E44/'AW Schulen'!$I56)</f>
        <v>x</v>
      </c>
      <c r="K44" s="155" t="str">
        <f>IF('AW Schulen'!$L56=0,"x",F44/'AW Schulen'!$L56)</f>
        <v>x</v>
      </c>
      <c r="L44" s="156" t="str">
        <f>IF('AW Schulen'!$O56=0,"x",G44/'AW Schulen'!$O56)</f>
        <v>x</v>
      </c>
    </row>
    <row r="45" spans="1:12" ht="9" customHeight="1">
      <c r="A45" s="21" t="s">
        <v>95</v>
      </c>
      <c r="B45" s="120"/>
      <c r="C45" s="151">
        <f>[61]GtS!$F$53</f>
        <v>0</v>
      </c>
      <c r="D45" s="151">
        <f>[62]GtS!$F$55</f>
        <v>0</v>
      </c>
      <c r="E45" s="151">
        <f>[63]GtS!$F$55</f>
        <v>0</v>
      </c>
      <c r="F45" s="151">
        <f>[64]GtS!$F$55</f>
        <v>0</v>
      </c>
      <c r="G45" s="152">
        <f>[65]GtS!$F$55</f>
        <v>0</v>
      </c>
      <c r="H45" s="155" t="str">
        <f>IF('AW Schulen'!$C57=0,"x",C45/'AW Schulen'!$C57)</f>
        <v>x</v>
      </c>
      <c r="I45" s="155" t="str">
        <f>IF('AW Schulen'!$F57=0,"x",D45/'AW Schulen'!$F57)</f>
        <v>x</v>
      </c>
      <c r="J45" s="155" t="str">
        <f>IF('AW Schulen'!$I57=0,"x",E45/'AW Schulen'!$I57)</f>
        <v>x</v>
      </c>
      <c r="K45" s="155" t="str">
        <f>IF('AW Schulen'!$L57=0,"x",F45/'AW Schulen'!$L57)</f>
        <v>x</v>
      </c>
      <c r="L45" s="156" t="str">
        <f>IF('AW Schulen'!$O57=0,"x",G45/'AW Schulen'!$O57)</f>
        <v>x</v>
      </c>
    </row>
    <row r="46" spans="1:12" ht="9" customHeight="1">
      <c r="A46" s="21" t="s">
        <v>96</v>
      </c>
      <c r="B46" s="120"/>
      <c r="C46" s="23">
        <f t="shared" ref="C46:E46" si="35">SUM(C30:C45)</f>
        <v>24</v>
      </c>
      <c r="D46" s="23">
        <f t="shared" si="35"/>
        <v>21</v>
      </c>
      <c r="E46" s="23">
        <f t="shared" si="35"/>
        <v>22</v>
      </c>
      <c r="F46" s="23">
        <f t="shared" ref="F46:G46" si="36">SUM(F30:F45)</f>
        <v>22</v>
      </c>
      <c r="G46" s="34">
        <f t="shared" si="36"/>
        <v>22</v>
      </c>
      <c r="H46" s="155">
        <f>IF('AW Schulen'!$C58=0,"x",C46/'AW Schulen'!$C58)</f>
        <v>0.14457831325301204</v>
      </c>
      <c r="I46" s="155">
        <f>IF('AW Schulen'!$F58=0,"x",D46/'AW Schulen'!$F58)</f>
        <v>0.12650602409638553</v>
      </c>
      <c r="J46" s="155">
        <f>IF('AW Schulen'!$I58=0,"x",E46/'AW Schulen'!$I58)</f>
        <v>0.1317365269461078</v>
      </c>
      <c r="K46" s="155">
        <f>IF('AW Schulen'!$L58=0,"x",F46/'AW Schulen'!$L58)</f>
        <v>0.13253012048192772</v>
      </c>
      <c r="L46" s="156">
        <f>IF('AW Schulen'!$O58=0,"x",G46/'AW Schulen'!$O58)</f>
        <v>0.13253012048192772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[1]GtS!$G$53</f>
        <v>2</v>
      </c>
      <c r="D48" s="23">
        <f>[2]GtS!$G$55</f>
        <v>2</v>
      </c>
      <c r="E48" s="23">
        <f>[3]GtS!$G$55</f>
        <v>2</v>
      </c>
      <c r="F48" s="23">
        <f>[4]GtS!$G$55</f>
        <v>2</v>
      </c>
      <c r="G48" s="34">
        <f>[5]GtS!$G$55</f>
        <v>1</v>
      </c>
      <c r="H48" s="155">
        <f>IF('AW Schulen'!$C42=0,"x",C48/'AW Schulen'!$C42)</f>
        <v>4.5454545454545456E-2</v>
      </c>
      <c r="I48" s="155">
        <f>IF('AW Schulen'!$F42=0,"x",D48/'AW Schulen'!$F42)</f>
        <v>4.5454545454545456E-2</v>
      </c>
      <c r="J48" s="155">
        <f>IF('AW Schulen'!$I42=0,"x",E48/'AW Schulen'!$I42)</f>
        <v>4.4444444444444446E-2</v>
      </c>
      <c r="K48" s="155">
        <f>IF('AW Schulen'!$L42=0,"x",F48/'AW Schulen'!$L42)</f>
        <v>4.5454545454545456E-2</v>
      </c>
      <c r="L48" s="156">
        <f>IF('AW Schulen'!$O42=0,"x",G48/'AW Schulen'!$O42)</f>
        <v>2.2727272727272728E-2</v>
      </c>
    </row>
    <row r="49" spans="1:12" ht="9" customHeight="1">
      <c r="A49" s="21" t="s">
        <v>81</v>
      </c>
      <c r="B49" s="120"/>
      <c r="C49" s="23">
        <f>[6]GtS!$G$53</f>
        <v>8</v>
      </c>
      <c r="D49" s="23">
        <f>[7]GtS!$G$55</f>
        <v>12</v>
      </c>
      <c r="E49" s="23">
        <f>[8]GtS!$G$55</f>
        <v>12</v>
      </c>
      <c r="F49" s="23">
        <f>[9]GtS!$G$55</f>
        <v>12</v>
      </c>
      <c r="G49" s="34">
        <f>[10]GtS!$G$55</f>
        <v>11</v>
      </c>
      <c r="H49" s="155">
        <f>IF('AW Schulen'!$C43=0,"x",C49/'AW Schulen'!$C43)</f>
        <v>7.476635514018691E-2</v>
      </c>
      <c r="I49" s="155">
        <f>IF('AW Schulen'!$F43=0,"x",D49/'AW Schulen'!$F43)</f>
        <v>0.11214953271028037</v>
      </c>
      <c r="J49" s="155">
        <f>IF('AW Schulen'!$I43=0,"x",E49/'AW Schulen'!$I43)</f>
        <v>0.1111111111111111</v>
      </c>
      <c r="K49" s="155">
        <f>IF('AW Schulen'!$L43=0,"x",F49/'AW Schulen'!$L43)</f>
        <v>0.11009174311926606</v>
      </c>
      <c r="L49" s="156">
        <f>IF('AW Schulen'!$O43=0,"x",G49/'AW Schulen'!$O43)</f>
        <v>0.10091743119266056</v>
      </c>
    </row>
    <row r="50" spans="1:12" ht="9" customHeight="1">
      <c r="A50" s="21" t="s">
        <v>82</v>
      </c>
      <c r="B50" s="120"/>
      <c r="C50" s="151">
        <f>[11]GtS!$G$53</f>
        <v>0</v>
      </c>
      <c r="D50" s="151">
        <f>[12]GtS!$G$55</f>
        <v>0</v>
      </c>
      <c r="E50" s="151">
        <f>[13]GtS!$G$55</f>
        <v>0</v>
      </c>
      <c r="F50" s="151">
        <f>[14]GtS!$G$55</f>
        <v>0</v>
      </c>
      <c r="G50" s="152">
        <f>[15]GtS!$G$55</f>
        <v>0</v>
      </c>
      <c r="H50" s="155" t="str">
        <f>IF('AW Schulen'!$C44=0,"x",C50/'AW Schulen'!$C44)</f>
        <v>x</v>
      </c>
      <c r="I50" s="155" t="str">
        <f>IF('AW Schulen'!$F44=0,"x",D50/'AW Schulen'!$F44)</f>
        <v>x</v>
      </c>
      <c r="J50" s="155" t="str">
        <f>IF('AW Schulen'!$I44=0,"x",E50/'AW Schulen'!$I44)</f>
        <v>x</v>
      </c>
      <c r="K50" s="155" t="str">
        <f>IF('AW Schulen'!$L44=0,"x",F50/'AW Schulen'!$L44)</f>
        <v>x</v>
      </c>
      <c r="L50" s="156" t="str">
        <f>IF('AW Schulen'!$O44=0,"x",G50/'AW Schulen'!$O44)</f>
        <v>x</v>
      </c>
    </row>
    <row r="51" spans="1:12" ht="9" customHeight="1">
      <c r="A51" s="21" t="s">
        <v>83</v>
      </c>
      <c r="B51" s="120"/>
      <c r="C51" s="151">
        <f>[16]GtS!$G$53</f>
        <v>0</v>
      </c>
      <c r="D51" s="151">
        <f>[17]GtS!$G$55</f>
        <v>0</v>
      </c>
      <c r="E51" s="151">
        <f>[18]GtS!$G$55</f>
        <v>0</v>
      </c>
      <c r="F51" s="151">
        <f>[19]GtS!$G$55</f>
        <v>0</v>
      </c>
      <c r="G51" s="152">
        <f>[20]GtS!$G$55</f>
        <v>0</v>
      </c>
      <c r="H51" s="155" t="str">
        <f>IF('AW Schulen'!$C45=0,"x",C51/'AW Schulen'!$C45)</f>
        <v>x</v>
      </c>
      <c r="I51" s="155" t="str">
        <f>IF('AW Schulen'!$F45=0,"x",D51/'AW Schulen'!$F45)</f>
        <v>x</v>
      </c>
      <c r="J51" s="155" t="str">
        <f>IF('AW Schulen'!$I45=0,"x",E51/'AW Schulen'!$I45)</f>
        <v>x</v>
      </c>
      <c r="K51" s="155" t="str">
        <f>IF('AW Schulen'!$L45=0,"x",F51/'AW Schulen'!$L45)</f>
        <v>x</v>
      </c>
      <c r="L51" s="156" t="str">
        <f>IF('AW Schulen'!$O45=0,"x",G51/'AW Schulen'!$O45)</f>
        <v>x</v>
      </c>
    </row>
    <row r="52" spans="1:12" ht="9" customHeight="1">
      <c r="A52" s="21" t="s">
        <v>84</v>
      </c>
      <c r="B52" s="120"/>
      <c r="C52" s="151">
        <f>[21]GtS!$G$53</f>
        <v>0</v>
      </c>
      <c r="D52" s="151">
        <f>[22]GtS!$G$55</f>
        <v>0</v>
      </c>
      <c r="E52" s="151">
        <f>[23]GtS!$G$55</f>
        <v>0</v>
      </c>
      <c r="F52" s="151">
        <f>[24]GtS!$G$55</f>
        <v>0</v>
      </c>
      <c r="G52" s="152">
        <f>[25]GtS!$G$55</f>
        <v>0</v>
      </c>
      <c r="H52" s="155" t="str">
        <f>IF('AW Schulen'!$C46=0,"x",C52/'AW Schulen'!$C46)</f>
        <v>x</v>
      </c>
      <c r="I52" s="155" t="str">
        <f>IF('AW Schulen'!$F46=0,"x",D52/'AW Schulen'!$F46)</f>
        <v>x</v>
      </c>
      <c r="J52" s="155" t="str">
        <f>IF('AW Schulen'!$I46=0,"x",E52/'AW Schulen'!$I46)</f>
        <v>x</v>
      </c>
      <c r="K52" s="155" t="str">
        <f>IF('AW Schulen'!$L46=0,"x",F52/'AW Schulen'!$L46)</f>
        <v>x</v>
      </c>
      <c r="L52" s="156" t="str">
        <f>IF('AW Schulen'!$O46=0,"x",G52/'AW Schulen'!$O46)</f>
        <v>x</v>
      </c>
    </row>
    <row r="53" spans="1:12" ht="9" customHeight="1">
      <c r="A53" s="21" t="s">
        <v>85</v>
      </c>
      <c r="B53" s="120"/>
      <c r="C53" s="151">
        <f>[26]GtS!$G$53</f>
        <v>0</v>
      </c>
      <c r="D53" s="151">
        <f>[27]GtS!$G$55</f>
        <v>0</v>
      </c>
      <c r="E53" s="151">
        <f>[28]GtS!$G$55</f>
        <v>0</v>
      </c>
      <c r="F53" s="151">
        <f>[29]GtS!$G$55</f>
        <v>0</v>
      </c>
      <c r="G53" s="152">
        <f>[30]GtS!$G$55</f>
        <v>0</v>
      </c>
      <c r="H53" s="155" t="str">
        <f>IF('AW Schulen'!$C47=0,"x",C53/'AW Schulen'!$C47)</f>
        <v>x</v>
      </c>
      <c r="I53" s="155" t="str">
        <f>IF('AW Schulen'!$F47=0,"x",D53/'AW Schulen'!$F47)</f>
        <v>x</v>
      </c>
      <c r="J53" s="155" t="str">
        <f>IF('AW Schulen'!$I47=0,"x",E53/'AW Schulen'!$I47)</f>
        <v>x</v>
      </c>
      <c r="K53" s="155" t="str">
        <f>IF('AW Schulen'!$L47=0,"x",F53/'AW Schulen'!$L47)</f>
        <v>x</v>
      </c>
      <c r="L53" s="156" t="str">
        <f>IF('AW Schulen'!$O47=0,"x",G53/'AW Schulen'!$O47)</f>
        <v>x</v>
      </c>
    </row>
    <row r="54" spans="1:12" ht="9" customHeight="1">
      <c r="A54" s="21" t="s">
        <v>86</v>
      </c>
      <c r="B54" s="120"/>
      <c r="C54" s="36">
        <f>[66]GtS!$G$53</f>
        <v>0</v>
      </c>
      <c r="D54" s="36">
        <f>[67]GtS!$G$55</f>
        <v>0</v>
      </c>
      <c r="E54" s="36">
        <f>[68]GtS!$G$55</f>
        <v>0</v>
      </c>
      <c r="F54" s="36">
        <f>[69]GtS!$G$55</f>
        <v>0</v>
      </c>
      <c r="G54" s="37">
        <f>[70]GtS!$G$55</f>
        <v>0</v>
      </c>
      <c r="H54" s="183">
        <f>IF('AW Schulen'!$C48=0,"x",C54/'AW Schulen'!$C48)</f>
        <v>0</v>
      </c>
      <c r="I54" s="155" t="str">
        <f>IF('AW Schulen'!$F48=0,".",D54/'AW Schulen'!$F48)</f>
        <v>.</v>
      </c>
      <c r="J54" s="155" t="str">
        <f>IF('AW Schulen'!$I48=0,".",E54/'AW Schulen'!$I48)</f>
        <v>.</v>
      </c>
      <c r="K54" s="155" t="str">
        <f>IF('AW Schulen'!$L48=0,".",F54/'AW Schulen'!$L48)</f>
        <v>.</v>
      </c>
      <c r="L54" s="156" t="str">
        <f>IF('AW Schulen'!$O48=0,".",G54/'AW Schulen'!$O48)</f>
        <v>.</v>
      </c>
    </row>
    <row r="55" spans="1:12" ht="9" customHeight="1">
      <c r="A55" s="21" t="s">
        <v>87</v>
      </c>
      <c r="B55" s="120"/>
      <c r="C55" s="151">
        <f>[31]GtS!$G$53</f>
        <v>0</v>
      </c>
      <c r="D55" s="151">
        <f>[32]GtS!$G$55</f>
        <v>0</v>
      </c>
      <c r="E55" s="151">
        <f>[33]GtS!$G$55</f>
        <v>0</v>
      </c>
      <c r="F55" s="151">
        <f>[34]GtS!$G$55</f>
        <v>0</v>
      </c>
      <c r="G55" s="152">
        <f>[35]GtS!$G$55</f>
        <v>0</v>
      </c>
      <c r="H55" s="155" t="str">
        <f>IF('AW Schulen'!$C49=0,"x",C55/'AW Schulen'!$C49)</f>
        <v>x</v>
      </c>
      <c r="I55" s="155" t="str">
        <f>IF('AW Schulen'!$F49=0,"x",D55/'AW Schulen'!$F49)</f>
        <v>x</v>
      </c>
      <c r="J55" s="155" t="str">
        <f>IF('AW Schulen'!$I49=0,"x",E55/'AW Schulen'!$I49)</f>
        <v>x</v>
      </c>
      <c r="K55" s="155" t="str">
        <f>IF('AW Schulen'!$L49=0,"x",F55/'AW Schulen'!$L49)</f>
        <v>x</v>
      </c>
      <c r="L55" s="156" t="str">
        <f>IF('AW Schulen'!$O49=0,"x",G55/'AW Schulen'!$O49)</f>
        <v>x</v>
      </c>
    </row>
    <row r="56" spans="1:12" ht="9" customHeight="1">
      <c r="A56" s="21" t="s">
        <v>88</v>
      </c>
      <c r="B56" s="120"/>
      <c r="C56" s="36">
        <f>[71]GtS!$G$53</f>
        <v>0</v>
      </c>
      <c r="D56" s="36">
        <f>[72]GtS!$G$55</f>
        <v>0</v>
      </c>
      <c r="E56" s="36">
        <f>[73]GtS!$G$55</f>
        <v>0</v>
      </c>
      <c r="F56" s="36">
        <f>[74]GtS!$G$55</f>
        <v>0</v>
      </c>
      <c r="G56" s="37">
        <f>[75]GtS!$G$55</f>
        <v>0</v>
      </c>
      <c r="H56" s="183">
        <f>IF('AW Schulen'!$C50=0,"x",C56/'AW Schulen'!$C50)</f>
        <v>0</v>
      </c>
      <c r="I56" s="183">
        <f>IF('AW Schulen'!$F50=0,"x",D56/'AW Schulen'!$F50)</f>
        <v>0</v>
      </c>
      <c r="J56" s="183">
        <f>IF('AW Schulen'!$I50=0,"x",E56/'AW Schulen'!$I50)</f>
        <v>0</v>
      </c>
      <c r="K56" s="183">
        <f>IF('AW Schulen'!$L50=0,"x",F56/'AW Schulen'!$L50)</f>
        <v>0</v>
      </c>
      <c r="L56" s="197">
        <f>IF('AW Schulen'!$O50=0,"x",G56/'AW Schulen'!$O50)</f>
        <v>0</v>
      </c>
    </row>
    <row r="57" spans="1:12" ht="9" customHeight="1">
      <c r="A57" s="21" t="s">
        <v>89</v>
      </c>
      <c r="B57" s="120"/>
      <c r="C57" s="23">
        <f>[36]GtS!$G$53</f>
        <v>0</v>
      </c>
      <c r="D57" s="23">
        <f>[37]GtS!$G$55</f>
        <v>0</v>
      </c>
      <c r="E57" s="23">
        <f>[38]GtS!$G$55</f>
        <v>0</v>
      </c>
      <c r="F57" s="23">
        <f>[39]GtS!$G$55</f>
        <v>0</v>
      </c>
      <c r="G57" s="34">
        <f>[40]GtS!$G$55</f>
        <v>0</v>
      </c>
      <c r="H57" s="155">
        <f>IF('AW Schulen'!$C51=0,"x",C57/'AW Schulen'!$C51)</f>
        <v>0</v>
      </c>
      <c r="I57" s="155">
        <f>IF('AW Schulen'!$F51=0,"x",D57/'AW Schulen'!$F51)</f>
        <v>0</v>
      </c>
      <c r="J57" s="155">
        <f>IF('AW Schulen'!$I51=0,"x",E57/'AW Schulen'!$I51)</f>
        <v>0</v>
      </c>
      <c r="K57" s="155">
        <f>IF('AW Schulen'!$L51=0,"x",F57/'AW Schulen'!$L51)</f>
        <v>0</v>
      </c>
      <c r="L57" s="156">
        <f>IF('AW Schulen'!$O51=0,"x",G57/'AW Schulen'!$O51)</f>
        <v>0</v>
      </c>
    </row>
    <row r="58" spans="1:12" ht="9" customHeight="1">
      <c r="A58" s="21" t="s">
        <v>90</v>
      </c>
      <c r="B58" s="120"/>
      <c r="C58" s="23">
        <f>[41]GtS!$G$53</f>
        <v>0</v>
      </c>
      <c r="D58" s="23">
        <f>[42]GtS!$G$55</f>
        <v>0</v>
      </c>
      <c r="E58" s="23">
        <f>[43]GtS!$G$55</f>
        <v>0</v>
      </c>
      <c r="F58" s="23">
        <f>[44]GtS!$G$55</f>
        <v>0</v>
      </c>
      <c r="G58" s="34">
        <f>[45]GtS!$G$55</f>
        <v>0</v>
      </c>
      <c r="H58" s="155">
        <f>IF('AW Schulen'!$C52=0,"x",C58/'AW Schulen'!$C52)</f>
        <v>0</v>
      </c>
      <c r="I58" s="155">
        <f>IF('AW Schulen'!$F52=0,"x",D58/'AW Schulen'!$F52)</f>
        <v>0</v>
      </c>
      <c r="J58" s="155">
        <f>IF('AW Schulen'!$I52=0,"x",E58/'AW Schulen'!$I52)</f>
        <v>0</v>
      </c>
      <c r="K58" s="155">
        <f>IF('AW Schulen'!$L52=0,"x",F58/'AW Schulen'!$L52)</f>
        <v>0</v>
      </c>
      <c r="L58" s="156">
        <f>IF('AW Schulen'!$O52=0,"x",G58/'AW Schulen'!$O52)</f>
        <v>0</v>
      </c>
    </row>
    <row r="59" spans="1:12" ht="9" customHeight="1">
      <c r="A59" s="21" t="s">
        <v>91</v>
      </c>
      <c r="B59" s="120"/>
      <c r="C59" s="23">
        <f>[46]GtS!$G$53</f>
        <v>0</v>
      </c>
      <c r="D59" s="23">
        <f>[47]GtS!$G$55</f>
        <v>0</v>
      </c>
      <c r="E59" s="23">
        <f>[48]GtS!$G$55</f>
        <v>0</v>
      </c>
      <c r="F59" s="151">
        <f>[49]GtS!$G$55</f>
        <v>0</v>
      </c>
      <c r="G59" s="152">
        <f>[50]GtS!$G$55</f>
        <v>0</v>
      </c>
      <c r="H59" s="155">
        <f>IF('AW Schulen'!$C53=0,"x",C59/'AW Schulen'!$C53)</f>
        <v>0</v>
      </c>
      <c r="I59" s="155">
        <f>IF('AW Schulen'!$F53=0,"x",D59/'AW Schulen'!$F53)</f>
        <v>0</v>
      </c>
      <c r="J59" s="155">
        <f>IF('AW Schulen'!$I53=0,"x",E59/'AW Schulen'!$I53)</f>
        <v>0</v>
      </c>
      <c r="K59" s="155" t="str">
        <f>IF('AW Schulen'!$L53=0,"x",F59/'AW Schulen'!$L53)</f>
        <v>x</v>
      </c>
      <c r="L59" s="156" t="str">
        <f>IF('AW Schulen'!$O53=0,"x",G59/'AW Schulen'!$O53)</f>
        <v>x</v>
      </c>
    </row>
    <row r="60" spans="1:12" ht="9" customHeight="1">
      <c r="A60" s="21" t="s">
        <v>92</v>
      </c>
      <c r="B60" s="120"/>
      <c r="C60" s="151">
        <f>[51]GtS!$G$53</f>
        <v>0</v>
      </c>
      <c r="D60" s="151">
        <f>[52]GtS!$G$55</f>
        <v>0</v>
      </c>
      <c r="E60" s="151">
        <f>[53]GtS!$G$55</f>
        <v>0</v>
      </c>
      <c r="F60" s="151">
        <f>[54]GtS!$G$55</f>
        <v>0</v>
      </c>
      <c r="G60" s="152">
        <f>[55]GtS!$G$55</f>
        <v>0</v>
      </c>
      <c r="H60" s="155" t="str">
        <f>IF('AW Schulen'!$C54=0,"x",C60/'AW Schulen'!$C54)</f>
        <v>x</v>
      </c>
      <c r="I60" s="155" t="str">
        <f>IF('AW Schulen'!$F54=0,"x",D60/'AW Schulen'!$F54)</f>
        <v>x</v>
      </c>
      <c r="J60" s="155" t="str">
        <f>IF('AW Schulen'!$I54=0,"x",E60/'AW Schulen'!$I54)</f>
        <v>x</v>
      </c>
      <c r="K60" s="155" t="str">
        <f>IF('AW Schulen'!$L54=0,"x",F60/'AW Schulen'!$L54)</f>
        <v>x</v>
      </c>
      <c r="L60" s="156" t="str">
        <f>IF('AW Schulen'!$O54=0,"x",G60/'AW Schulen'!$O54)</f>
        <v>x</v>
      </c>
    </row>
    <row r="61" spans="1:12" ht="9" customHeight="1">
      <c r="A61" s="21" t="s">
        <v>93</v>
      </c>
      <c r="B61" s="120"/>
      <c r="C61" s="151">
        <f>[76]GtS!$G$53</f>
        <v>0</v>
      </c>
      <c r="D61" s="151">
        <f>[77]GtS!$G$55</f>
        <v>0</v>
      </c>
      <c r="E61" s="151">
        <f>[78]GtS!$G$55</f>
        <v>0</v>
      </c>
      <c r="F61" s="151">
        <f>[79]GtS!$G$55</f>
        <v>0</v>
      </c>
      <c r="G61" s="152">
        <f>[80]GtS!$G$55</f>
        <v>0</v>
      </c>
      <c r="H61" s="155" t="str">
        <f>IF('AW Schulen'!$C55=0,"x",C61/'AW Schulen'!$C55)</f>
        <v>x</v>
      </c>
      <c r="I61" s="155" t="str">
        <f>IF('AW Schulen'!$F55=0,"x",D61/'AW Schulen'!$F55)</f>
        <v>x</v>
      </c>
      <c r="J61" s="155" t="str">
        <f>IF('AW Schulen'!$I55=0,"x",E61/'AW Schulen'!$I55)</f>
        <v>x</v>
      </c>
      <c r="K61" s="155" t="str">
        <f>IF('AW Schulen'!$L55=0,"x",F61/'AW Schulen'!$L55)</f>
        <v>x</v>
      </c>
      <c r="L61" s="156" t="str">
        <f>IF('AW Schulen'!$O55=0,"x",G61/'AW Schulen'!$O55)</f>
        <v>x</v>
      </c>
    </row>
    <row r="62" spans="1:12" ht="9" customHeight="1">
      <c r="A62" s="21" t="s">
        <v>94</v>
      </c>
      <c r="B62" s="120"/>
      <c r="C62" s="151">
        <f>[56]GtS!$G$53</f>
        <v>0</v>
      </c>
      <c r="D62" s="151">
        <f>[57]GtS!$G$55</f>
        <v>0</v>
      </c>
      <c r="E62" s="151">
        <f>[58]GtS!$G$55</f>
        <v>0</v>
      </c>
      <c r="F62" s="151">
        <f>[59]GtS!$G$55</f>
        <v>0</v>
      </c>
      <c r="G62" s="152">
        <f>[60]GtS!$G$55</f>
        <v>0</v>
      </c>
      <c r="H62" s="155" t="str">
        <f>IF('AW Schulen'!$C56=0,"x",C62/'AW Schulen'!$C56)</f>
        <v>x</v>
      </c>
      <c r="I62" s="155" t="str">
        <f>IF('AW Schulen'!$F56=0,"x",D62/'AW Schulen'!$F56)</f>
        <v>x</v>
      </c>
      <c r="J62" s="155" t="str">
        <f>IF('AW Schulen'!$I56=0,"x",E62/'AW Schulen'!$I56)</f>
        <v>x</v>
      </c>
      <c r="K62" s="155" t="str">
        <f>IF('AW Schulen'!$L56=0,"x",F62/'AW Schulen'!$L56)</f>
        <v>x</v>
      </c>
      <c r="L62" s="156" t="str">
        <f>IF('AW Schulen'!$O56=0,"x",G62/'AW Schulen'!$O56)</f>
        <v>x</v>
      </c>
    </row>
    <row r="63" spans="1:12" ht="9" customHeight="1">
      <c r="A63" s="21" t="s">
        <v>95</v>
      </c>
      <c r="B63" s="120"/>
      <c r="C63" s="151">
        <f>[61]GtS!$G$53</f>
        <v>0</v>
      </c>
      <c r="D63" s="151">
        <f>[62]GtS!$G$55</f>
        <v>0</v>
      </c>
      <c r="E63" s="151">
        <f>[63]GtS!$G$55</f>
        <v>0</v>
      </c>
      <c r="F63" s="151">
        <f>[64]GtS!$G$55</f>
        <v>0</v>
      </c>
      <c r="G63" s="152">
        <f>[65]GtS!$G$55</f>
        <v>0</v>
      </c>
      <c r="H63" s="155" t="str">
        <f>IF('AW Schulen'!$C57=0,"x",C63/'AW Schulen'!$C57)</f>
        <v>x</v>
      </c>
      <c r="I63" s="155" t="str">
        <f>IF('AW Schulen'!$F57=0,"x",D63/'AW Schulen'!$F57)</f>
        <v>x</v>
      </c>
      <c r="J63" s="155" t="str">
        <f>IF('AW Schulen'!$I57=0,"x",E63/'AW Schulen'!$I57)</f>
        <v>x</v>
      </c>
      <c r="K63" s="155" t="str">
        <f>IF('AW Schulen'!$L57=0,"x",F63/'AW Schulen'!$L57)</f>
        <v>x</v>
      </c>
      <c r="L63" s="156" t="str">
        <f>IF('AW Schulen'!$O57=0,"x",G63/'AW Schulen'!$O57)</f>
        <v>x</v>
      </c>
    </row>
    <row r="64" spans="1:12" ht="8.65" customHeight="1">
      <c r="A64" s="21" t="s">
        <v>96</v>
      </c>
      <c r="B64" s="120"/>
      <c r="C64" s="23">
        <f t="shared" ref="C64:E64" si="37">SUM(C48:C63)</f>
        <v>10</v>
      </c>
      <c r="D64" s="23">
        <f t="shared" si="37"/>
        <v>14</v>
      </c>
      <c r="E64" s="23">
        <f t="shared" si="37"/>
        <v>14</v>
      </c>
      <c r="F64" s="23">
        <f t="shared" ref="F64:G64" si="38">SUM(F48:F63)</f>
        <v>14</v>
      </c>
      <c r="G64" s="34">
        <f t="shared" si="38"/>
        <v>12</v>
      </c>
      <c r="H64" s="155">
        <f>IF('AW Schulen'!$C58=0,"x",C64/'AW Schulen'!$C58)</f>
        <v>6.0240963855421686E-2</v>
      </c>
      <c r="I64" s="155">
        <f>IF('AW Schulen'!$F58=0,"x",D64/'AW Schulen'!$F58)</f>
        <v>8.4337349397590355E-2</v>
      </c>
      <c r="J64" s="155">
        <f>IF('AW Schulen'!$I58=0,"x",E64/'AW Schulen'!$I58)</f>
        <v>8.3832335329341312E-2</v>
      </c>
      <c r="K64" s="155">
        <f>IF('AW Schulen'!$L58=0,"x",F64/'AW Schulen'!$L58)</f>
        <v>8.4337349397590355E-2</v>
      </c>
      <c r="L64" s="156">
        <f>IF('AW Schulen'!$O58=0,"x",G64/'AW Schulen'!$O58)</f>
        <v>7.2289156626506021E-2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[1]GtS!$H$53</f>
        <v>1</v>
      </c>
      <c r="D66" s="23">
        <f>[2]GtS!$H$55</f>
        <v>1</v>
      </c>
      <c r="E66" s="23">
        <f>[3]GtS!$H$55</f>
        <v>1</v>
      </c>
      <c r="F66" s="23">
        <f>[4]GtS!$H$55</f>
        <v>1</v>
      </c>
      <c r="G66" s="34">
        <f>[5]GtS!$H$55</f>
        <v>2</v>
      </c>
      <c r="H66" s="155">
        <f>IF('AW Schulen'!$C42=0,"x",C66/'AW Schulen'!$C42)</f>
        <v>2.2727272727272728E-2</v>
      </c>
      <c r="I66" s="155">
        <f>IF('AW Schulen'!$F42=0,"x",D66/'AW Schulen'!$F42)</f>
        <v>2.2727272727272728E-2</v>
      </c>
      <c r="J66" s="155">
        <f>IF('AW Schulen'!$I42=0,"x",E66/'AW Schulen'!$I42)</f>
        <v>2.2222222222222223E-2</v>
      </c>
      <c r="K66" s="155">
        <f>IF('AW Schulen'!$L42=0,"x",F66/'AW Schulen'!$L42)</f>
        <v>2.2727272727272728E-2</v>
      </c>
      <c r="L66" s="156">
        <f>IF('AW Schulen'!$O42=0,"x",G66/'AW Schulen'!$O42)</f>
        <v>4.5454545454545456E-2</v>
      </c>
    </row>
    <row r="67" spans="1:12" ht="10.15" customHeight="1">
      <c r="A67" s="224" t="s">
        <v>81</v>
      </c>
      <c r="B67" s="120"/>
      <c r="C67" s="23">
        <f>[6]GtS!$H$53</f>
        <v>36</v>
      </c>
      <c r="D67" s="23">
        <f>[7]GtS!$H$55</f>
        <v>40</v>
      </c>
      <c r="E67" s="23">
        <f>[8]GtS!$H$55</f>
        <v>47</v>
      </c>
      <c r="F67" s="23">
        <f>[9]GtS!$H$55</f>
        <v>53</v>
      </c>
      <c r="G67" s="34">
        <f>[10]GtS!$H$55</f>
        <v>64</v>
      </c>
      <c r="H67" s="155">
        <f>IF('AW Schulen'!$C43=0,"x",C67/'AW Schulen'!$C43)</f>
        <v>0.3364485981308411</v>
      </c>
      <c r="I67" s="155">
        <f>IF('AW Schulen'!$F43=0,"x",D67/'AW Schulen'!$F43)</f>
        <v>0.37383177570093457</v>
      </c>
      <c r="J67" s="155">
        <f>IF('AW Schulen'!$I43=0,"x",E67/'AW Schulen'!$I43)</f>
        <v>0.43518518518518517</v>
      </c>
      <c r="K67" s="155">
        <f>IF('AW Schulen'!$L43=0,"x",F67/'AW Schulen'!$L43)</f>
        <v>0.48623853211009177</v>
      </c>
      <c r="L67" s="156">
        <f>IF('AW Schulen'!$O43=0,"x",G67/'AW Schulen'!$O43)</f>
        <v>0.58715596330275233</v>
      </c>
    </row>
    <row r="68" spans="1:12" ht="10.15" customHeight="1">
      <c r="A68" s="224" t="s">
        <v>82</v>
      </c>
      <c r="B68" s="120"/>
      <c r="C68" s="151">
        <f>[11]GtS!$H$53</f>
        <v>0</v>
      </c>
      <c r="D68" s="151">
        <f>[12]GtS!$H$55</f>
        <v>0</v>
      </c>
      <c r="E68" s="151">
        <f>[13]GtS!$H$55</f>
        <v>0</v>
      </c>
      <c r="F68" s="151">
        <f>[14]GtS!$H$55</f>
        <v>0</v>
      </c>
      <c r="G68" s="152">
        <f>[15]GtS!$H$55</f>
        <v>0</v>
      </c>
      <c r="H68" s="155" t="str">
        <f>IF('AW Schulen'!$C44=0,"x",C68/'AW Schulen'!$C44)</f>
        <v>x</v>
      </c>
      <c r="I68" s="155" t="str">
        <f>IF('AW Schulen'!$F44=0,"x",D68/'AW Schulen'!$F44)</f>
        <v>x</v>
      </c>
      <c r="J68" s="155" t="str">
        <f>IF('AW Schulen'!$I44=0,"x",E68/'AW Schulen'!$I44)</f>
        <v>x</v>
      </c>
      <c r="K68" s="155" t="str">
        <f>IF('AW Schulen'!$L44=0,"x",F68/'AW Schulen'!$L44)</f>
        <v>x</v>
      </c>
      <c r="L68" s="156" t="str">
        <f>IF('AW Schulen'!$O44=0,"x",G68/'AW Schulen'!$O44)</f>
        <v>x</v>
      </c>
    </row>
    <row r="69" spans="1:12" ht="9" customHeight="1">
      <c r="A69" s="21" t="s">
        <v>83</v>
      </c>
      <c r="B69" s="120"/>
      <c r="C69" s="151">
        <f>[16]GtS!$H$53</f>
        <v>0</v>
      </c>
      <c r="D69" s="151">
        <f>[17]GtS!$H$55</f>
        <v>0</v>
      </c>
      <c r="E69" s="151">
        <f>[18]GtS!$H$55</f>
        <v>0</v>
      </c>
      <c r="F69" s="151">
        <f>[19]GtS!$H$55</f>
        <v>0</v>
      </c>
      <c r="G69" s="152">
        <f>[20]GtS!$H$55</f>
        <v>0</v>
      </c>
      <c r="H69" s="155" t="str">
        <f>IF('AW Schulen'!$C45=0,"x",C69/'AW Schulen'!$C45)</f>
        <v>x</v>
      </c>
      <c r="I69" s="155" t="str">
        <f>IF('AW Schulen'!$F45=0,"x",D69/'AW Schulen'!$F45)</f>
        <v>x</v>
      </c>
      <c r="J69" s="155" t="str">
        <f>IF('AW Schulen'!$I45=0,"x",E69/'AW Schulen'!$I45)</f>
        <v>x</v>
      </c>
      <c r="K69" s="155" t="str">
        <f>IF('AW Schulen'!$L45=0,"x",F69/'AW Schulen'!$L45)</f>
        <v>x</v>
      </c>
      <c r="L69" s="156" t="str">
        <f>IF('AW Schulen'!$O45=0,"x",G69/'AW Schulen'!$O45)</f>
        <v>x</v>
      </c>
    </row>
    <row r="70" spans="1:12" ht="9" customHeight="1">
      <c r="A70" s="21" t="s">
        <v>84</v>
      </c>
      <c r="B70" s="120"/>
      <c r="C70" s="151">
        <f>[21]GtS!$H$53</f>
        <v>0</v>
      </c>
      <c r="D70" s="151">
        <f>[22]GtS!$H$55</f>
        <v>0</v>
      </c>
      <c r="E70" s="151">
        <f>[23]GtS!$H$55</f>
        <v>0</v>
      </c>
      <c r="F70" s="151">
        <f>[24]GtS!$H$55</f>
        <v>0</v>
      </c>
      <c r="G70" s="152">
        <f>[25]GtS!$H$55</f>
        <v>0</v>
      </c>
      <c r="H70" s="155" t="str">
        <f>IF('AW Schulen'!$C46=0,"x",C70/'AW Schulen'!$C46)</f>
        <v>x</v>
      </c>
      <c r="I70" s="155" t="str">
        <f>IF('AW Schulen'!$F46=0,"x",D70/'AW Schulen'!$F46)</f>
        <v>x</v>
      </c>
      <c r="J70" s="155" t="str">
        <f>IF('AW Schulen'!$I46=0,"x",E70/'AW Schulen'!$I46)</f>
        <v>x</v>
      </c>
      <c r="K70" s="155" t="str">
        <f>IF('AW Schulen'!$L46=0,"x",F70/'AW Schulen'!$L46)</f>
        <v>x</v>
      </c>
      <c r="L70" s="156" t="str">
        <f>IF('AW Schulen'!$O46=0,"x",G70/'AW Schulen'!$O46)</f>
        <v>x</v>
      </c>
    </row>
    <row r="71" spans="1:12" ht="9" customHeight="1">
      <c r="A71" s="21" t="s">
        <v>85</v>
      </c>
      <c r="B71" s="120"/>
      <c r="C71" s="151">
        <f>[26]GtS!$H$53</f>
        <v>0</v>
      </c>
      <c r="D71" s="151">
        <f>[27]GtS!$H$55</f>
        <v>0</v>
      </c>
      <c r="E71" s="151">
        <f>[28]GtS!$H$55</f>
        <v>0</v>
      </c>
      <c r="F71" s="151">
        <f>[29]GtS!$H$55</f>
        <v>0</v>
      </c>
      <c r="G71" s="152">
        <f>[30]GtS!$H$55</f>
        <v>0</v>
      </c>
      <c r="H71" s="155" t="str">
        <f>IF('AW Schulen'!$C47=0,"x",C71/'AW Schulen'!$C47)</f>
        <v>x</v>
      </c>
      <c r="I71" s="155" t="str">
        <f>IF('AW Schulen'!$F47=0,"x",D71/'AW Schulen'!$F47)</f>
        <v>x</v>
      </c>
      <c r="J71" s="155" t="str">
        <f>IF('AW Schulen'!$I47=0,"x",E71/'AW Schulen'!$I47)</f>
        <v>x</v>
      </c>
      <c r="K71" s="155" t="str">
        <f>IF('AW Schulen'!$L47=0,"x",F71/'AW Schulen'!$L47)</f>
        <v>x</v>
      </c>
      <c r="L71" s="156" t="str">
        <f>IF('AW Schulen'!$O47=0,"x",G71/'AW Schulen'!$O47)</f>
        <v>x</v>
      </c>
    </row>
    <row r="72" spans="1:12" ht="9" customHeight="1">
      <c r="A72" s="21" t="s">
        <v>86</v>
      </c>
      <c r="B72" s="120"/>
      <c r="C72" s="36">
        <f>[66]GtS!$H$53</f>
        <v>0</v>
      </c>
      <c r="D72" s="36">
        <f>[67]GtS!$H$55</f>
        <v>0</v>
      </c>
      <c r="E72" s="36">
        <f>[68]GtS!$H$55</f>
        <v>0</v>
      </c>
      <c r="F72" s="36">
        <f>[69]GtS!$H$55</f>
        <v>0</v>
      </c>
      <c r="G72" s="37">
        <f>[70]GtS!$H$55</f>
        <v>0</v>
      </c>
      <c r="H72" s="183">
        <f>IF('AW Schulen'!$C48=0,"x",C72/'AW Schulen'!$C48)</f>
        <v>0</v>
      </c>
      <c r="I72" s="155" t="str">
        <f>IF('AW Schulen'!$F66=0,".",D72/'AW Schulen'!$F66)</f>
        <v>.</v>
      </c>
      <c r="J72" s="155" t="str">
        <f>IF('AW Schulen'!$I66=0,".",E72/'AW Schulen'!$I66)</f>
        <v>.</v>
      </c>
      <c r="K72" s="155" t="str">
        <f>IF('AW Schulen'!$L66=0,".",F72/'AW Schulen'!$L66)</f>
        <v>.</v>
      </c>
      <c r="L72" s="156" t="str">
        <f>IF('AW Schulen'!$O66=0,".",G72/'AW Schulen'!$O66)</f>
        <v>.</v>
      </c>
    </row>
    <row r="73" spans="1:12" ht="9" customHeight="1">
      <c r="A73" s="21" t="s">
        <v>87</v>
      </c>
      <c r="B73" s="120"/>
      <c r="C73" s="151">
        <f>[31]GtS!$H$53</f>
        <v>0</v>
      </c>
      <c r="D73" s="151">
        <f>[32]GtS!$H$55</f>
        <v>0</v>
      </c>
      <c r="E73" s="151">
        <f>[33]GtS!$H$55</f>
        <v>0</v>
      </c>
      <c r="F73" s="151">
        <f>[34]GtS!$H$55</f>
        <v>0</v>
      </c>
      <c r="G73" s="152">
        <f>[35]GtS!$H$55</f>
        <v>0</v>
      </c>
      <c r="H73" s="155" t="str">
        <f>IF('AW Schulen'!$C49=0,"x",C73/'AW Schulen'!$C49)</f>
        <v>x</v>
      </c>
      <c r="I73" s="155" t="str">
        <f>IF('AW Schulen'!$F49=0,"x",D73/'AW Schulen'!$F49)</f>
        <v>x</v>
      </c>
      <c r="J73" s="155" t="str">
        <f>IF('AW Schulen'!$I49=0,"x",E73/'AW Schulen'!$I49)</f>
        <v>x</v>
      </c>
      <c r="K73" s="155" t="str">
        <f>IF('AW Schulen'!$L49=0,"x",F73/'AW Schulen'!$L49)</f>
        <v>x</v>
      </c>
      <c r="L73" s="156" t="str">
        <f>IF('AW Schulen'!$O49=0,"x",G73/'AW Schulen'!$O49)</f>
        <v>x</v>
      </c>
    </row>
    <row r="74" spans="1:12" ht="9" customHeight="1">
      <c r="A74" s="21" t="s">
        <v>88</v>
      </c>
      <c r="B74" s="120"/>
      <c r="C74" s="36">
        <f>[71]GtS!$H$53</f>
        <v>0</v>
      </c>
      <c r="D74" s="36">
        <f>[72]GtS!$H$55</f>
        <v>0</v>
      </c>
      <c r="E74" s="36">
        <f>[73]GtS!$H$55</f>
        <v>0</v>
      </c>
      <c r="F74" s="36">
        <f>[74]GtS!$H$55</f>
        <v>0</v>
      </c>
      <c r="G74" s="37">
        <f>[75]GtS!$H$55</f>
        <v>0</v>
      </c>
      <c r="H74" s="183">
        <f>IF('AW Schulen'!$C50=0,"x",C74/'AW Schulen'!$C50)</f>
        <v>0</v>
      </c>
      <c r="I74" s="183">
        <f>IF('AW Schulen'!$F50=0,"x",D74/'AW Schulen'!$F50)</f>
        <v>0</v>
      </c>
      <c r="J74" s="183">
        <f>IF('AW Schulen'!$I50=0,"x",E74/'AW Schulen'!$I50)</f>
        <v>0</v>
      </c>
      <c r="K74" s="183">
        <f>IF('AW Schulen'!$L50=0,"x",F74/'AW Schulen'!$L50)</f>
        <v>0</v>
      </c>
      <c r="L74" s="197">
        <f>IF('AW Schulen'!$O50=0,"x",G74/'AW Schulen'!$O50)</f>
        <v>0</v>
      </c>
    </row>
    <row r="75" spans="1:12" ht="9" customHeight="1">
      <c r="A75" s="21" t="s">
        <v>89</v>
      </c>
      <c r="B75" s="120"/>
      <c r="C75" s="23">
        <f>[36]GtS!$H$53</f>
        <v>0</v>
      </c>
      <c r="D75" s="23">
        <f>[37]GtS!$H$55</f>
        <v>0</v>
      </c>
      <c r="E75" s="23">
        <f>[38]GtS!$H$55</f>
        <v>0</v>
      </c>
      <c r="F75" s="23">
        <f>[39]GtS!$H$55</f>
        <v>0</v>
      </c>
      <c r="G75" s="34">
        <f>[40]GtS!$H$55</f>
        <v>0</v>
      </c>
      <c r="H75" s="155">
        <f>IF('AW Schulen'!$C51=0,"x",C75/'AW Schulen'!$C51)</f>
        <v>0</v>
      </c>
      <c r="I75" s="155">
        <f>IF('AW Schulen'!$F51=0,"x",D75/'AW Schulen'!$F51)</f>
        <v>0</v>
      </c>
      <c r="J75" s="155">
        <f>IF('AW Schulen'!$I51=0,"x",E75/'AW Schulen'!$I51)</f>
        <v>0</v>
      </c>
      <c r="K75" s="155">
        <f>IF('AW Schulen'!$L51=0,"x",F75/'AW Schulen'!$L51)</f>
        <v>0</v>
      </c>
      <c r="L75" s="156">
        <f>IF('AW Schulen'!$O51=0,"x",G75/'AW Schulen'!$O51)</f>
        <v>0</v>
      </c>
    </row>
    <row r="76" spans="1:12" ht="9" customHeight="1">
      <c r="A76" s="21" t="s">
        <v>90</v>
      </c>
      <c r="B76" s="120"/>
      <c r="C76" s="23">
        <f>[41]GtS!$H$53</f>
        <v>0</v>
      </c>
      <c r="D76" s="23">
        <f>[42]GtS!$H$55</f>
        <v>0</v>
      </c>
      <c r="E76" s="23">
        <f>[43]GtS!$H$55</f>
        <v>0</v>
      </c>
      <c r="F76" s="23">
        <f>[44]GtS!$H$55</f>
        <v>0</v>
      </c>
      <c r="G76" s="34">
        <f>[45]GtS!$H$55</f>
        <v>0</v>
      </c>
      <c r="H76" s="155">
        <f>IF('AW Schulen'!$C52=0,"x",C76/'AW Schulen'!$C52)</f>
        <v>0</v>
      </c>
      <c r="I76" s="155">
        <f>IF('AW Schulen'!$F52=0,"x",D76/'AW Schulen'!$F52)</f>
        <v>0</v>
      </c>
      <c r="J76" s="155">
        <f>IF('AW Schulen'!$I52=0,"x",E76/'AW Schulen'!$I52)</f>
        <v>0</v>
      </c>
      <c r="K76" s="155">
        <f>IF('AW Schulen'!$L52=0,"x",F76/'AW Schulen'!$L52)</f>
        <v>0</v>
      </c>
      <c r="L76" s="156">
        <f>IF('AW Schulen'!$O52=0,"x",G76/'AW Schulen'!$O52)</f>
        <v>0</v>
      </c>
    </row>
    <row r="77" spans="1:12" ht="9" customHeight="1">
      <c r="A77" s="21" t="s">
        <v>91</v>
      </c>
      <c r="B77" s="120"/>
      <c r="C77" s="23">
        <f>[46]GtS!$H$53</f>
        <v>1</v>
      </c>
      <c r="D77" s="23">
        <f>[47]GtS!$H$55</f>
        <v>1</v>
      </c>
      <c r="E77" s="23">
        <f>[48]GtS!$H$55</f>
        <v>1</v>
      </c>
      <c r="F77" s="151">
        <f>[49]GtS!$H$55</f>
        <v>0</v>
      </c>
      <c r="G77" s="152">
        <f>[50]GtS!$H$55</f>
        <v>0</v>
      </c>
      <c r="H77" s="155">
        <f>IF('AW Schulen'!$C53=0,"x",C77/'AW Schulen'!$C53)</f>
        <v>1</v>
      </c>
      <c r="I77" s="155">
        <f>IF('AW Schulen'!$F53=0,"x",D77/'AW Schulen'!$F53)</f>
        <v>1</v>
      </c>
      <c r="J77" s="155">
        <f>IF('AW Schulen'!$I53=0,"x",E77/'AW Schulen'!$I53)</f>
        <v>1</v>
      </c>
      <c r="K77" s="155" t="str">
        <f>IF('AW Schulen'!$L53=0,"x",F77/'AW Schulen'!$L53)</f>
        <v>x</v>
      </c>
      <c r="L77" s="156" t="str">
        <f>IF('AW Schulen'!$O53=0,"x",G77/'AW Schulen'!$O53)</f>
        <v>x</v>
      </c>
    </row>
    <row r="78" spans="1:12" ht="9" customHeight="1">
      <c r="A78" s="21" t="s">
        <v>92</v>
      </c>
      <c r="B78" s="120"/>
      <c r="C78" s="151">
        <f>[51]GtS!$H$53</f>
        <v>0</v>
      </c>
      <c r="D78" s="151">
        <f>[52]GtS!$H$55</f>
        <v>0</v>
      </c>
      <c r="E78" s="151">
        <f>[53]GtS!$H$55</f>
        <v>0</v>
      </c>
      <c r="F78" s="151">
        <f>[54]GtS!$H$55</f>
        <v>0</v>
      </c>
      <c r="G78" s="152">
        <f>[55]GtS!$H$55</f>
        <v>0</v>
      </c>
      <c r="H78" s="155" t="str">
        <f>IF('AW Schulen'!$C54=0,"x",C78/'AW Schulen'!$C54)</f>
        <v>x</v>
      </c>
      <c r="I78" s="155" t="str">
        <f>IF('AW Schulen'!$F54=0,"x",D78/'AW Schulen'!$F54)</f>
        <v>x</v>
      </c>
      <c r="J78" s="155" t="str">
        <f>IF('AW Schulen'!$I54=0,"x",E78/'AW Schulen'!$I54)</f>
        <v>x</v>
      </c>
      <c r="K78" s="155" t="str">
        <f>IF('AW Schulen'!$L54=0,"x",F78/'AW Schulen'!$L54)</f>
        <v>x</v>
      </c>
      <c r="L78" s="156" t="str">
        <f>IF('AW Schulen'!$O54=0,"x",G78/'AW Schulen'!$O54)</f>
        <v>x</v>
      </c>
    </row>
    <row r="79" spans="1:12" ht="9" customHeight="1">
      <c r="A79" s="21" t="s">
        <v>93</v>
      </c>
      <c r="B79" s="120"/>
      <c r="C79" s="151">
        <f>[76]GtS!$H$53</f>
        <v>0</v>
      </c>
      <c r="D79" s="151">
        <f>[77]GtS!$H$55</f>
        <v>0</v>
      </c>
      <c r="E79" s="151">
        <f>[78]GtS!$H$55</f>
        <v>0</v>
      </c>
      <c r="F79" s="151">
        <f>[79]GtS!$H$55</f>
        <v>0</v>
      </c>
      <c r="G79" s="152">
        <f>[80]GtS!$H$55</f>
        <v>0</v>
      </c>
      <c r="H79" s="155" t="str">
        <f>IF('AW Schulen'!$C55=0,"x",C79/'AW Schulen'!$C55)</f>
        <v>x</v>
      </c>
      <c r="I79" s="155" t="str">
        <f>IF('AW Schulen'!$F55=0,"x",D79/'AW Schulen'!$F55)</f>
        <v>x</v>
      </c>
      <c r="J79" s="155" t="str">
        <f>IF('AW Schulen'!$I55=0,"x",E79/'AW Schulen'!$I55)</f>
        <v>x</v>
      </c>
      <c r="K79" s="155" t="str">
        <f>IF('AW Schulen'!$L55=0,"x",F79/'AW Schulen'!$L55)</f>
        <v>x</v>
      </c>
      <c r="L79" s="156" t="str">
        <f>IF('AW Schulen'!$O55=0,"x",G79/'AW Schulen'!$O55)</f>
        <v>x</v>
      </c>
    </row>
    <row r="80" spans="1:12" ht="9" customHeight="1">
      <c r="A80" s="21" t="s">
        <v>94</v>
      </c>
      <c r="B80" s="120"/>
      <c r="C80" s="151">
        <f>[56]GtS!$H$53</f>
        <v>0</v>
      </c>
      <c r="D80" s="151">
        <f>[57]GtS!$H$55</f>
        <v>0</v>
      </c>
      <c r="E80" s="151">
        <f>[58]GtS!$H$55</f>
        <v>0</v>
      </c>
      <c r="F80" s="151">
        <f>[59]GtS!$H$55</f>
        <v>0</v>
      </c>
      <c r="G80" s="152">
        <f>[60]GtS!$H$55</f>
        <v>0</v>
      </c>
      <c r="H80" s="155" t="str">
        <f>IF('AW Schulen'!$C56=0,"x",C80/'AW Schulen'!$C56)</f>
        <v>x</v>
      </c>
      <c r="I80" s="155" t="str">
        <f>IF('AW Schulen'!$F56=0,"x",D80/'AW Schulen'!$F56)</f>
        <v>x</v>
      </c>
      <c r="J80" s="155" t="str">
        <f>IF('AW Schulen'!$I56=0,"x",E80/'AW Schulen'!$I56)</f>
        <v>x</v>
      </c>
      <c r="K80" s="155" t="str">
        <f>IF('AW Schulen'!$L56=0,"x",F80/'AW Schulen'!$L56)</f>
        <v>x</v>
      </c>
      <c r="L80" s="156" t="str">
        <f>IF('AW Schulen'!$O56=0,"x",G80/'AW Schulen'!$O56)</f>
        <v>x</v>
      </c>
    </row>
    <row r="81" spans="1:12" ht="9" customHeight="1">
      <c r="A81" s="21" t="s">
        <v>95</v>
      </c>
      <c r="B81" s="120"/>
      <c r="C81" s="151">
        <f>[61]GtS!$H$53</f>
        <v>0</v>
      </c>
      <c r="D81" s="151">
        <f>[62]GtS!$H$55</f>
        <v>0</v>
      </c>
      <c r="E81" s="151">
        <f>[63]GtS!$H$55</f>
        <v>0</v>
      </c>
      <c r="F81" s="151">
        <f>[64]GtS!$H$55</f>
        <v>0</v>
      </c>
      <c r="G81" s="152">
        <f>[65]GtS!$H$55</f>
        <v>0</v>
      </c>
      <c r="H81" s="155" t="str">
        <f>IF('AW Schulen'!$C57=0,"x",C81/'AW Schulen'!$C57)</f>
        <v>x</v>
      </c>
      <c r="I81" s="155" t="str">
        <f>IF('AW Schulen'!$F57=0,"x",D81/'AW Schulen'!$F57)</f>
        <v>x</v>
      </c>
      <c r="J81" s="155" t="str">
        <f>IF('AW Schulen'!$I57=0,"x",E81/'AW Schulen'!$I57)</f>
        <v>x</v>
      </c>
      <c r="K81" s="155" t="str">
        <f>IF('AW Schulen'!$L57=0,"x",F81/'AW Schulen'!$L57)</f>
        <v>x</v>
      </c>
      <c r="L81" s="156" t="str">
        <f>IF('AW Schulen'!$O57=0,"x",G81/'AW Schulen'!$O57)</f>
        <v>x</v>
      </c>
    </row>
    <row r="82" spans="1:12" ht="9" customHeight="1">
      <c r="A82" s="24" t="s">
        <v>96</v>
      </c>
      <c r="B82" s="121"/>
      <c r="C82" s="26">
        <f t="shared" ref="C82:E82" si="39">SUM(C66:C81)</f>
        <v>38</v>
      </c>
      <c r="D82" s="26">
        <f t="shared" si="39"/>
        <v>42</v>
      </c>
      <c r="E82" s="26">
        <f t="shared" si="39"/>
        <v>49</v>
      </c>
      <c r="F82" s="26">
        <f t="shared" ref="F82:G82" si="40">SUM(F66:F81)</f>
        <v>54</v>
      </c>
      <c r="G82" s="47">
        <f t="shared" si="40"/>
        <v>66</v>
      </c>
      <c r="H82" s="157">
        <f>IF('AW Schulen'!$C58=0,"x",C82/'AW Schulen'!$C58)</f>
        <v>0.2289156626506024</v>
      </c>
      <c r="I82" s="157">
        <f>IF('AW Schulen'!$F58=0,"x",D82/'AW Schulen'!$F58)</f>
        <v>0.25301204819277107</v>
      </c>
      <c r="J82" s="157">
        <f>IF('AW Schulen'!$I58=0,"x",E82/'AW Schulen'!$I58)</f>
        <v>0.29341317365269459</v>
      </c>
      <c r="K82" s="157">
        <f>IF('AW Schulen'!$L58=0,"x",F82/'AW Schulen'!$L58)</f>
        <v>0.3253012048192771</v>
      </c>
      <c r="L82" s="158">
        <f>IF('AW Schulen'!$O58=0,"x",G82/'AW Schulen'!$O58)</f>
        <v>0.39759036144578314</v>
      </c>
    </row>
    <row r="83" spans="1:12" ht="19.5" customHeight="1">
      <c r="A83" s="396" t="s">
        <v>312</v>
      </c>
      <c r="B83" s="396"/>
      <c r="C83" s="396"/>
      <c r="D83" s="396"/>
      <c r="E83" s="396"/>
      <c r="F83" s="396"/>
      <c r="G83" s="396"/>
      <c r="H83" s="396"/>
      <c r="I83" s="396"/>
      <c r="J83" s="396"/>
      <c r="K83" s="396"/>
      <c r="L83" s="396"/>
    </row>
    <row r="84" spans="1:12" ht="10.15" customHeight="1">
      <c r="A84" s="308" t="s">
        <v>139</v>
      </c>
      <c r="B84" s="63"/>
      <c r="C84" s="63"/>
      <c r="D84" s="63"/>
      <c r="E84" s="63"/>
      <c r="F84" s="63"/>
      <c r="G84" s="63"/>
    </row>
    <row r="85" spans="1:12" ht="10.15" customHeight="1">
      <c r="A85" s="306" t="s">
        <v>101</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44"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N94"/>
  <sheetViews>
    <sheetView view="pageBreakPreview" zoomScale="175" zoomScaleNormal="100" zoomScaleSheetLayoutView="175" workbookViewId="0"/>
  </sheetViews>
  <sheetFormatPr baseColWidth="10" defaultRowHeight="12.75"/>
  <cols>
    <col min="1" max="1" width="8.7109375" style="8" customWidth="1"/>
    <col min="2" max="2" width="78" style="9" customWidth="1"/>
    <col min="3" max="3" width="6.7109375" style="6" customWidth="1"/>
  </cols>
  <sheetData>
    <row r="1" spans="1:14" ht="15.75">
      <c r="A1" s="5" t="s">
        <v>70</v>
      </c>
      <c r="C1" s="6" t="s">
        <v>71</v>
      </c>
    </row>
    <row r="2" spans="1:14">
      <c r="B2" s="10"/>
    </row>
    <row r="3" spans="1:14" ht="13.5">
      <c r="A3" s="7">
        <v>1</v>
      </c>
      <c r="B3" s="210" t="s">
        <v>263</v>
      </c>
      <c r="C3" s="310">
        <v>1</v>
      </c>
      <c r="D3" s="310"/>
      <c r="E3" s="310"/>
      <c r="F3" s="310"/>
      <c r="G3" s="310"/>
      <c r="H3" s="310"/>
      <c r="I3" s="310"/>
      <c r="J3" s="310"/>
      <c r="K3" s="310"/>
      <c r="L3" s="310"/>
      <c r="M3" s="310"/>
      <c r="N3" s="310"/>
    </row>
    <row r="4" spans="1:14" ht="13.5">
      <c r="B4" s="10"/>
      <c r="C4" s="310"/>
      <c r="D4" s="303"/>
      <c r="E4" s="303"/>
      <c r="F4" s="303"/>
      <c r="G4" s="303"/>
      <c r="H4" s="303"/>
      <c r="I4" s="221"/>
    </row>
    <row r="5" spans="1:14" ht="12" customHeight="1">
      <c r="A5" s="279" t="s">
        <v>0</v>
      </c>
      <c r="B5" s="211" t="s">
        <v>1</v>
      </c>
      <c r="C5" s="310">
        <v>1</v>
      </c>
      <c r="D5" s="303"/>
      <c r="E5" s="303"/>
      <c r="F5" s="303"/>
      <c r="G5" s="303"/>
      <c r="H5" s="303"/>
      <c r="I5" s="303"/>
    </row>
    <row r="6" spans="1:14" ht="13.5">
      <c r="A6" s="8" t="s">
        <v>2</v>
      </c>
      <c r="B6" s="211" t="s">
        <v>3</v>
      </c>
      <c r="C6" s="310">
        <f>C5+1</f>
        <v>2</v>
      </c>
    </row>
    <row r="7" spans="1:14" ht="13.5">
      <c r="A7" s="8" t="s">
        <v>4</v>
      </c>
      <c r="B7" s="211" t="s">
        <v>72</v>
      </c>
      <c r="C7" s="310">
        <f>C6+1</f>
        <v>3</v>
      </c>
    </row>
    <row r="8" spans="1:14" ht="13.5">
      <c r="B8" s="10"/>
      <c r="C8" s="310"/>
    </row>
    <row r="9" spans="1:14" ht="13.5">
      <c r="A9" s="7">
        <v>2</v>
      </c>
      <c r="B9" s="210" t="s">
        <v>264</v>
      </c>
      <c r="C9" s="310">
        <f t="shared" ref="C9:C64" si="0">C7+1</f>
        <v>4</v>
      </c>
    </row>
    <row r="10" spans="1:14" ht="10.15" customHeight="1">
      <c r="B10" s="10"/>
      <c r="C10" s="310"/>
    </row>
    <row r="11" spans="1:14" ht="13.5">
      <c r="A11" s="126" t="s">
        <v>5</v>
      </c>
      <c r="B11" s="211" t="s">
        <v>1</v>
      </c>
      <c r="C11" s="310">
        <f>C9</f>
        <v>4</v>
      </c>
    </row>
    <row r="12" spans="1:14" ht="13.5">
      <c r="A12" s="8" t="s">
        <v>6</v>
      </c>
      <c r="B12" s="211" t="s">
        <v>7</v>
      </c>
      <c r="C12" s="310">
        <f>C11</f>
        <v>4</v>
      </c>
    </row>
    <row r="13" spans="1:14" ht="13.5">
      <c r="A13" s="8" t="s">
        <v>8</v>
      </c>
      <c r="B13" s="211" t="s">
        <v>9</v>
      </c>
      <c r="C13" s="310">
        <f t="shared" ref="C13:C22" si="1">C12+1</f>
        <v>5</v>
      </c>
    </row>
    <row r="14" spans="1:14" ht="13.5">
      <c r="A14" s="8" t="s">
        <v>10</v>
      </c>
      <c r="B14" s="211" t="s">
        <v>11</v>
      </c>
      <c r="C14" s="310">
        <f t="shared" si="1"/>
        <v>6</v>
      </c>
    </row>
    <row r="15" spans="1:14" ht="13.5">
      <c r="A15" s="8" t="s">
        <v>12</v>
      </c>
      <c r="B15" s="211" t="s">
        <v>13</v>
      </c>
      <c r="C15" s="310">
        <f t="shared" si="1"/>
        <v>7</v>
      </c>
    </row>
    <row r="16" spans="1:14" ht="13.5">
      <c r="A16" s="8" t="s">
        <v>14</v>
      </c>
      <c r="B16" s="211" t="s">
        <v>15</v>
      </c>
      <c r="C16" s="310">
        <f t="shared" si="1"/>
        <v>8</v>
      </c>
    </row>
    <row r="17" spans="1:3" ht="13.5">
      <c r="A17" s="8" t="s">
        <v>16</v>
      </c>
      <c r="B17" s="211" t="s">
        <v>73</v>
      </c>
      <c r="C17" s="310">
        <f t="shared" si="1"/>
        <v>9</v>
      </c>
    </row>
    <row r="18" spans="1:3" ht="13.5">
      <c r="A18" s="8" t="s">
        <v>17</v>
      </c>
      <c r="B18" s="211" t="s">
        <v>74</v>
      </c>
      <c r="C18" s="310">
        <f t="shared" si="1"/>
        <v>10</v>
      </c>
    </row>
    <row r="19" spans="1:3" s="309" customFormat="1" ht="13.5">
      <c r="A19" s="8" t="s">
        <v>231</v>
      </c>
      <c r="B19" s="211" t="s">
        <v>281</v>
      </c>
      <c r="C19" s="310">
        <f t="shared" si="1"/>
        <v>11</v>
      </c>
    </row>
    <row r="20" spans="1:3" ht="13.5">
      <c r="A20" s="8" t="s">
        <v>18</v>
      </c>
      <c r="B20" s="211" t="s">
        <v>75</v>
      </c>
      <c r="C20" s="310">
        <f t="shared" si="1"/>
        <v>12</v>
      </c>
    </row>
    <row r="21" spans="1:3" s="309" customFormat="1" ht="13.5">
      <c r="A21" s="8" t="s">
        <v>232</v>
      </c>
      <c r="B21" s="211" t="s">
        <v>281</v>
      </c>
      <c r="C21" s="310">
        <f t="shared" si="1"/>
        <v>13</v>
      </c>
    </row>
    <row r="22" spans="1:3" ht="13.5">
      <c r="A22" s="8" t="s">
        <v>19</v>
      </c>
      <c r="B22" s="211" t="s">
        <v>106</v>
      </c>
      <c r="C22" s="310">
        <f t="shared" si="1"/>
        <v>14</v>
      </c>
    </row>
    <row r="23" spans="1:3" ht="13.5">
      <c r="B23" s="10"/>
      <c r="C23" s="310"/>
    </row>
    <row r="24" spans="1:3" ht="13.5">
      <c r="A24" s="126" t="s">
        <v>20</v>
      </c>
      <c r="B24" s="211" t="s">
        <v>3</v>
      </c>
      <c r="C24" s="310">
        <f>C22+1</f>
        <v>15</v>
      </c>
    </row>
    <row r="25" spans="1:3" ht="13.5">
      <c r="A25" s="8" t="s">
        <v>21</v>
      </c>
      <c r="B25" s="211" t="s">
        <v>7</v>
      </c>
      <c r="C25" s="310">
        <f>C24</f>
        <v>15</v>
      </c>
    </row>
    <row r="26" spans="1:3" ht="13.5">
      <c r="A26" s="8" t="s">
        <v>76</v>
      </c>
      <c r="B26" s="211" t="s">
        <v>9</v>
      </c>
      <c r="C26" s="310">
        <f>C25+1</f>
        <v>16</v>
      </c>
    </row>
    <row r="27" spans="1:3" ht="13.5">
      <c r="A27" s="8" t="s">
        <v>22</v>
      </c>
      <c r="B27" s="211" t="s">
        <v>11</v>
      </c>
      <c r="C27" s="310">
        <f t="shared" ref="C27:C33" si="2">C26+1</f>
        <v>17</v>
      </c>
    </row>
    <row r="28" spans="1:3" ht="13.5">
      <c r="A28" s="8" t="s">
        <v>23</v>
      </c>
      <c r="B28" s="211" t="s">
        <v>13</v>
      </c>
      <c r="C28" s="310">
        <f t="shared" si="2"/>
        <v>18</v>
      </c>
    </row>
    <row r="29" spans="1:3" ht="13.5">
      <c r="A29" s="8" t="s">
        <v>24</v>
      </c>
      <c r="B29" s="211" t="s">
        <v>15</v>
      </c>
      <c r="C29" s="310">
        <f t="shared" si="2"/>
        <v>19</v>
      </c>
    </row>
    <row r="30" spans="1:3" ht="13.5">
      <c r="A30" s="8" t="s">
        <v>25</v>
      </c>
      <c r="B30" s="211" t="s">
        <v>73</v>
      </c>
      <c r="C30" s="310">
        <f t="shared" si="2"/>
        <v>20</v>
      </c>
    </row>
    <row r="31" spans="1:3" ht="13.5">
      <c r="A31" s="8" t="s">
        <v>26</v>
      </c>
      <c r="B31" s="211" t="s">
        <v>74</v>
      </c>
      <c r="C31" s="310">
        <f t="shared" si="2"/>
        <v>21</v>
      </c>
    </row>
    <row r="32" spans="1:3" s="309" customFormat="1" ht="13.5">
      <c r="A32" s="8" t="s">
        <v>233</v>
      </c>
      <c r="B32" s="211" t="s">
        <v>281</v>
      </c>
      <c r="C32" s="310">
        <f t="shared" si="2"/>
        <v>22</v>
      </c>
    </row>
    <row r="33" spans="1:3" ht="13.5">
      <c r="A33" s="8" t="s">
        <v>27</v>
      </c>
      <c r="B33" s="211" t="s">
        <v>106</v>
      </c>
      <c r="C33" s="310">
        <f t="shared" si="2"/>
        <v>23</v>
      </c>
    </row>
    <row r="34" spans="1:3" ht="13.5">
      <c r="B34" s="211"/>
      <c r="C34" s="310"/>
    </row>
    <row r="35" spans="1:3" ht="13.5">
      <c r="A35" s="126" t="s">
        <v>28</v>
      </c>
      <c r="B35" s="211" t="s">
        <v>72</v>
      </c>
      <c r="C35" s="310">
        <f t="shared" si="0"/>
        <v>24</v>
      </c>
    </row>
    <row r="36" spans="1:3" ht="13.5">
      <c r="A36" s="8" t="s">
        <v>29</v>
      </c>
      <c r="B36" s="211" t="s">
        <v>7</v>
      </c>
      <c r="C36" s="310">
        <f>C35</f>
        <v>24</v>
      </c>
    </row>
    <row r="37" spans="1:3" ht="13.5">
      <c r="A37" s="8" t="s">
        <v>30</v>
      </c>
      <c r="B37" s="211" t="s">
        <v>9</v>
      </c>
      <c r="C37" s="310">
        <f>C36+1</f>
        <v>25</v>
      </c>
    </row>
    <row r="38" spans="1:3" ht="13.5">
      <c r="A38" s="8" t="s">
        <v>31</v>
      </c>
      <c r="B38" s="211" t="s">
        <v>11</v>
      </c>
      <c r="C38" s="310">
        <f t="shared" ref="C38:C46" si="3">C37+1</f>
        <v>26</v>
      </c>
    </row>
    <row r="39" spans="1:3" ht="13.5">
      <c r="A39" s="8" t="s">
        <v>32</v>
      </c>
      <c r="B39" s="211" t="s">
        <v>13</v>
      </c>
      <c r="C39" s="310">
        <f t="shared" si="3"/>
        <v>27</v>
      </c>
    </row>
    <row r="40" spans="1:3" ht="13.5">
      <c r="A40" s="8" t="s">
        <v>33</v>
      </c>
      <c r="B40" s="211" t="s">
        <v>15</v>
      </c>
      <c r="C40" s="310">
        <f t="shared" si="3"/>
        <v>28</v>
      </c>
    </row>
    <row r="41" spans="1:3" ht="13.5">
      <c r="A41" s="8" t="s">
        <v>34</v>
      </c>
      <c r="B41" s="211" t="s">
        <v>73</v>
      </c>
      <c r="C41" s="310">
        <f t="shared" si="3"/>
        <v>29</v>
      </c>
    </row>
    <row r="42" spans="1:3" ht="13.5">
      <c r="A42" s="8" t="s">
        <v>35</v>
      </c>
      <c r="B42" s="211" t="s">
        <v>74</v>
      </c>
      <c r="C42" s="310">
        <f t="shared" si="3"/>
        <v>30</v>
      </c>
    </row>
    <row r="43" spans="1:3" s="309" customFormat="1" ht="13.5">
      <c r="A43" s="8" t="s">
        <v>240</v>
      </c>
      <c r="B43" s="211" t="s">
        <v>281</v>
      </c>
      <c r="C43" s="310">
        <f t="shared" si="3"/>
        <v>31</v>
      </c>
    </row>
    <row r="44" spans="1:3" ht="13.5">
      <c r="A44" s="8" t="s">
        <v>36</v>
      </c>
      <c r="B44" s="211" t="s">
        <v>75</v>
      </c>
      <c r="C44" s="310">
        <f t="shared" si="3"/>
        <v>32</v>
      </c>
    </row>
    <row r="45" spans="1:3" s="309" customFormat="1" ht="13.5">
      <c r="A45" s="8" t="s">
        <v>239</v>
      </c>
      <c r="B45" s="211" t="s">
        <v>281</v>
      </c>
      <c r="C45" s="310">
        <f t="shared" si="3"/>
        <v>33</v>
      </c>
    </row>
    <row r="46" spans="1:3" ht="13.5">
      <c r="A46" s="8" t="s">
        <v>37</v>
      </c>
      <c r="B46" s="211" t="s">
        <v>106</v>
      </c>
      <c r="C46" s="310">
        <f t="shared" si="3"/>
        <v>34</v>
      </c>
    </row>
    <row r="47" spans="1:3" ht="13.5">
      <c r="B47" s="10"/>
      <c r="C47" s="310"/>
    </row>
    <row r="48" spans="1:3" ht="26.25">
      <c r="A48" s="7" t="s">
        <v>107</v>
      </c>
      <c r="B48" s="280" t="s">
        <v>265</v>
      </c>
      <c r="C48" s="310">
        <f t="shared" si="0"/>
        <v>35</v>
      </c>
    </row>
    <row r="49" spans="1:3" ht="13.5">
      <c r="B49" s="10"/>
      <c r="C49" s="310"/>
    </row>
    <row r="50" spans="1:3" ht="13.5">
      <c r="A50" s="126" t="s">
        <v>38</v>
      </c>
      <c r="B50" s="211" t="s">
        <v>1</v>
      </c>
      <c r="C50" s="310">
        <f>C48</f>
        <v>35</v>
      </c>
    </row>
    <row r="51" spans="1:3" ht="13.5">
      <c r="A51" s="8" t="s">
        <v>39</v>
      </c>
      <c r="B51" s="211" t="s">
        <v>248</v>
      </c>
      <c r="C51" s="310">
        <f>C50</f>
        <v>35</v>
      </c>
    </row>
    <row r="52" spans="1:3" ht="13.5">
      <c r="A52" s="8" t="s">
        <v>40</v>
      </c>
      <c r="B52" s="211" t="s">
        <v>7</v>
      </c>
      <c r="C52" s="310">
        <f>C51+1</f>
        <v>36</v>
      </c>
    </row>
    <row r="53" spans="1:3" ht="13.5">
      <c r="A53" s="8" t="s">
        <v>41</v>
      </c>
      <c r="B53" s="211" t="s">
        <v>9</v>
      </c>
      <c r="C53" s="310">
        <f t="shared" ref="C53:C62" si="4">C52+1</f>
        <v>37</v>
      </c>
    </row>
    <row r="54" spans="1:3" ht="13.5">
      <c r="A54" s="8" t="s">
        <v>42</v>
      </c>
      <c r="B54" s="211" t="s">
        <v>11</v>
      </c>
      <c r="C54" s="310">
        <f t="shared" si="4"/>
        <v>38</v>
      </c>
    </row>
    <row r="55" spans="1:3" ht="13.5">
      <c r="A55" s="8" t="s">
        <v>43</v>
      </c>
      <c r="B55" s="211" t="s">
        <v>13</v>
      </c>
      <c r="C55" s="310">
        <f t="shared" si="4"/>
        <v>39</v>
      </c>
    </row>
    <row r="56" spans="1:3" ht="13.5">
      <c r="A56" s="8" t="s">
        <v>44</v>
      </c>
      <c r="B56" s="211" t="s">
        <v>15</v>
      </c>
      <c r="C56" s="310">
        <f t="shared" si="4"/>
        <v>40</v>
      </c>
    </row>
    <row r="57" spans="1:3" ht="13.5">
      <c r="A57" s="8" t="s">
        <v>45</v>
      </c>
      <c r="B57" s="211" t="s">
        <v>73</v>
      </c>
      <c r="C57" s="310">
        <f t="shared" si="4"/>
        <v>41</v>
      </c>
    </row>
    <row r="58" spans="1:3" ht="13.5">
      <c r="A58" s="8" t="s">
        <v>46</v>
      </c>
      <c r="B58" s="211" t="s">
        <v>74</v>
      </c>
      <c r="C58" s="310">
        <f t="shared" si="4"/>
        <v>42</v>
      </c>
    </row>
    <row r="59" spans="1:3" s="309" customFormat="1" ht="13.5">
      <c r="A59" s="8" t="s">
        <v>238</v>
      </c>
      <c r="B59" s="211" t="s">
        <v>281</v>
      </c>
      <c r="C59" s="310">
        <f t="shared" si="4"/>
        <v>43</v>
      </c>
    </row>
    <row r="60" spans="1:3" ht="13.5">
      <c r="A60" s="8" t="s">
        <v>47</v>
      </c>
      <c r="B60" s="211" t="s">
        <v>75</v>
      </c>
      <c r="C60" s="310">
        <f t="shared" si="4"/>
        <v>44</v>
      </c>
    </row>
    <row r="61" spans="1:3" s="309" customFormat="1" ht="13.5">
      <c r="A61" s="8" t="s">
        <v>237</v>
      </c>
      <c r="B61" s="211" t="s">
        <v>281</v>
      </c>
      <c r="C61" s="310">
        <f t="shared" si="4"/>
        <v>45</v>
      </c>
    </row>
    <row r="62" spans="1:3" ht="13.5">
      <c r="A62" s="8" t="s">
        <v>48</v>
      </c>
      <c r="B62" s="211" t="s">
        <v>106</v>
      </c>
      <c r="C62" s="310">
        <f t="shared" si="4"/>
        <v>46</v>
      </c>
    </row>
    <row r="63" spans="1:3" ht="13.5">
      <c r="B63" s="10"/>
      <c r="C63" s="310"/>
    </row>
    <row r="64" spans="1:3" ht="13.5">
      <c r="A64" s="126" t="s">
        <v>49</v>
      </c>
      <c r="B64" s="211" t="s">
        <v>3</v>
      </c>
      <c r="C64" s="310">
        <f t="shared" si="0"/>
        <v>47</v>
      </c>
    </row>
    <row r="65" spans="1:3" ht="13.5">
      <c r="A65" s="8" t="s">
        <v>50</v>
      </c>
      <c r="B65" s="211" t="s">
        <v>248</v>
      </c>
      <c r="C65" s="310">
        <f>C64</f>
        <v>47</v>
      </c>
    </row>
    <row r="66" spans="1:3" ht="13.5">
      <c r="A66" s="8" t="s">
        <v>51</v>
      </c>
      <c r="B66" s="211" t="s">
        <v>7</v>
      </c>
      <c r="C66" s="310">
        <f>C65+1</f>
        <v>48</v>
      </c>
    </row>
    <row r="67" spans="1:3" ht="13.5">
      <c r="A67" s="8" t="s">
        <v>52</v>
      </c>
      <c r="B67" s="211" t="s">
        <v>9</v>
      </c>
      <c r="C67" s="310">
        <f t="shared" ref="C67:C74" si="5">C66+1</f>
        <v>49</v>
      </c>
    </row>
    <row r="68" spans="1:3" ht="13.5">
      <c r="A68" s="8" t="s">
        <v>53</v>
      </c>
      <c r="B68" s="211" t="s">
        <v>11</v>
      </c>
      <c r="C68" s="310">
        <f t="shared" si="5"/>
        <v>50</v>
      </c>
    </row>
    <row r="69" spans="1:3" ht="13.5">
      <c r="A69" s="8" t="s">
        <v>54</v>
      </c>
      <c r="B69" s="211" t="s">
        <v>13</v>
      </c>
      <c r="C69" s="310">
        <f t="shared" si="5"/>
        <v>51</v>
      </c>
    </row>
    <row r="70" spans="1:3" ht="13.5">
      <c r="A70" s="8" t="s">
        <v>55</v>
      </c>
      <c r="B70" s="211" t="s">
        <v>15</v>
      </c>
      <c r="C70" s="310">
        <f t="shared" si="5"/>
        <v>52</v>
      </c>
    </row>
    <row r="71" spans="1:3" ht="12" customHeight="1">
      <c r="A71" s="8" t="s">
        <v>56</v>
      </c>
      <c r="B71" s="211" t="s">
        <v>73</v>
      </c>
      <c r="C71" s="310">
        <f t="shared" si="5"/>
        <v>53</v>
      </c>
    </row>
    <row r="72" spans="1:3" ht="12.6" customHeight="1">
      <c r="A72" s="8" t="s">
        <v>57</v>
      </c>
      <c r="B72" s="211" t="s">
        <v>74</v>
      </c>
      <c r="C72" s="310">
        <f t="shared" si="5"/>
        <v>54</v>
      </c>
    </row>
    <row r="73" spans="1:3" s="309" customFormat="1" ht="12.6" customHeight="1">
      <c r="A73" s="8" t="s">
        <v>236</v>
      </c>
      <c r="B73" s="211" t="s">
        <v>281</v>
      </c>
      <c r="C73" s="310">
        <f t="shared" si="5"/>
        <v>55</v>
      </c>
    </row>
    <row r="74" spans="1:3" ht="12.4" customHeight="1">
      <c r="A74" s="222" t="s">
        <v>58</v>
      </c>
      <c r="B74" s="211" t="s">
        <v>106</v>
      </c>
      <c r="C74" s="310">
        <f t="shared" si="5"/>
        <v>56</v>
      </c>
    </row>
    <row r="75" spans="1:3" ht="10.15" customHeight="1">
      <c r="A75" s="222"/>
      <c r="B75" s="10"/>
      <c r="C75" s="310"/>
    </row>
    <row r="76" spans="1:3" ht="10.15" customHeight="1">
      <c r="A76" s="225" t="s">
        <v>59</v>
      </c>
      <c r="B76" s="211" t="s">
        <v>72</v>
      </c>
      <c r="C76" s="310">
        <f>C74+1</f>
        <v>57</v>
      </c>
    </row>
    <row r="77" spans="1:3" ht="13.5">
      <c r="A77" s="8" t="s">
        <v>60</v>
      </c>
      <c r="B77" s="211" t="s">
        <v>248</v>
      </c>
      <c r="C77" s="310">
        <f>C76</f>
        <v>57</v>
      </c>
    </row>
    <row r="78" spans="1:3" ht="13.5">
      <c r="A78" s="8" t="s">
        <v>61</v>
      </c>
      <c r="B78" s="211" t="s">
        <v>7</v>
      </c>
      <c r="C78" s="310">
        <f>C77+1</f>
        <v>58</v>
      </c>
    </row>
    <row r="79" spans="1:3" ht="13.5">
      <c r="A79" s="8" t="s">
        <v>62</v>
      </c>
      <c r="B79" s="211" t="s">
        <v>9</v>
      </c>
      <c r="C79" s="310">
        <f t="shared" ref="C79:C88" si="6">C78+1</f>
        <v>59</v>
      </c>
    </row>
    <row r="80" spans="1:3" ht="13.5">
      <c r="A80" s="8" t="s">
        <v>63</v>
      </c>
      <c r="B80" s="211" t="s">
        <v>11</v>
      </c>
      <c r="C80" s="310">
        <f t="shared" si="6"/>
        <v>60</v>
      </c>
    </row>
    <row r="81" spans="1:3" ht="13.5">
      <c r="A81" s="8" t="s">
        <v>64</v>
      </c>
      <c r="B81" s="211" t="s">
        <v>13</v>
      </c>
      <c r="C81" s="310">
        <f t="shared" si="6"/>
        <v>61</v>
      </c>
    </row>
    <row r="82" spans="1:3" ht="13.5">
      <c r="A82" s="8" t="s">
        <v>65</v>
      </c>
      <c r="B82" s="211" t="s">
        <v>15</v>
      </c>
      <c r="C82" s="310">
        <f t="shared" si="6"/>
        <v>62</v>
      </c>
    </row>
    <row r="83" spans="1:3" ht="13.5">
      <c r="A83" s="8" t="s">
        <v>66</v>
      </c>
      <c r="B83" s="211" t="s">
        <v>73</v>
      </c>
      <c r="C83" s="310">
        <f t="shared" si="6"/>
        <v>63</v>
      </c>
    </row>
    <row r="84" spans="1:3" ht="13.5">
      <c r="A84" s="8" t="s">
        <v>67</v>
      </c>
      <c r="B84" s="211" t="s">
        <v>74</v>
      </c>
      <c r="C84" s="310">
        <f t="shared" si="6"/>
        <v>64</v>
      </c>
    </row>
    <row r="85" spans="1:3" s="309" customFormat="1" ht="13.5">
      <c r="A85" s="8" t="s">
        <v>235</v>
      </c>
      <c r="B85" s="211" t="s">
        <v>281</v>
      </c>
      <c r="C85" s="310">
        <f t="shared" si="6"/>
        <v>65</v>
      </c>
    </row>
    <row r="86" spans="1:3" ht="13.5">
      <c r="A86" s="8" t="s">
        <v>68</v>
      </c>
      <c r="B86" s="211" t="s">
        <v>75</v>
      </c>
      <c r="C86" s="310">
        <f t="shared" si="6"/>
        <v>66</v>
      </c>
    </row>
    <row r="87" spans="1:3" s="309" customFormat="1" ht="13.5">
      <c r="A87" s="8" t="s">
        <v>234</v>
      </c>
      <c r="B87" s="211" t="s">
        <v>281</v>
      </c>
      <c r="C87" s="310">
        <f t="shared" si="6"/>
        <v>67</v>
      </c>
    </row>
    <row r="88" spans="1:3" ht="13.5">
      <c r="A88" s="8" t="s">
        <v>69</v>
      </c>
      <c r="B88" s="211" t="s">
        <v>106</v>
      </c>
      <c r="C88" s="310">
        <f t="shared" si="6"/>
        <v>68</v>
      </c>
    </row>
    <row r="93" spans="1:3" ht="10.5" customHeight="1"/>
    <row r="94" spans="1:3" ht="10.15" customHeight="1">
      <c r="A94" s="222"/>
    </row>
  </sheetData>
  <phoneticPr fontId="18" type="noConversion"/>
  <hyperlinks>
    <hyperlink ref="B3" location="'1_1 '!Druckbereich" display="Verwaltungseinheiten mit Ganztagsbetrieb 2009 bis 2013"/>
    <hyperlink ref="B6" location="'1_2 '!A1" display="'1_2 '!A1"/>
    <hyperlink ref="B7" location="'1_3 '!A1" display="'1_3 '!A1"/>
    <hyperlink ref="B11" location="'2.1.1'!A1" display="'2.1.1'!A1"/>
    <hyperlink ref="B12" location="'2.1.1'!A1" display="'2.1.1'!A1"/>
    <hyperlink ref="B14" location="'2.1.3'!A1" display="'2.1.3'!A1"/>
    <hyperlink ref="B15" location="'2.1.4'!A1" display="'2.1.4'!A1"/>
    <hyperlink ref="B16" location="'2.1.5'!A1" display="'2.1.5'!A1"/>
    <hyperlink ref="B17" location="'2.1.6'!A1" display="'2.1.6'!A1"/>
    <hyperlink ref="B18" location="'2.1.7'!A1" display="'2.1.7'!A1"/>
    <hyperlink ref="B20" location="'2.1.8'!A1" display="'2.1.8'!A1"/>
    <hyperlink ref="B22" location="'2.1.9'!A1" display="'2.1.9'!A1"/>
    <hyperlink ref="B24" location="'2.2.1'!A1" display="'2.2.1'!A1"/>
    <hyperlink ref="B25" location="'2.2.1'!A1" display="'2.2.1'!A1"/>
    <hyperlink ref="B26" location="'2.2.2'!A1" display="'2.2.2'!A1"/>
    <hyperlink ref="B27" location="'2.2.3'!A1" display="'2.2.3'!A1"/>
    <hyperlink ref="B28" location="'2.2.4'!A1" display="'2.2.4'!A1"/>
    <hyperlink ref="B29" location="'2.2.5'!A1" display="'2.2.5'!A1"/>
    <hyperlink ref="B30" location="'2.2.6'!A1" display="'2.2.6'!A1"/>
    <hyperlink ref="B31" location="'2.2.7'!A1" display="'2.2.7'!A1"/>
    <hyperlink ref="B33" location="'2.2.8'!A1" display="'2.2.8'!A1"/>
    <hyperlink ref="B35" location="'2.3.1'!A1" display="'2.3.1'!A1"/>
    <hyperlink ref="B36" location="'2.3.1'!A1" display="'2.3.1'!A1"/>
    <hyperlink ref="B37" location="'2.3.2'!A1" display="'2.3.2'!A1"/>
    <hyperlink ref="B38" location="'2.3.3'!A1" display="'2.3.3'!A1"/>
    <hyperlink ref="B39" location="'2.3.4'!A1" display="'2.3.4'!A1"/>
    <hyperlink ref="B40" location="'2.3.5'!A1" display="'2.3.5'!A1"/>
    <hyperlink ref="B41" location="'2.3.6'!A1" display="'2.3.6'!A1"/>
    <hyperlink ref="B42" location="'2.3.7'!A1" display="'2.3.7'!A1"/>
    <hyperlink ref="B44" location="'2.3.8'!A1" display="'2.3.8'!A1"/>
    <hyperlink ref="B46" location="'2.3.9'!A1" display="'2.3.9'!A1"/>
    <hyperlink ref="B48" location="'3.1.1'!A1" display="'3.1.1'!A1"/>
    <hyperlink ref="B50" location="'3.1.1'!A1" display="'3.1.1'!A1"/>
    <hyperlink ref="B51" location="'3.1.1'!A1" display="'3.1.1'!A1"/>
    <hyperlink ref="B52" location="'3.1.2'!A1" display="'3.1.2'!A1"/>
    <hyperlink ref="B53" location="'3.1.3'!A1" display="'3.1.3'!A1"/>
    <hyperlink ref="B54" location="'3.1.4'!A1" display="'3.1.4'!A1"/>
    <hyperlink ref="B55" location="'3.1.5'!A1" display="'3.1.5'!A1"/>
    <hyperlink ref="B56" location="'3.1.6'!A1" display="'3.1.6'!A1"/>
    <hyperlink ref="B57" location="'3.1.7'!A1" display="'3.1.7'!A1"/>
    <hyperlink ref="B58" location="'3.1.8'!A1" display="'3.1.8'!A1"/>
    <hyperlink ref="B60" location="'3.1.9'!A1" display="'3.1.9'!A1"/>
    <hyperlink ref="B62" location="'3.1.10'!A1" display="'3.1.10'!A1"/>
    <hyperlink ref="B64" location="'3.2.1'!A1" display="'3.2.1'!A1"/>
    <hyperlink ref="B65" location="'3.2.1'!A1" display="'3.2.1'!A1"/>
    <hyperlink ref="B66" location="'3.2.2'!A1" display="'3.2.2'!A1"/>
    <hyperlink ref="B67" location="'3.2.3'!A1" display="'3.2.3'!A1"/>
    <hyperlink ref="B68" location="'3.2.4'!A1" display="'3.2.4'!A1"/>
    <hyperlink ref="B69" location="'3.2.5'!A1" display="'3.2.5'!A1"/>
    <hyperlink ref="B70" location="'3.2.6'!A1" display="'3.2.6'!A1"/>
    <hyperlink ref="B71" location="'3.2.7'!A1" display="'3.2.7'!A1"/>
    <hyperlink ref="B72" location="'3.2.8'!A1" display="'3.2.8'!A1"/>
    <hyperlink ref="B74" location="'3.2.9'!A1" display="'3.2.9'!A1"/>
    <hyperlink ref="B76" location="'3.3.1'!A1" display="'3.3.1'!A1"/>
    <hyperlink ref="B77" location="'3.3.1'!A1" display="'3.3.1'!A1"/>
    <hyperlink ref="B78" location="'3.3.2'!A1" display="'3.3.2'!A1"/>
    <hyperlink ref="B79" location="'3.3.3'!A1" display="'3.3.3'!A1"/>
    <hyperlink ref="B80" location="'3.3.4'!A1" display="'3.3.4'!A1"/>
    <hyperlink ref="B81" location="'3.3.5'!A1" display="'3.3.5'!A1"/>
    <hyperlink ref="B82" location="'3.3.6'!A1" display="'3.3.6'!A1"/>
    <hyperlink ref="B83" location="'3.3.7'!A1" display="'3.3.7'!A1"/>
    <hyperlink ref="B84" location="'3.1.8'!A1" display="'3.1.8'!A1"/>
    <hyperlink ref="B86" location="'3.3.9'!A1" display="'3.3.9'!A1"/>
    <hyperlink ref="B88" location="'3.3.10'!A1" display="'3.3.10'!A1"/>
    <hyperlink ref="B9" location="'2.1.1'!A1" display="'2.1.1'!A1"/>
    <hyperlink ref="B5" location="'1_1 '!Druckbereich" display="In öffentlicher und privater Trägerschaft"/>
    <hyperlink ref="B13" location="'2.1.2'!Druckbereich" display="Schulartunabhängige Orientierungsstufe"/>
  </hyperlinks>
  <pageMargins left="0.78740157480314965" right="0.78740157480314965" top="0.78740157480314965" bottom="0.78740157480314965" header="0.51181102362204722" footer="0.51181102362204722"/>
  <pageSetup paperSize="9" scale="93" orientation="portrait" r:id="rId1"/>
  <headerFooter alignWithMargins="0"/>
  <rowBreaks count="1" manualBreakCount="1">
    <brk id="46"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M86"/>
  <sheetViews>
    <sheetView view="pageBreakPreview" topLeftCell="A64" zoomScale="175" zoomScaleNormal="130" zoomScaleSheetLayoutView="175"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'2.3.3'!A1:E1+1</f>
        <v>27</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2.6" customHeight="1">
      <c r="A5" s="13" t="s">
        <v>32</v>
      </c>
      <c r="B5" s="48" t="s">
        <v>13</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C28" si="0">SUM(C30+C48+C66)</f>
        <v>0</v>
      </c>
      <c r="D12" s="149">
        <f t="shared" ref="D12:E12" si="1">SUM(D30+D48+D66)</f>
        <v>0</v>
      </c>
      <c r="E12" s="149">
        <f t="shared" si="1"/>
        <v>0</v>
      </c>
      <c r="F12" s="149">
        <f t="shared" ref="F12:G12" si="2">SUM(F30+F48+F66)</f>
        <v>0</v>
      </c>
      <c r="G12" s="150">
        <f t="shared" si="2"/>
        <v>0</v>
      </c>
      <c r="H12" s="153" t="str">
        <f>IF('AW Schulen'!$C60=0,"x",C12/'AW Schulen'!$C60)</f>
        <v>x</v>
      </c>
      <c r="I12" s="153" t="str">
        <f>IF('AW Schulen'!$F60=0,"x",D12/'AW Schulen'!$F60)</f>
        <v>x</v>
      </c>
      <c r="J12" s="153" t="str">
        <f>IF('AW Schulen'!$I60=0,"x",E12/'AW Schulen'!$I60)</f>
        <v>x</v>
      </c>
      <c r="K12" s="153" t="str">
        <f>IF('AW Schulen'!$L60=0,"x",F12/'AW Schulen'!$L60)</f>
        <v>x</v>
      </c>
      <c r="L12" s="154" t="str">
        <f>IF('AW Schulen'!$O60=0,"x",G12/'AW Schulen'!$O60)</f>
        <v>x</v>
      </c>
    </row>
    <row r="13" spans="1:13" ht="9" customHeight="1">
      <c r="A13" s="21" t="s">
        <v>81</v>
      </c>
      <c r="B13" s="120"/>
      <c r="C13" s="149">
        <f t="shared" si="0"/>
        <v>0</v>
      </c>
      <c r="D13" s="149">
        <f t="shared" ref="D13:E13" si="3">SUM(D31+D49+D67)</f>
        <v>0</v>
      </c>
      <c r="E13" s="149">
        <f t="shared" si="3"/>
        <v>0</v>
      </c>
      <c r="F13" s="149" t="e">
        <f t="shared" ref="F13:G13" si="4">SUM(F31+F49+F67)</f>
        <v>#VALUE!</v>
      </c>
      <c r="G13" s="150">
        <f t="shared" si="4"/>
        <v>0</v>
      </c>
      <c r="H13" s="153" t="str">
        <f>IF('AW Schulen'!$C61=0,"x",C13/'AW Schulen'!$C61)</f>
        <v>x</v>
      </c>
      <c r="I13" s="153" t="str">
        <f>IF('AW Schulen'!$F61=0,"x",D13/'AW Schulen'!$F61)</f>
        <v>x</v>
      </c>
      <c r="J13" s="153" t="str">
        <f>IF('AW Schulen'!$I61=0,"x",E13/'AW Schulen'!$I61)</f>
        <v>x</v>
      </c>
      <c r="K13" s="153" t="e">
        <f>IF('AW Schulen'!$L61=0,"x",F13/'AW Schulen'!$L61)</f>
        <v>#VALUE!</v>
      </c>
      <c r="L13" s="154" t="str">
        <f>IF('AW Schulen'!$O61=0,"x",G13/'AW Schulen'!$O61)</f>
        <v>x</v>
      </c>
    </row>
    <row r="14" spans="1:13" ht="9" customHeight="1">
      <c r="A14" s="21" t="s">
        <v>82</v>
      </c>
      <c r="B14" s="120"/>
      <c r="C14" s="149">
        <f t="shared" si="0"/>
        <v>0</v>
      </c>
      <c r="D14" s="149">
        <f t="shared" ref="D14:E14" si="5">SUM(D32+D50+D68)</f>
        <v>0</v>
      </c>
      <c r="E14" s="149">
        <f t="shared" si="5"/>
        <v>0</v>
      </c>
      <c r="F14" s="149">
        <f t="shared" ref="F14:G14" si="6">SUM(F32+F50+F68)</f>
        <v>0</v>
      </c>
      <c r="G14" s="150">
        <f t="shared" si="6"/>
        <v>0</v>
      </c>
      <c r="H14" s="153" t="str">
        <f>IF('AW Schulen'!$C62=0,"x",C14/'AW Schulen'!$C62)</f>
        <v>x</v>
      </c>
      <c r="I14" s="153" t="str">
        <f>IF('AW Schulen'!$F62=0,"x",D14/'AW Schulen'!$F62)</f>
        <v>x</v>
      </c>
      <c r="J14" s="153" t="str">
        <f>IF('AW Schulen'!$I62=0,"x",E14/'AW Schulen'!$I62)</f>
        <v>x</v>
      </c>
      <c r="K14" s="153" t="str">
        <f>IF('AW Schulen'!$L62=0,"x",F14/'AW Schulen'!$L62)</f>
        <v>x</v>
      </c>
      <c r="L14" s="154" t="str">
        <f>IF('AW Schulen'!$O62=0,"x",G14/'AW Schulen'!$O62)</f>
        <v>x</v>
      </c>
    </row>
    <row r="15" spans="1:13" ht="9" customHeight="1">
      <c r="A15" s="21" t="s">
        <v>83</v>
      </c>
      <c r="B15" s="120"/>
      <c r="C15" s="42">
        <f t="shared" si="0"/>
        <v>17</v>
      </c>
      <c r="D15" s="42">
        <f t="shared" ref="D15:E15" si="7">SUM(D33+D51+D69)</f>
        <v>18</v>
      </c>
      <c r="E15" s="42">
        <f t="shared" si="7"/>
        <v>18</v>
      </c>
      <c r="F15" s="42">
        <f t="shared" ref="F15:G15" si="8">SUM(F33+F51+F69)</f>
        <v>19</v>
      </c>
      <c r="G15" s="44">
        <f t="shared" si="8"/>
        <v>19</v>
      </c>
      <c r="H15" s="153">
        <f>IF('AW Schulen'!$C63=0,"x",C15/'AW Schulen'!$C63)</f>
        <v>0.58620689655172409</v>
      </c>
      <c r="I15" s="153">
        <f>IF('AW Schulen'!$F63=0,"x",D15/'AW Schulen'!$F63)</f>
        <v>0.62068965517241381</v>
      </c>
      <c r="J15" s="153">
        <f>IF('AW Schulen'!$I63=0,"x",E15/'AW Schulen'!$I63)</f>
        <v>0.6</v>
      </c>
      <c r="K15" s="153">
        <f>IF('AW Schulen'!$L63=0,"x",F15/'AW Schulen'!$L63)</f>
        <v>0.59375</v>
      </c>
      <c r="L15" s="154">
        <f>IF('AW Schulen'!$O63=0,"x",G15/'AW Schulen'!$O63)</f>
        <v>0.5757575757575758</v>
      </c>
    </row>
    <row r="16" spans="1:13" ht="9" customHeight="1">
      <c r="A16" s="21" t="s">
        <v>84</v>
      </c>
      <c r="B16" s="120"/>
      <c r="C16" s="42">
        <f t="shared" si="0"/>
        <v>0</v>
      </c>
      <c r="D16" s="42">
        <f t="shared" ref="D16:E16" si="9">SUM(D34+D52+D70)</f>
        <v>0</v>
      </c>
      <c r="E16" s="42">
        <f t="shared" si="9"/>
        <v>0</v>
      </c>
      <c r="F16" s="42">
        <f t="shared" ref="F16:G16" si="10">SUM(F34+F52+F70)</f>
        <v>0</v>
      </c>
      <c r="G16" s="44">
        <f t="shared" si="10"/>
        <v>0</v>
      </c>
      <c r="H16" s="153">
        <f>IF('AW Schulen'!$C64=0,"x",C16/'AW Schulen'!$C64)</f>
        <v>0</v>
      </c>
      <c r="I16" s="153">
        <f>IF('AW Schulen'!$F64=0,"x",D16/'AW Schulen'!$F64)</f>
        <v>0</v>
      </c>
      <c r="J16" s="153">
        <f>IF('AW Schulen'!$I64=0,"x",E16/'AW Schulen'!$I64)</f>
        <v>0</v>
      </c>
      <c r="K16" s="153">
        <f>IF('AW Schulen'!$L64=0,"x",F16/'AW Schulen'!$L64)</f>
        <v>0</v>
      </c>
      <c r="L16" s="154">
        <f>IF('AW Schulen'!$O64=0,"x",G16/'AW Schulen'!$O64)</f>
        <v>0</v>
      </c>
    </row>
    <row r="17" spans="1:12" ht="9" customHeight="1">
      <c r="A17" s="21" t="s">
        <v>85</v>
      </c>
      <c r="B17" s="120"/>
      <c r="C17" s="42">
        <f t="shared" si="0"/>
        <v>7</v>
      </c>
      <c r="D17" s="149">
        <f t="shared" ref="D17:E17" si="11">SUM(D35+D53+D71)</f>
        <v>0</v>
      </c>
      <c r="E17" s="149">
        <f t="shared" si="11"/>
        <v>0</v>
      </c>
      <c r="F17" s="149">
        <f t="shared" ref="F17:G17" si="12">SUM(F35+F53+F71)</f>
        <v>0</v>
      </c>
      <c r="G17" s="150">
        <f t="shared" si="12"/>
        <v>0</v>
      </c>
      <c r="H17" s="153">
        <f>IF('AW Schulen'!$C65=0,"x",C17/'AW Schulen'!$C65)</f>
        <v>0.7</v>
      </c>
      <c r="I17" s="153" t="str">
        <f>IF('AW Schulen'!$F65=0,"x",D17/'AW Schulen'!$F65)</f>
        <v>x</v>
      </c>
      <c r="J17" s="153" t="str">
        <f>IF('AW Schulen'!$I65=0,"x",E17/'AW Schulen'!$I65)</f>
        <v>x</v>
      </c>
      <c r="K17" s="153" t="str">
        <f>IF('AW Schulen'!$L65=0,"x",F17/'AW Schulen'!$L65)</f>
        <v>x</v>
      </c>
      <c r="L17" s="154" t="str">
        <f>IF('AW Schulen'!$O65=0,"x",G17/'AW Schulen'!$O65)</f>
        <v>x</v>
      </c>
    </row>
    <row r="18" spans="1:12" ht="9" customHeight="1">
      <c r="A18" s="21" t="s">
        <v>86</v>
      </c>
      <c r="B18" s="120"/>
      <c r="C18" s="149">
        <f t="shared" si="0"/>
        <v>0</v>
      </c>
      <c r="D18" s="149">
        <f t="shared" ref="D18:E18" si="13">SUM(D36+D54+D72)</f>
        <v>0</v>
      </c>
      <c r="E18" s="149">
        <f t="shared" si="13"/>
        <v>0</v>
      </c>
      <c r="F18" s="149">
        <f t="shared" ref="F18:G18" si="14">SUM(F36+F54+F72)</f>
        <v>0</v>
      </c>
      <c r="G18" s="150">
        <f t="shared" si="14"/>
        <v>0</v>
      </c>
      <c r="H18" s="153" t="str">
        <f>IF('AW Schulen'!$C66=0,"x",C18/'AW Schulen'!$C66)</f>
        <v>x</v>
      </c>
      <c r="I18" s="153" t="str">
        <f>IF('AW Schulen'!$F66=0,"x",D18/'AW Schulen'!$F66)</f>
        <v>x</v>
      </c>
      <c r="J18" s="153" t="str">
        <f>IF('AW Schulen'!$I66=0,"x",E18/'AW Schulen'!$I66)</f>
        <v>x</v>
      </c>
      <c r="K18" s="153" t="str">
        <f>IF('AW Schulen'!$L66=0,"x",F18/'AW Schulen'!$L66)</f>
        <v>x</v>
      </c>
      <c r="L18" s="154" t="str">
        <f>IF('AW Schulen'!$O66=0,"x",G18/'AW Schulen'!$O66)</f>
        <v>x</v>
      </c>
    </row>
    <row r="19" spans="1:12" ht="9" customHeight="1">
      <c r="A19" s="21" t="s">
        <v>176</v>
      </c>
      <c r="B19" s="120"/>
      <c r="C19" s="42">
        <f t="shared" si="0"/>
        <v>22</v>
      </c>
      <c r="D19" s="42">
        <f t="shared" ref="D19:E19" si="15">SUM(D37+D55+D73)</f>
        <v>25</v>
      </c>
      <c r="E19" s="42">
        <f t="shared" si="15"/>
        <v>25</v>
      </c>
      <c r="F19" s="42">
        <f t="shared" ref="F19:G19" si="16">SUM(F37+F55+F73)</f>
        <v>28</v>
      </c>
      <c r="G19" s="44">
        <f t="shared" si="16"/>
        <v>26</v>
      </c>
      <c r="H19" s="153">
        <f>IF('AW Schulen'!$C67=0,"x",C19/'AW Schulen'!$C67)</f>
        <v>0.62857142857142856</v>
      </c>
      <c r="I19" s="153">
        <f>IF('AW Schulen'!$F67=0,"x",D19/'AW Schulen'!$F67)</f>
        <v>0.7142857142857143</v>
      </c>
      <c r="J19" s="153">
        <f>IF('AW Schulen'!$I67=0,"x",E19/'AW Schulen'!$I67)</f>
        <v>0.67567567567567566</v>
      </c>
      <c r="K19" s="153">
        <f>IF('AW Schulen'!$L67=0,"x",F19/'AW Schulen'!$L67)</f>
        <v>0.73684210526315785</v>
      </c>
      <c r="L19" s="154">
        <f>IF('AW Schulen'!$O67=0,"x",G19/'AW Schulen'!$O67)</f>
        <v>0.72222222222222221</v>
      </c>
    </row>
    <row r="20" spans="1:12" ht="9" customHeight="1">
      <c r="A20" s="21" t="s">
        <v>88</v>
      </c>
      <c r="B20" s="120"/>
      <c r="C20" s="55">
        <f t="shared" si="0"/>
        <v>0</v>
      </c>
      <c r="D20" s="55">
        <f t="shared" ref="D20:E20" si="17">SUM(D38+D56+D74)</f>
        <v>0</v>
      </c>
      <c r="E20" s="55">
        <f t="shared" si="17"/>
        <v>0</v>
      </c>
      <c r="F20" s="55">
        <f t="shared" ref="F20:G20" si="18">SUM(F38+F56+F74)</f>
        <v>0</v>
      </c>
      <c r="G20" s="56">
        <f t="shared" si="18"/>
        <v>0</v>
      </c>
      <c r="H20" s="182">
        <f>IF('AW Schulen'!$C68=0,"x",C20/'AW Schulen'!$C68)</f>
        <v>0</v>
      </c>
      <c r="I20" s="182">
        <f>IF('AW Schulen'!$F68=0,"x",D20/'AW Schulen'!$F68)</f>
        <v>0</v>
      </c>
      <c r="J20" s="182">
        <f>IF('AW Schulen'!$I68=0,"x",E20/'AW Schulen'!$I68)</f>
        <v>0</v>
      </c>
      <c r="K20" s="182">
        <f>IF('AW Schulen'!$L68=0,"x",F20/'AW Schulen'!$L68)</f>
        <v>0</v>
      </c>
      <c r="L20" s="196">
        <f>IF('AW Schulen'!$O68=0,"x",G20/'AW Schulen'!$O68)</f>
        <v>0</v>
      </c>
    </row>
    <row r="21" spans="1:12" ht="9" customHeight="1">
      <c r="A21" s="21" t="s">
        <v>89</v>
      </c>
      <c r="B21" s="120"/>
      <c r="C21" s="149">
        <f t="shared" si="0"/>
        <v>2</v>
      </c>
      <c r="D21" s="149">
        <f t="shared" ref="D21:E21" si="19">SUM(D39+D57+D75)</f>
        <v>7</v>
      </c>
      <c r="E21" s="149">
        <f t="shared" si="19"/>
        <v>8</v>
      </c>
      <c r="F21" s="149">
        <f t="shared" ref="F21:G21" si="20">SUM(F39+F57+F75)</f>
        <v>8</v>
      </c>
      <c r="G21" s="150">
        <f t="shared" si="20"/>
        <v>9</v>
      </c>
      <c r="H21" s="153">
        <f>IF('AW Schulen'!$C69=0,"x",C21/'AW Schulen'!$C69)</f>
        <v>0.66666666666666663</v>
      </c>
      <c r="I21" s="153">
        <f>IF('AW Schulen'!$F69=0,"x",D21/'AW Schulen'!$F69)</f>
        <v>0.875</v>
      </c>
      <c r="J21" s="153">
        <f>IF('AW Schulen'!$I69=0,"x",E21/'AW Schulen'!$I69)</f>
        <v>0.88888888888888884</v>
      </c>
      <c r="K21" s="153">
        <f>IF('AW Schulen'!$L69=0,"x",F21/'AW Schulen'!$L69)</f>
        <v>0.88888888888888884</v>
      </c>
      <c r="L21" s="154">
        <f>IF('AW Schulen'!$O69=0,"x",G21/'AW Schulen'!$O69)</f>
        <v>0.9</v>
      </c>
    </row>
    <row r="22" spans="1:12" ht="9" customHeight="1">
      <c r="A22" s="21" t="s">
        <v>90</v>
      </c>
      <c r="B22" s="120"/>
      <c r="C22" s="42">
        <f t="shared" si="0"/>
        <v>4</v>
      </c>
      <c r="D22" s="42">
        <f t="shared" ref="D22:E22" si="21">SUM(D40+D58+D76)</f>
        <v>4</v>
      </c>
      <c r="E22" s="42">
        <f t="shared" si="21"/>
        <v>4</v>
      </c>
      <c r="F22" s="42">
        <f t="shared" ref="F22:G22" si="22">SUM(F40+F58+F76)</f>
        <v>5</v>
      </c>
      <c r="G22" s="44">
        <f t="shared" si="22"/>
        <v>5</v>
      </c>
      <c r="H22" s="153">
        <f>IF('AW Schulen'!$C70=0,"x",C22/'AW Schulen'!$C70)</f>
        <v>0.66666666666666663</v>
      </c>
      <c r="I22" s="153">
        <f>IF('AW Schulen'!$F70=0,"x",D22/'AW Schulen'!$F70)</f>
        <v>0.5714285714285714</v>
      </c>
      <c r="J22" s="153">
        <f>IF('AW Schulen'!$I70=0,"x",E22/'AW Schulen'!$I70)</f>
        <v>0.44444444444444442</v>
      </c>
      <c r="K22" s="153">
        <f>IF('AW Schulen'!$L70=0,"x",F22/'AW Schulen'!$L70)</f>
        <v>0.5</v>
      </c>
      <c r="L22" s="154">
        <f>IF('AW Schulen'!$O70=0,"x",G22/'AW Schulen'!$O70)</f>
        <v>0.5</v>
      </c>
    </row>
    <row r="23" spans="1:12" ht="9" customHeight="1">
      <c r="A23" s="21" t="s">
        <v>91</v>
      </c>
      <c r="B23" s="120"/>
      <c r="C23" s="42">
        <f t="shared" si="0"/>
        <v>2</v>
      </c>
      <c r="D23" s="42">
        <f t="shared" ref="D23:E23" si="23">SUM(D41+D59+D77)</f>
        <v>2</v>
      </c>
      <c r="E23" s="42">
        <f t="shared" si="23"/>
        <v>2</v>
      </c>
      <c r="F23" s="42">
        <f t="shared" ref="F23:G23" si="24">SUM(F41+F59+F77)</f>
        <v>2</v>
      </c>
      <c r="G23" s="44">
        <f t="shared" si="24"/>
        <v>1</v>
      </c>
      <c r="H23" s="153">
        <f>IF('AW Schulen'!$C71=0,"x",C23/'AW Schulen'!$C71)</f>
        <v>1</v>
      </c>
      <c r="I23" s="153">
        <f>IF('AW Schulen'!$F71=0,"x",D23/'AW Schulen'!$F71)</f>
        <v>1</v>
      </c>
      <c r="J23" s="153">
        <f>IF('AW Schulen'!$I71=0,"x",E23/'AW Schulen'!$I71)</f>
        <v>1</v>
      </c>
      <c r="K23" s="153">
        <f>IF('AW Schulen'!$L71=0,"x",F23/'AW Schulen'!$L71)</f>
        <v>1</v>
      </c>
      <c r="L23" s="154">
        <f>IF('AW Schulen'!$O71=0,"x",G23/'AW Schulen'!$O71)</f>
        <v>1</v>
      </c>
    </row>
    <row r="24" spans="1:12" ht="9" customHeight="1">
      <c r="A24" s="21" t="s">
        <v>92</v>
      </c>
      <c r="B24" s="120"/>
      <c r="C24" s="42">
        <f t="shared" si="0"/>
        <v>55</v>
      </c>
      <c r="D24" s="42">
        <f t="shared" ref="D24:E24" si="25">SUM(D42+D60+D78)</f>
        <v>57</v>
      </c>
      <c r="E24" s="42">
        <f t="shared" si="25"/>
        <v>57</v>
      </c>
      <c r="F24" s="42">
        <f t="shared" ref="F24:G24" si="26">SUM(F42+F60+F78)</f>
        <v>58</v>
      </c>
      <c r="G24" s="44">
        <f t="shared" si="26"/>
        <v>64</v>
      </c>
      <c r="H24" s="153">
        <f>IF('AW Schulen'!$C72=0,"x",C24/'AW Schulen'!$C72)</f>
        <v>0.94827586206896552</v>
      </c>
      <c r="I24" s="153">
        <f>IF('AW Schulen'!$F72=0,"x",D24/'AW Schulen'!$F72)</f>
        <v>0.98275862068965514</v>
      </c>
      <c r="J24" s="153">
        <f>IF('AW Schulen'!$I72=0,"x",E24/'AW Schulen'!$I72)</f>
        <v>0.98275862068965514</v>
      </c>
      <c r="K24" s="153">
        <f>IF('AW Schulen'!$L72=0,"x",F24/'AW Schulen'!$L72)</f>
        <v>0.95081967213114749</v>
      </c>
      <c r="L24" s="154">
        <f>IF('AW Schulen'!$O72=0,"x",G24/'AW Schulen'!$O72)</f>
        <v>0.94117647058823528</v>
      </c>
    </row>
    <row r="25" spans="1:12" ht="9" customHeight="1">
      <c r="A25" s="21" t="s">
        <v>93</v>
      </c>
      <c r="B25" s="120"/>
      <c r="C25" s="55">
        <f t="shared" si="0"/>
        <v>0</v>
      </c>
      <c r="D25" s="55">
        <f t="shared" ref="D25:E25" si="27">SUM(D43+D61+D79)</f>
        <v>0</v>
      </c>
      <c r="E25" s="55">
        <f t="shared" si="27"/>
        <v>0</v>
      </c>
      <c r="F25" s="55">
        <f t="shared" ref="F25:G25" si="28">SUM(F43+F61+F79)</f>
        <v>0</v>
      </c>
      <c r="G25" s="56">
        <f t="shared" si="28"/>
        <v>0</v>
      </c>
      <c r="H25" s="182" t="str">
        <f>IF('AW Schulen'!$C73=0,".",C25/'AW Schulen'!$C73)</f>
        <v>.</v>
      </c>
      <c r="I25" s="182" t="str">
        <f>IF('AW Schulen'!$F73=0,".",D25/'AW Schulen'!$F73)</f>
        <v>.</v>
      </c>
      <c r="J25" s="182" t="str">
        <f>IF('AW Schulen'!$I73=0,".",E25/'AW Schulen'!$I73)</f>
        <v>.</v>
      </c>
      <c r="K25" s="182" t="str">
        <f>IF('AW Schulen'!$L73=0,".",F25/'AW Schulen'!$L73)</f>
        <v>.</v>
      </c>
      <c r="L25" s="196" t="str">
        <f>IF('AW Schulen'!$O73=0,".",G25/'AW Schulen'!$O73)</f>
        <v>.</v>
      </c>
    </row>
    <row r="26" spans="1:12" ht="9" customHeight="1">
      <c r="A26" s="21" t="s">
        <v>94</v>
      </c>
      <c r="B26" s="120"/>
      <c r="C26" s="42">
        <f t="shared" si="0"/>
        <v>0</v>
      </c>
      <c r="D26" s="42">
        <f t="shared" ref="D26:E26" si="29">SUM(D44+D62+D80)</f>
        <v>0</v>
      </c>
      <c r="E26" s="42">
        <f t="shared" si="29"/>
        <v>0</v>
      </c>
      <c r="F26" s="42">
        <f t="shared" ref="F26:G26" si="30">SUM(F44+F62+F80)</f>
        <v>0</v>
      </c>
      <c r="G26" s="44">
        <f t="shared" si="30"/>
        <v>0</v>
      </c>
      <c r="H26" s="153">
        <f>IF('AW Schulen'!$C74=0,"x",C26/'AW Schulen'!$C74)</f>
        <v>0</v>
      </c>
      <c r="I26" s="153">
        <f>IF('AW Schulen'!$F74=0,"x",D26/'AW Schulen'!$F74)</f>
        <v>0</v>
      </c>
      <c r="J26" s="153">
        <f>IF('AW Schulen'!$I74=0,"x",E26/'AW Schulen'!$I74)</f>
        <v>0</v>
      </c>
      <c r="K26" s="153">
        <f>IF('AW Schulen'!$L74=0,"x",F26/'AW Schulen'!$L74)</f>
        <v>0</v>
      </c>
      <c r="L26" s="154">
        <f>IF('AW Schulen'!$O74=0,"x",G26/'AW Schulen'!$O74)</f>
        <v>0</v>
      </c>
    </row>
    <row r="27" spans="1:12" ht="9" customHeight="1">
      <c r="A27" s="21" t="s">
        <v>95</v>
      </c>
      <c r="B27" s="120"/>
      <c r="C27" s="42">
        <f t="shared" si="0"/>
        <v>7</v>
      </c>
      <c r="D27" s="42">
        <f t="shared" ref="D27:E27" si="31">SUM(D45+D63+D81)</f>
        <v>9</v>
      </c>
      <c r="E27" s="42">
        <f t="shared" si="31"/>
        <v>7</v>
      </c>
      <c r="F27" s="42">
        <f t="shared" ref="F27:G27" si="32">SUM(F45+F63+F81)</f>
        <v>7</v>
      </c>
      <c r="G27" s="44">
        <f t="shared" si="32"/>
        <v>7</v>
      </c>
      <c r="H27" s="153">
        <f>IF('AW Schulen'!$C75=0,"x",C27/'AW Schulen'!$C75)</f>
        <v>0.7</v>
      </c>
      <c r="I27" s="153">
        <f>IF('AW Schulen'!$F75=0,"x",D27/'AW Schulen'!$F75)</f>
        <v>0.9</v>
      </c>
      <c r="J27" s="153">
        <f>IF('AW Schulen'!$I75=0,"x",E27/'AW Schulen'!$I75)</f>
        <v>0.875</v>
      </c>
      <c r="K27" s="153">
        <f>IF('AW Schulen'!$L75=0,"x",F27/'AW Schulen'!$L75)</f>
        <v>0.875</v>
      </c>
      <c r="L27" s="154">
        <f>IF('AW Schulen'!$O75=0,"x",G27/'AW Schulen'!$O75)</f>
        <v>0.875</v>
      </c>
    </row>
    <row r="28" spans="1:12" ht="9" customHeight="1">
      <c r="A28" s="21" t="s">
        <v>96</v>
      </c>
      <c r="B28" s="120"/>
      <c r="C28" s="42">
        <f t="shared" si="0"/>
        <v>116</v>
      </c>
      <c r="D28" s="42">
        <f t="shared" ref="D28:E28" si="33">SUM(D46+D64+D82)</f>
        <v>122</v>
      </c>
      <c r="E28" s="42">
        <f t="shared" si="33"/>
        <v>121</v>
      </c>
      <c r="F28" s="42">
        <f t="shared" ref="F28:G28" si="34">SUM(F46+F64+F82)</f>
        <v>127</v>
      </c>
      <c r="G28" s="44">
        <f t="shared" si="34"/>
        <v>131</v>
      </c>
      <c r="H28" s="153">
        <f>IF('AW Schulen'!$C76=0,"x",C28/'AW Schulen'!$C76)</f>
        <v>0.72499999999999998</v>
      </c>
      <c r="I28" s="153">
        <f>IF('AW Schulen'!$F76=0,"x",D28/'AW Schulen'!$F76)</f>
        <v>0.78205128205128205</v>
      </c>
      <c r="J28" s="153">
        <f>IF('AW Schulen'!$I76=0,"x",E28/'AW Schulen'!$I76)</f>
        <v>0.75624999999999998</v>
      </c>
      <c r="K28" s="153">
        <f>IF('AW Schulen'!$L76=0,"x",F28/'AW Schulen'!$L76)</f>
        <v>0.76506024096385539</v>
      </c>
      <c r="L28" s="154">
        <f>IF('AW Schulen'!$O76=0,"x",G28/'AW Schulen'!$O76)</f>
        <v>0.7751479289940828</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151">
        <f>[1]GtS!$F$54</f>
        <v>0</v>
      </c>
      <c r="D30" s="151">
        <f>[2]GtS!$F$56</f>
        <v>0</v>
      </c>
      <c r="E30" s="151">
        <f>[3]GtS!$F$56</f>
        <v>0</v>
      </c>
      <c r="F30" s="151">
        <f>[4]GtS!$F$56</f>
        <v>0</v>
      </c>
      <c r="G30" s="152">
        <f>[5]GtS!$F$56</f>
        <v>0</v>
      </c>
      <c r="H30" s="155" t="str">
        <f>IF('AW Schulen'!$C60=0,"x",C30/'AW Schulen'!$C60)</f>
        <v>x</v>
      </c>
      <c r="I30" s="155" t="str">
        <f>IF('AW Schulen'!$F60=0,"x",D30/'AW Schulen'!$F60)</f>
        <v>x</v>
      </c>
      <c r="J30" s="155" t="str">
        <f>IF('AW Schulen'!$I60=0,"x",E30/'AW Schulen'!$I60)</f>
        <v>x</v>
      </c>
      <c r="K30" s="155" t="str">
        <f>IF('AW Schulen'!$L60=0,"x",F30/'AW Schulen'!$L60)</f>
        <v>x</v>
      </c>
      <c r="L30" s="156" t="str">
        <f>IF('AW Schulen'!$O60=0,"x",G30/'AW Schulen'!$O60)</f>
        <v>x</v>
      </c>
    </row>
    <row r="31" spans="1:12" ht="9" customHeight="1">
      <c r="A31" s="21" t="s">
        <v>81</v>
      </c>
      <c r="B31" s="120"/>
      <c r="C31" s="151">
        <f>[6]GtS!$F$54</f>
        <v>0</v>
      </c>
      <c r="D31" s="151">
        <f>[7]GtS!$F$56</f>
        <v>0</v>
      </c>
      <c r="E31" s="151">
        <f>[8]GtS!$F$56</f>
        <v>0</v>
      </c>
      <c r="F31" s="151" t="str">
        <f>[9]GtS!$F$56</f>
        <v xml:space="preserve">                                      -   </v>
      </c>
      <c r="G31" s="152">
        <f>[10]GtS!$F$56</f>
        <v>0</v>
      </c>
      <c r="H31" s="155" t="str">
        <f>IF('AW Schulen'!$C61=0,"x",C31/'AW Schulen'!$C61)</f>
        <v>x</v>
      </c>
      <c r="I31" s="155" t="str">
        <f>IF('AW Schulen'!$F61=0,"x",D31/'AW Schulen'!$F61)</f>
        <v>x</v>
      </c>
      <c r="J31" s="155" t="str">
        <f>IF('AW Schulen'!$I61=0,"x",E31/'AW Schulen'!$I61)</f>
        <v>x</v>
      </c>
      <c r="K31" s="155" t="e">
        <f>IF('AW Schulen'!$L61=0,"x",F31/'AW Schulen'!$L61)</f>
        <v>#VALUE!</v>
      </c>
      <c r="L31" s="156" t="str">
        <f>IF('AW Schulen'!$O61=0,"x",G31/'AW Schulen'!$O61)</f>
        <v>x</v>
      </c>
    </row>
    <row r="32" spans="1:12" ht="9" customHeight="1">
      <c r="A32" s="21" t="s">
        <v>82</v>
      </c>
      <c r="B32" s="120"/>
      <c r="C32" s="151">
        <f>[11]GtS!$F$54</f>
        <v>0</v>
      </c>
      <c r="D32" s="151">
        <f>[12]GtS!$F$56</f>
        <v>0</v>
      </c>
      <c r="E32" s="151">
        <f>[13]GtS!$F$56</f>
        <v>0</v>
      </c>
      <c r="F32" s="151">
        <f>[14]GtS!$F$56</f>
        <v>0</v>
      </c>
      <c r="G32" s="152">
        <f>[15]GtS!$F$56</f>
        <v>0</v>
      </c>
      <c r="H32" s="155" t="str">
        <f>IF('AW Schulen'!$C62=0,"x",C32/'AW Schulen'!$C62)</f>
        <v>x</v>
      </c>
      <c r="I32" s="155" t="str">
        <f>IF('AW Schulen'!$F62=0,"x",D32/'AW Schulen'!$F62)</f>
        <v>x</v>
      </c>
      <c r="J32" s="155" t="str">
        <f>IF('AW Schulen'!$I62=0,"x",E32/'AW Schulen'!$I62)</f>
        <v>x</v>
      </c>
      <c r="K32" s="155" t="str">
        <f>IF('AW Schulen'!$L62=0,"x",F32/'AW Schulen'!$L62)</f>
        <v>x</v>
      </c>
      <c r="L32" s="156" t="str">
        <f>IF('AW Schulen'!$O62=0,"x",G32/'AW Schulen'!$O62)</f>
        <v>x</v>
      </c>
    </row>
    <row r="33" spans="1:12" ht="9" customHeight="1">
      <c r="A33" s="21" t="s">
        <v>83</v>
      </c>
      <c r="B33" s="120"/>
      <c r="C33" s="23">
        <f>[16]GtS!$F$54</f>
        <v>11</v>
      </c>
      <c r="D33" s="23">
        <f>[17]GtS!$F$56</f>
        <v>12</v>
      </c>
      <c r="E33" s="23">
        <f>[18]GtS!$F$56</f>
        <v>13</v>
      </c>
      <c r="F33" s="23">
        <f>[19]GtS!$F$56</f>
        <v>15</v>
      </c>
      <c r="G33" s="34">
        <f>[20]GtS!$F$56</f>
        <v>15</v>
      </c>
      <c r="H33" s="155">
        <f>IF('AW Schulen'!$C63=0,"x",C33/'AW Schulen'!$C63)</f>
        <v>0.37931034482758619</v>
      </c>
      <c r="I33" s="155">
        <f>IF('AW Schulen'!$F63=0,"x",D33/'AW Schulen'!$F63)</f>
        <v>0.41379310344827586</v>
      </c>
      <c r="J33" s="155">
        <f>IF('AW Schulen'!$I63=0,"x",E33/'AW Schulen'!$I63)</f>
        <v>0.43333333333333335</v>
      </c>
      <c r="K33" s="155">
        <f>IF('AW Schulen'!$L63=0,"x",F33/'AW Schulen'!$L63)</f>
        <v>0.46875</v>
      </c>
      <c r="L33" s="156">
        <f>IF('AW Schulen'!$O63=0,"x",G33/'AW Schulen'!$O63)</f>
        <v>0.45454545454545453</v>
      </c>
    </row>
    <row r="34" spans="1:12" ht="9" customHeight="1">
      <c r="A34" s="21" t="s">
        <v>84</v>
      </c>
      <c r="B34" s="120"/>
      <c r="C34" s="23">
        <f>[21]GtS!$F$54</f>
        <v>0</v>
      </c>
      <c r="D34" s="23">
        <f>[22]GtS!$F$56</f>
        <v>0</v>
      </c>
      <c r="E34" s="23">
        <f>[23]GtS!$F$56</f>
        <v>0</v>
      </c>
      <c r="F34" s="23">
        <f>[24]GtS!$F$56</f>
        <v>0</v>
      </c>
      <c r="G34" s="34">
        <f>[25]GtS!$F$56</f>
        <v>0</v>
      </c>
      <c r="H34" s="155">
        <f>IF('AW Schulen'!$C64=0,"x",C34/'AW Schulen'!$C64)</f>
        <v>0</v>
      </c>
      <c r="I34" s="155">
        <f>IF('AW Schulen'!$F64=0,"x",D34/'AW Schulen'!$F64)</f>
        <v>0</v>
      </c>
      <c r="J34" s="155">
        <f>IF('AW Schulen'!$I64=0,"x",E34/'AW Schulen'!$I64)</f>
        <v>0</v>
      </c>
      <c r="K34" s="155">
        <f>IF('AW Schulen'!$L64=0,"x",F34/'AW Schulen'!$L64)</f>
        <v>0</v>
      </c>
      <c r="L34" s="156">
        <f>IF('AW Schulen'!$O64=0,"x",G34/'AW Schulen'!$O64)</f>
        <v>0</v>
      </c>
    </row>
    <row r="35" spans="1:12" ht="9" customHeight="1">
      <c r="A35" s="21" t="s">
        <v>85</v>
      </c>
      <c r="B35" s="120"/>
      <c r="C35" s="23">
        <f>[26]GtS!$F$54</f>
        <v>1</v>
      </c>
      <c r="D35" s="151">
        <f>[27]GtS!$F$56</f>
        <v>0</v>
      </c>
      <c r="E35" s="151">
        <f>[28]GtS!$F$56</f>
        <v>0</v>
      </c>
      <c r="F35" s="151">
        <f>[29]GtS!$F$56</f>
        <v>0</v>
      </c>
      <c r="G35" s="152">
        <f>[30]GtS!$F$56</f>
        <v>0</v>
      </c>
      <c r="H35" s="155">
        <f>IF('AW Schulen'!$C65=0,"x",C35/'AW Schulen'!$C65)</f>
        <v>0.1</v>
      </c>
      <c r="I35" s="155" t="str">
        <f>IF('AW Schulen'!$F65=0,"x",D35/'AW Schulen'!$F65)</f>
        <v>x</v>
      </c>
      <c r="J35" s="155" t="str">
        <f>IF('AW Schulen'!$I65=0,"x",E35/'AW Schulen'!$I65)</f>
        <v>x</v>
      </c>
      <c r="K35" s="155" t="str">
        <f>IF('AW Schulen'!$L65=0,"x",F35/'AW Schulen'!$L65)</f>
        <v>x</v>
      </c>
      <c r="L35" s="156" t="str">
        <f>IF('AW Schulen'!$O65=0,"x",G35/'AW Schulen'!$O65)</f>
        <v>x</v>
      </c>
    </row>
    <row r="36" spans="1:12" ht="9" customHeight="1">
      <c r="A36" s="21" t="s">
        <v>86</v>
      </c>
      <c r="B36" s="120"/>
      <c r="C36" s="151">
        <f>[66]GtS!$F$54</f>
        <v>0</v>
      </c>
      <c r="D36" s="151">
        <f>[67]GtS!$F$56</f>
        <v>0</v>
      </c>
      <c r="E36" s="151">
        <f>[68]GtS!$F$56</f>
        <v>0</v>
      </c>
      <c r="F36" s="151">
        <f>[69]GtS!$F$56</f>
        <v>0</v>
      </c>
      <c r="G36" s="152">
        <f>[70]GtS!$F$56</f>
        <v>0</v>
      </c>
      <c r="H36" s="155" t="str">
        <f>IF('AW Schulen'!$C66=0,"x",C36/'AW Schulen'!$C66)</f>
        <v>x</v>
      </c>
      <c r="I36" s="155" t="str">
        <f>IF('AW Schulen'!$F66=0,"x",D36/'AW Schulen'!$F66)</f>
        <v>x</v>
      </c>
      <c r="J36" s="155" t="str">
        <f>IF('AW Schulen'!$I66=0,"x",E36/'AW Schulen'!$I66)</f>
        <v>x</v>
      </c>
      <c r="K36" s="155" t="str">
        <f>IF('AW Schulen'!$L66=0,"x",F36/'AW Schulen'!$L66)</f>
        <v>x</v>
      </c>
      <c r="L36" s="156" t="str">
        <f>IF('AW Schulen'!$O66=0,"x",G36/'AW Schulen'!$O66)</f>
        <v>x</v>
      </c>
    </row>
    <row r="37" spans="1:12" ht="9" customHeight="1">
      <c r="A37" s="21" t="s">
        <v>176</v>
      </c>
      <c r="B37" s="120"/>
      <c r="C37" s="23">
        <f>[31]GtS!$F$54</f>
        <v>11</v>
      </c>
      <c r="D37" s="23">
        <f>[32]GtS!$F$56</f>
        <v>13</v>
      </c>
      <c r="E37" s="23">
        <f>[33]GtS!$F$56</f>
        <v>13</v>
      </c>
      <c r="F37" s="23">
        <f>[34]GtS!$F$56</f>
        <v>15</v>
      </c>
      <c r="G37" s="34">
        <f>[35]GtS!$F$56</f>
        <v>14</v>
      </c>
      <c r="H37" s="155">
        <f>IF('AW Schulen'!$C67=0,"x",C37/'AW Schulen'!$C67)</f>
        <v>0.31428571428571428</v>
      </c>
      <c r="I37" s="155">
        <f>IF('AW Schulen'!$F67=0,"x",D37/'AW Schulen'!$F67)</f>
        <v>0.37142857142857144</v>
      </c>
      <c r="J37" s="155">
        <f>IF('AW Schulen'!$I67=0,"x",E37/'AW Schulen'!$I67)</f>
        <v>0.35135135135135137</v>
      </c>
      <c r="K37" s="155">
        <f>IF('AW Schulen'!$L67=0,"x",F37/'AW Schulen'!$L67)</f>
        <v>0.39473684210526316</v>
      </c>
      <c r="L37" s="156">
        <f>IF('AW Schulen'!$O67=0,"x",G37/'AW Schulen'!$O67)</f>
        <v>0.3888888888888889</v>
      </c>
    </row>
    <row r="38" spans="1:12" ht="9" customHeight="1">
      <c r="A38" s="21" t="s">
        <v>88</v>
      </c>
      <c r="B38" s="120"/>
      <c r="C38" s="36">
        <f>[71]GtS!$F$54</f>
        <v>0</v>
      </c>
      <c r="D38" s="36">
        <f>[72]GtS!$F$56</f>
        <v>0</v>
      </c>
      <c r="E38" s="36">
        <f>[73]GtS!$F$56</f>
        <v>0</v>
      </c>
      <c r="F38" s="36">
        <f>[74]GtS!$F$56</f>
        <v>0</v>
      </c>
      <c r="G38" s="37">
        <f>[75]GtS!$F$56</f>
        <v>0</v>
      </c>
      <c r="H38" s="183">
        <f>IF('AW Schulen'!$C68=0,"x",C38/'AW Schulen'!$C68)</f>
        <v>0</v>
      </c>
      <c r="I38" s="183">
        <f>IF('AW Schulen'!$F68=0,"x",D38/'AW Schulen'!$F68)</f>
        <v>0</v>
      </c>
      <c r="J38" s="183">
        <f>IF('AW Schulen'!$I68=0,"x",E38/'AW Schulen'!$I68)</f>
        <v>0</v>
      </c>
      <c r="K38" s="183">
        <f>IF('AW Schulen'!$L68=0,"x",F38/'AW Schulen'!$L68)</f>
        <v>0</v>
      </c>
      <c r="L38" s="197">
        <f>IF('AW Schulen'!$O68=0,"x",G38/'AW Schulen'!$O68)</f>
        <v>0</v>
      </c>
    </row>
    <row r="39" spans="1:12" ht="9" customHeight="1">
      <c r="A39" s="21" t="s">
        <v>89</v>
      </c>
      <c r="B39" s="120"/>
      <c r="C39" s="151">
        <f>[36]GtS!$F$54</f>
        <v>2</v>
      </c>
      <c r="D39" s="151">
        <f>[37]GtS!$F$56</f>
        <v>7</v>
      </c>
      <c r="E39" s="151">
        <f>[38]GtS!$F$56</f>
        <v>8</v>
      </c>
      <c r="F39" s="151">
        <f>[39]GtS!$F$56</f>
        <v>8</v>
      </c>
      <c r="G39" s="152">
        <f>[40]GtS!$F$56</f>
        <v>9</v>
      </c>
      <c r="H39" s="155">
        <f>IF('AW Schulen'!$C69=0,"x",C39/'AW Schulen'!$C69)</f>
        <v>0.66666666666666663</v>
      </c>
      <c r="I39" s="155">
        <f>IF('AW Schulen'!$F69=0,"x",D39/'AW Schulen'!$F69)</f>
        <v>0.875</v>
      </c>
      <c r="J39" s="155">
        <f>IF('AW Schulen'!$I69=0,"x",E39/'AW Schulen'!$I69)</f>
        <v>0.88888888888888884</v>
      </c>
      <c r="K39" s="155">
        <f>IF('AW Schulen'!$L69=0,"x",F39/'AW Schulen'!$L69)</f>
        <v>0.88888888888888884</v>
      </c>
      <c r="L39" s="156">
        <f>IF('AW Schulen'!$O69=0,"x",G39/'AW Schulen'!$O69)</f>
        <v>0.9</v>
      </c>
    </row>
    <row r="40" spans="1:12" ht="9" customHeight="1">
      <c r="A40" s="21" t="s">
        <v>90</v>
      </c>
      <c r="B40" s="120"/>
      <c r="C40" s="23">
        <f>[41]GtS!$F$54</f>
        <v>3</v>
      </c>
      <c r="D40" s="23">
        <f>[42]GtS!$F$56</f>
        <v>3</v>
      </c>
      <c r="E40" s="23">
        <f>[43]GtS!$F$56</f>
        <v>3</v>
      </c>
      <c r="F40" s="23">
        <f>[44]GtS!$F$56</f>
        <v>4</v>
      </c>
      <c r="G40" s="34">
        <f>[45]GtS!$F$56</f>
        <v>3</v>
      </c>
      <c r="H40" s="155">
        <f>IF('AW Schulen'!$C70=0,"x",C40/'AW Schulen'!$C70)</f>
        <v>0.5</v>
      </c>
      <c r="I40" s="155">
        <f>IF('AW Schulen'!$F70=0,"x",D40/'AW Schulen'!$F70)</f>
        <v>0.42857142857142855</v>
      </c>
      <c r="J40" s="155">
        <f>IF('AW Schulen'!$I70=0,"x",E40/'AW Schulen'!$I70)</f>
        <v>0.33333333333333331</v>
      </c>
      <c r="K40" s="155">
        <f>IF('AW Schulen'!$L70=0,"x",F40/'AW Schulen'!$L70)</f>
        <v>0.4</v>
      </c>
      <c r="L40" s="156">
        <f>IF('AW Schulen'!$O70=0,"x",G40/'AW Schulen'!$O70)</f>
        <v>0.3</v>
      </c>
    </row>
    <row r="41" spans="1:12" ht="9" customHeight="1">
      <c r="A41" s="21" t="s">
        <v>91</v>
      </c>
      <c r="B41" s="120"/>
      <c r="C41" s="23">
        <f>[46]GtS!$F$54</f>
        <v>0</v>
      </c>
      <c r="D41" s="23">
        <f>[47]GtS!$F$56</f>
        <v>0</v>
      </c>
      <c r="E41" s="23">
        <f>[48]GtS!$F$56</f>
        <v>0</v>
      </c>
      <c r="F41" s="23">
        <f>[49]GtS!$F$56</f>
        <v>0</v>
      </c>
      <c r="G41" s="34">
        <f>[50]GtS!$F$56</f>
        <v>0</v>
      </c>
      <c r="H41" s="155">
        <f>IF('AW Schulen'!$C71=0,"x",C41/'AW Schulen'!$C71)</f>
        <v>0</v>
      </c>
      <c r="I41" s="155">
        <f>IF('AW Schulen'!$F71=0,"x",D41/'AW Schulen'!$F71)</f>
        <v>0</v>
      </c>
      <c r="J41" s="155">
        <f>IF('AW Schulen'!$I71=0,"x",E41/'AW Schulen'!$I71)</f>
        <v>0</v>
      </c>
      <c r="K41" s="155">
        <f>IF('AW Schulen'!$L71=0,"x",F41/'AW Schulen'!$L71)</f>
        <v>0</v>
      </c>
      <c r="L41" s="156">
        <f>IF('AW Schulen'!$O71=0,"x",G41/'AW Schulen'!$O71)</f>
        <v>0</v>
      </c>
    </row>
    <row r="42" spans="1:12" ht="9" customHeight="1">
      <c r="A42" s="21" t="s">
        <v>92</v>
      </c>
      <c r="B42" s="120"/>
      <c r="C42" s="23">
        <f>[51]GtS!$F$54</f>
        <v>19</v>
      </c>
      <c r="D42" s="23">
        <f>[52]GtS!$F$56</f>
        <v>19</v>
      </c>
      <c r="E42" s="23">
        <f>[53]GtS!$F$56</f>
        <v>17</v>
      </c>
      <c r="F42" s="23">
        <f>[54]GtS!$F$56</f>
        <v>16</v>
      </c>
      <c r="G42" s="34">
        <f>[55]GtS!$F$56</f>
        <v>18</v>
      </c>
      <c r="H42" s="155">
        <f>IF('AW Schulen'!$C72=0,"x",C42/'AW Schulen'!$C72)</f>
        <v>0.32758620689655171</v>
      </c>
      <c r="I42" s="155">
        <f>IF('AW Schulen'!$F72=0,"x",D42/'AW Schulen'!$F72)</f>
        <v>0.32758620689655171</v>
      </c>
      <c r="J42" s="155">
        <f>IF('AW Schulen'!$I72=0,"x",E42/'AW Schulen'!$I72)</f>
        <v>0.29310344827586204</v>
      </c>
      <c r="K42" s="155">
        <f>IF('AW Schulen'!$L72=0,"x",F42/'AW Schulen'!$L72)</f>
        <v>0.26229508196721313</v>
      </c>
      <c r="L42" s="156">
        <f>IF('AW Schulen'!$O72=0,"x",G42/'AW Schulen'!$O72)</f>
        <v>0.26470588235294118</v>
      </c>
    </row>
    <row r="43" spans="1:12" ht="9" customHeight="1">
      <c r="A43" s="21" t="s">
        <v>93</v>
      </c>
      <c r="B43" s="120"/>
      <c r="C43" s="36">
        <f>[76]GtS!$F$54</f>
        <v>0</v>
      </c>
      <c r="D43" s="36">
        <f>[77]GtS!$F$56</f>
        <v>0</v>
      </c>
      <c r="E43" s="36">
        <f>[78]GtS!$F$56</f>
        <v>0</v>
      </c>
      <c r="F43" s="36">
        <f>[79]GtS!$F$56</f>
        <v>0</v>
      </c>
      <c r="G43" s="37">
        <f>[80]GtS!$F$56</f>
        <v>0</v>
      </c>
      <c r="H43" s="183" t="str">
        <f>IF('AW Schulen'!$C73=0,".",C43/'AW Schulen'!$C73)</f>
        <v>.</v>
      </c>
      <c r="I43" s="183" t="str">
        <f>IF('AW Schulen'!$F73=0,".",D43/'AW Schulen'!$F73)</f>
        <v>.</v>
      </c>
      <c r="J43" s="183" t="str">
        <f>IF('AW Schulen'!$I73=0,".",E43/'AW Schulen'!$I73)</f>
        <v>.</v>
      </c>
      <c r="K43" s="183" t="str">
        <f>IF('AW Schulen'!$L73=0,".",F43/'AW Schulen'!$L73)</f>
        <v>.</v>
      </c>
      <c r="L43" s="197" t="str">
        <f>IF('AW Schulen'!$O73=0,".",G43/'AW Schulen'!$O73)</f>
        <v>.</v>
      </c>
    </row>
    <row r="44" spans="1:12" ht="9" customHeight="1">
      <c r="A44" s="21" t="s">
        <v>94</v>
      </c>
      <c r="B44" s="120"/>
      <c r="C44" s="23">
        <f>[56]GtS!$F$54</f>
        <v>0</v>
      </c>
      <c r="D44" s="23">
        <f>[57]GtS!$F$56</f>
        <v>0</v>
      </c>
      <c r="E44" s="23">
        <f>[58]GtS!$F$56</f>
        <v>0</v>
      </c>
      <c r="F44" s="23">
        <f>[59]GtS!$F$56</f>
        <v>0</v>
      </c>
      <c r="G44" s="34">
        <f>[60]GtS!$F$56</f>
        <v>0</v>
      </c>
      <c r="H44" s="155">
        <f>IF('AW Schulen'!$C74=0,"x",C44/'AW Schulen'!$C74)</f>
        <v>0</v>
      </c>
      <c r="I44" s="155">
        <f>IF('AW Schulen'!$F74=0,"x",D44/'AW Schulen'!$F74)</f>
        <v>0</v>
      </c>
      <c r="J44" s="155">
        <f>IF('AW Schulen'!$I74=0,"x",E44/'AW Schulen'!$I74)</f>
        <v>0</v>
      </c>
      <c r="K44" s="155">
        <f>IF('AW Schulen'!$L74=0,"x",F44/'AW Schulen'!$L74)</f>
        <v>0</v>
      </c>
      <c r="L44" s="156">
        <f>IF('AW Schulen'!$O74=0,"x",G44/'AW Schulen'!$O74)</f>
        <v>0</v>
      </c>
    </row>
    <row r="45" spans="1:12" ht="9" customHeight="1">
      <c r="A45" s="21" t="s">
        <v>95</v>
      </c>
      <c r="B45" s="120"/>
      <c r="C45" s="23">
        <f>[61]GtS!$F$54</f>
        <v>4</v>
      </c>
      <c r="D45" s="23">
        <f>[62]GtS!$F$56</f>
        <v>5</v>
      </c>
      <c r="E45" s="23">
        <f>[63]GtS!$F$56</f>
        <v>4</v>
      </c>
      <c r="F45" s="23">
        <f>[64]GtS!$F$56</f>
        <v>4</v>
      </c>
      <c r="G45" s="34">
        <f>[65]GtS!$F$56</f>
        <v>4</v>
      </c>
      <c r="H45" s="155">
        <f>IF('AW Schulen'!$C75=0,"x",C45/'AW Schulen'!$C75)</f>
        <v>0.4</v>
      </c>
      <c r="I45" s="155">
        <f>IF('AW Schulen'!$F75=0,"x",D45/'AW Schulen'!$F75)</f>
        <v>0.5</v>
      </c>
      <c r="J45" s="155">
        <f>IF('AW Schulen'!$I75=0,"x",E45/'AW Schulen'!$I75)</f>
        <v>0.5</v>
      </c>
      <c r="K45" s="155">
        <f>IF('AW Schulen'!$L75=0,"x",F45/'AW Schulen'!$L75)</f>
        <v>0.5</v>
      </c>
      <c r="L45" s="156">
        <f>IF('AW Schulen'!$O75=0,"x",G45/'AW Schulen'!$O75)</f>
        <v>0.5</v>
      </c>
    </row>
    <row r="46" spans="1:12" ht="9" customHeight="1">
      <c r="A46" s="21" t="s">
        <v>96</v>
      </c>
      <c r="B46" s="120"/>
      <c r="C46" s="23">
        <f t="shared" ref="C46:E46" si="35">SUM(C30:C45)</f>
        <v>51</v>
      </c>
      <c r="D46" s="23">
        <f t="shared" si="35"/>
        <v>59</v>
      </c>
      <c r="E46" s="23">
        <f t="shared" si="35"/>
        <v>58</v>
      </c>
      <c r="F46" s="23">
        <f t="shared" ref="F46:G46" si="36">SUM(F30:F45)</f>
        <v>62</v>
      </c>
      <c r="G46" s="34">
        <f t="shared" si="36"/>
        <v>63</v>
      </c>
      <c r="H46" s="155">
        <f>IF('AW Schulen'!$C76=0,"x",C46/'AW Schulen'!$C76)</f>
        <v>0.31874999999999998</v>
      </c>
      <c r="I46" s="155">
        <f>IF('AW Schulen'!$F76=0,"x",D46/'AW Schulen'!$F76)</f>
        <v>0.37820512820512819</v>
      </c>
      <c r="J46" s="155">
        <f>IF('AW Schulen'!$I76=0,"x",E46/'AW Schulen'!$I76)</f>
        <v>0.36249999999999999</v>
      </c>
      <c r="K46" s="155">
        <f>IF('AW Schulen'!$L76=0,"x",F46/'AW Schulen'!$L76)</f>
        <v>0.37349397590361444</v>
      </c>
      <c r="L46" s="156">
        <f>IF('AW Schulen'!$O76=0,"x",G46/'AW Schulen'!$O76)</f>
        <v>0.37278106508875741</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151">
        <f>[1]GtS!$G$54</f>
        <v>0</v>
      </c>
      <c r="D48" s="151">
        <f>[2]GtS!$G$56</f>
        <v>0</v>
      </c>
      <c r="E48" s="151">
        <f>[3]GtS!$G$56</f>
        <v>0</v>
      </c>
      <c r="F48" s="151">
        <f>[4]GtS!$G$56</f>
        <v>0</v>
      </c>
      <c r="G48" s="152">
        <f>[5]GtS!$G$56</f>
        <v>0</v>
      </c>
      <c r="H48" s="155" t="str">
        <f>IF('AW Schulen'!$C60=0,"x",C48/'AW Schulen'!$C60)</f>
        <v>x</v>
      </c>
      <c r="I48" s="155" t="str">
        <f>IF('AW Schulen'!$F60=0,"x",D48/'AW Schulen'!$F60)</f>
        <v>x</v>
      </c>
      <c r="J48" s="155" t="str">
        <f>IF('AW Schulen'!$I60=0,"x",E48/'AW Schulen'!$I60)</f>
        <v>x</v>
      </c>
      <c r="K48" s="155" t="str">
        <f>IF('AW Schulen'!$L60=0,"x",F48/'AW Schulen'!$L60)</f>
        <v>x</v>
      </c>
      <c r="L48" s="156" t="str">
        <f>IF('AW Schulen'!$O60=0,"x",G48/'AW Schulen'!$O60)</f>
        <v>x</v>
      </c>
    </row>
    <row r="49" spans="1:12" ht="9" customHeight="1">
      <c r="A49" s="21" t="s">
        <v>81</v>
      </c>
      <c r="B49" s="120"/>
      <c r="C49" s="151">
        <f>[6]GtS!$G$54</f>
        <v>0</v>
      </c>
      <c r="D49" s="151">
        <f>[7]GtS!$G$56</f>
        <v>0</v>
      </c>
      <c r="E49" s="151">
        <f>[8]GtS!$G$56</f>
        <v>0</v>
      </c>
      <c r="F49" s="151" t="str">
        <f>[9]GtS!$G$56</f>
        <v xml:space="preserve">                                      -   </v>
      </c>
      <c r="G49" s="152">
        <f>[10]GtS!$G$56</f>
        <v>0</v>
      </c>
      <c r="H49" s="155" t="str">
        <f>IF('AW Schulen'!$C61=0,"x",C49/'AW Schulen'!$C61)</f>
        <v>x</v>
      </c>
      <c r="I49" s="155" t="str">
        <f>IF('AW Schulen'!$F61=0,"x",D49/'AW Schulen'!$F61)</f>
        <v>x</v>
      </c>
      <c r="J49" s="155" t="str">
        <f>IF('AW Schulen'!$I61=0,"x",E49/'AW Schulen'!$I61)</f>
        <v>x</v>
      </c>
      <c r="K49" s="155" t="e">
        <f>IF('AW Schulen'!$L61=0,"x",F49/'AW Schulen'!$L61)</f>
        <v>#VALUE!</v>
      </c>
      <c r="L49" s="156" t="str">
        <f>IF('AW Schulen'!$O61=0,"x",G49/'AW Schulen'!$O61)</f>
        <v>x</v>
      </c>
    </row>
    <row r="50" spans="1:12" ht="9" customHeight="1">
      <c r="A50" s="21" t="s">
        <v>82</v>
      </c>
      <c r="B50" s="120"/>
      <c r="C50" s="151">
        <f>[11]GtS!$G$54</f>
        <v>0</v>
      </c>
      <c r="D50" s="151">
        <f>[12]GtS!$G$56</f>
        <v>0</v>
      </c>
      <c r="E50" s="151">
        <f>[13]GtS!$G$56</f>
        <v>0</v>
      </c>
      <c r="F50" s="151">
        <f>[14]GtS!$G$56</f>
        <v>0</v>
      </c>
      <c r="G50" s="152">
        <f>[15]GtS!$G$56</f>
        <v>0</v>
      </c>
      <c r="H50" s="155" t="str">
        <f>IF('AW Schulen'!$C62=0,"x",C50/'AW Schulen'!$C62)</f>
        <v>x</v>
      </c>
      <c r="I50" s="155" t="str">
        <f>IF('AW Schulen'!$F62=0,"x",D50/'AW Schulen'!$F62)</f>
        <v>x</v>
      </c>
      <c r="J50" s="155" t="str">
        <f>IF('AW Schulen'!$I62=0,"x",E50/'AW Schulen'!$I62)</f>
        <v>x</v>
      </c>
      <c r="K50" s="155" t="str">
        <f>IF('AW Schulen'!$L62=0,"x",F50/'AW Schulen'!$L62)</f>
        <v>x</v>
      </c>
      <c r="L50" s="156" t="str">
        <f>IF('AW Schulen'!$O62=0,"x",G50/'AW Schulen'!$O62)</f>
        <v>x</v>
      </c>
    </row>
    <row r="51" spans="1:12" ht="9" customHeight="1">
      <c r="A51" s="21" t="s">
        <v>83</v>
      </c>
      <c r="B51" s="120"/>
      <c r="C51" s="23">
        <f>[16]GtS!$G$54</f>
        <v>2</v>
      </c>
      <c r="D51" s="23">
        <f>[17]GtS!$G$56</f>
        <v>2</v>
      </c>
      <c r="E51" s="23">
        <f>[18]GtS!$G$56</f>
        <v>1</v>
      </c>
      <c r="F51" s="23">
        <f>[19]GtS!$G$56</f>
        <v>1</v>
      </c>
      <c r="G51" s="34">
        <f>[20]GtS!$G$56</f>
        <v>1</v>
      </c>
      <c r="H51" s="155">
        <f>IF('AW Schulen'!$C63=0,"x",C51/'AW Schulen'!$C63)</f>
        <v>6.8965517241379309E-2</v>
      </c>
      <c r="I51" s="155">
        <f>IF('AW Schulen'!$F63=0,"x",D51/'AW Schulen'!$F63)</f>
        <v>6.8965517241379309E-2</v>
      </c>
      <c r="J51" s="155">
        <f>IF('AW Schulen'!$I63=0,"x",E51/'AW Schulen'!$I63)</f>
        <v>3.3333333333333333E-2</v>
      </c>
      <c r="K51" s="155">
        <f>IF('AW Schulen'!$L63=0,"x",F51/'AW Schulen'!$L63)</f>
        <v>3.125E-2</v>
      </c>
      <c r="L51" s="156">
        <f>IF('AW Schulen'!$O63=0,"x",G51/'AW Schulen'!$O63)</f>
        <v>3.0303030303030304E-2</v>
      </c>
    </row>
    <row r="52" spans="1:12" ht="9" customHeight="1">
      <c r="A52" s="21" t="s">
        <v>84</v>
      </c>
      <c r="B52" s="120"/>
      <c r="C52" s="23">
        <f>[21]GtS!$G$54</f>
        <v>0</v>
      </c>
      <c r="D52" s="23">
        <f>[22]GtS!$G$56</f>
        <v>0</v>
      </c>
      <c r="E52" s="23">
        <f>[23]GtS!$G$56</f>
        <v>0</v>
      </c>
      <c r="F52" s="23">
        <f>[24]GtS!$G$56</f>
        <v>0</v>
      </c>
      <c r="G52" s="34">
        <f>[25]GtS!$G$56</f>
        <v>0</v>
      </c>
      <c r="H52" s="155">
        <f>IF('AW Schulen'!$C64=0,"x",C52/'AW Schulen'!$C64)</f>
        <v>0</v>
      </c>
      <c r="I52" s="155">
        <f>IF('AW Schulen'!$F64=0,"x",D52/'AW Schulen'!$F64)</f>
        <v>0</v>
      </c>
      <c r="J52" s="155">
        <f>IF('AW Schulen'!$I64=0,"x",E52/'AW Schulen'!$I64)</f>
        <v>0</v>
      </c>
      <c r="K52" s="155">
        <f>IF('AW Schulen'!$L64=0,"x",F52/'AW Schulen'!$L64)</f>
        <v>0</v>
      </c>
      <c r="L52" s="156">
        <f>IF('AW Schulen'!$O64=0,"x",G52/'AW Schulen'!$O64)</f>
        <v>0</v>
      </c>
    </row>
    <row r="53" spans="1:12" ht="9" customHeight="1">
      <c r="A53" s="21" t="s">
        <v>85</v>
      </c>
      <c r="B53" s="120"/>
      <c r="C53" s="23">
        <f>[26]GtS!$G$54</f>
        <v>1</v>
      </c>
      <c r="D53" s="151">
        <f>[27]GtS!$G$56</f>
        <v>0</v>
      </c>
      <c r="E53" s="151">
        <f>[28]GtS!$G$56</f>
        <v>0</v>
      </c>
      <c r="F53" s="151">
        <f>[29]GtS!$G$56</f>
        <v>0</v>
      </c>
      <c r="G53" s="152">
        <f>[30]GtS!$G$56</f>
        <v>0</v>
      </c>
      <c r="H53" s="155">
        <f>IF('AW Schulen'!$C65=0,"x",C53/'AW Schulen'!$C65)</f>
        <v>0.1</v>
      </c>
      <c r="I53" s="155" t="str">
        <f>IF('AW Schulen'!$F65=0,"x",D53/'AW Schulen'!$F65)</f>
        <v>x</v>
      </c>
      <c r="J53" s="155" t="str">
        <f>IF('AW Schulen'!$I65=0,"x",E53/'AW Schulen'!$I65)</f>
        <v>x</v>
      </c>
      <c r="K53" s="155" t="str">
        <f>IF('AW Schulen'!$L65=0,"x",F53/'AW Schulen'!$L65)</f>
        <v>x</v>
      </c>
      <c r="L53" s="156" t="str">
        <f>IF('AW Schulen'!$O65=0,"x",G53/'AW Schulen'!$O65)</f>
        <v>x</v>
      </c>
    </row>
    <row r="54" spans="1:12" ht="9" customHeight="1">
      <c r="A54" s="21" t="s">
        <v>86</v>
      </c>
      <c r="B54" s="120"/>
      <c r="C54" s="151">
        <f>[66]GtS!$G$54</f>
        <v>0</v>
      </c>
      <c r="D54" s="151">
        <f>[67]GtS!$G$56</f>
        <v>0</v>
      </c>
      <c r="E54" s="151">
        <f>[68]GtS!$G$56</f>
        <v>0</v>
      </c>
      <c r="F54" s="151">
        <f>[69]GtS!$G$56</f>
        <v>0</v>
      </c>
      <c r="G54" s="152">
        <f>[70]GtS!$G$56</f>
        <v>0</v>
      </c>
      <c r="H54" s="155" t="str">
        <f>IF('AW Schulen'!$C66=0,"x",C54/'AW Schulen'!$C66)</f>
        <v>x</v>
      </c>
      <c r="I54" s="155" t="str">
        <f>IF('AW Schulen'!$F66=0,"x",D54/'AW Schulen'!$F66)</f>
        <v>x</v>
      </c>
      <c r="J54" s="155" t="str">
        <f>IF('AW Schulen'!$I66=0,"x",E54/'AW Schulen'!$I66)</f>
        <v>x</v>
      </c>
      <c r="K54" s="155" t="str">
        <f>IF('AW Schulen'!$L66=0,"x",F54/'AW Schulen'!$L66)</f>
        <v>x</v>
      </c>
      <c r="L54" s="156" t="str">
        <f>IF('AW Schulen'!$O66=0,"x",G54/'AW Schulen'!$O66)</f>
        <v>x</v>
      </c>
    </row>
    <row r="55" spans="1:12" ht="9" customHeight="1">
      <c r="A55" s="21" t="s">
        <v>176</v>
      </c>
      <c r="B55" s="120"/>
      <c r="C55" s="23">
        <f>[31]GtS!$G$54</f>
        <v>1</v>
      </c>
      <c r="D55" s="23">
        <f>[32]GtS!$G$56</f>
        <v>2</v>
      </c>
      <c r="E55" s="23">
        <f>[33]GtS!$G$56</f>
        <v>2</v>
      </c>
      <c r="F55" s="23">
        <f>[34]GtS!$G$56</f>
        <v>2</v>
      </c>
      <c r="G55" s="34">
        <f>[35]GtS!$G$56</f>
        <v>2</v>
      </c>
      <c r="H55" s="155">
        <f>IF('AW Schulen'!$C67=0,"x",C55/'AW Schulen'!$C67)</f>
        <v>2.8571428571428571E-2</v>
      </c>
      <c r="I55" s="155">
        <f>IF('AW Schulen'!$F67=0,"x",D55/'AW Schulen'!$F67)</f>
        <v>5.7142857142857141E-2</v>
      </c>
      <c r="J55" s="155">
        <f>IF('AW Schulen'!$I67=0,"x",E55/'AW Schulen'!$I67)</f>
        <v>5.4054054054054057E-2</v>
      </c>
      <c r="K55" s="155">
        <f>IF('AW Schulen'!$L67=0,"x",F55/'AW Schulen'!$L67)</f>
        <v>5.2631578947368418E-2</v>
      </c>
      <c r="L55" s="156">
        <f>IF('AW Schulen'!$O67=0,"x",G55/'AW Schulen'!$O67)</f>
        <v>5.5555555555555552E-2</v>
      </c>
    </row>
    <row r="56" spans="1:12" ht="9" customHeight="1">
      <c r="A56" s="21" t="s">
        <v>88</v>
      </c>
      <c r="B56" s="120"/>
      <c r="C56" s="36">
        <f>[71]GtS!$G$54</f>
        <v>0</v>
      </c>
      <c r="D56" s="36">
        <f>[72]GtS!$G$56</f>
        <v>0</v>
      </c>
      <c r="E56" s="36">
        <f>[73]GtS!$G$56</f>
        <v>0</v>
      </c>
      <c r="F56" s="36">
        <f>[74]GtS!$G$56</f>
        <v>0</v>
      </c>
      <c r="G56" s="37">
        <f>[75]GtS!$G$56</f>
        <v>0</v>
      </c>
      <c r="H56" s="183">
        <f>IF('AW Schulen'!$C68=0,"x",C56/'AW Schulen'!$C68)</f>
        <v>0</v>
      </c>
      <c r="I56" s="183">
        <f>IF('AW Schulen'!$F68=0,"x",D56/'AW Schulen'!$F68)</f>
        <v>0</v>
      </c>
      <c r="J56" s="183">
        <f>IF('AW Schulen'!$I68=0,"x",E56/'AW Schulen'!$I68)</f>
        <v>0</v>
      </c>
      <c r="K56" s="183">
        <f>IF('AW Schulen'!$L68=0,"x",F56/'AW Schulen'!$L68)</f>
        <v>0</v>
      </c>
      <c r="L56" s="197">
        <f>IF('AW Schulen'!$O68=0,"x",G56/'AW Schulen'!$O68)</f>
        <v>0</v>
      </c>
    </row>
    <row r="57" spans="1:12" ht="9" customHeight="1">
      <c r="A57" s="21" t="s">
        <v>89</v>
      </c>
      <c r="B57" s="120"/>
      <c r="C57" s="23">
        <f>[36]GtS!$G$54</f>
        <v>0</v>
      </c>
      <c r="D57" s="23">
        <f>[37]GtS!$G$56</f>
        <v>0</v>
      </c>
      <c r="E57" s="23">
        <f>[38]GtS!$G$56</f>
        <v>0</v>
      </c>
      <c r="F57" s="23">
        <f>[39]GtS!$G$56</f>
        <v>0</v>
      </c>
      <c r="G57" s="34">
        <f>[40]GtS!$G$56</f>
        <v>0</v>
      </c>
      <c r="H57" s="155">
        <f>IF('AW Schulen'!$C69=0,"x",C57/'AW Schulen'!$C69)</f>
        <v>0</v>
      </c>
      <c r="I57" s="155">
        <f>IF('AW Schulen'!$F69=0,"x",D57/'AW Schulen'!$F69)</f>
        <v>0</v>
      </c>
      <c r="J57" s="155">
        <f>IF('AW Schulen'!$I69=0,"x",E57/'AW Schulen'!$I69)</f>
        <v>0</v>
      </c>
      <c r="K57" s="155">
        <f>IF('AW Schulen'!$L69=0,"x",F57/'AW Schulen'!$L69)</f>
        <v>0</v>
      </c>
      <c r="L57" s="156">
        <f>IF('AW Schulen'!$O69=0,"x",G57/'AW Schulen'!$O69)</f>
        <v>0</v>
      </c>
    </row>
    <row r="58" spans="1:12" ht="9" customHeight="1">
      <c r="A58" s="21" t="s">
        <v>90</v>
      </c>
      <c r="B58" s="120"/>
      <c r="C58" s="23">
        <f>[41]GtS!$G$54</f>
        <v>0</v>
      </c>
      <c r="D58" s="23">
        <f>[42]GtS!$G$56</f>
        <v>0</v>
      </c>
      <c r="E58" s="23">
        <f>[43]GtS!$G$56</f>
        <v>0</v>
      </c>
      <c r="F58" s="23">
        <f>[44]GtS!$G$56</f>
        <v>0</v>
      </c>
      <c r="G58" s="34">
        <f>[45]GtS!$G$56</f>
        <v>1</v>
      </c>
      <c r="H58" s="155">
        <f>IF('AW Schulen'!$C70=0,"x",C58/'AW Schulen'!$C70)</f>
        <v>0</v>
      </c>
      <c r="I58" s="155">
        <f>IF('AW Schulen'!$F70=0,"x",D58/'AW Schulen'!$F70)</f>
        <v>0</v>
      </c>
      <c r="J58" s="155">
        <f>IF('AW Schulen'!$I70=0,"x",E58/'AW Schulen'!$I70)</f>
        <v>0</v>
      </c>
      <c r="K58" s="155">
        <f>IF('AW Schulen'!$L70=0,"x",F58/'AW Schulen'!$L70)</f>
        <v>0</v>
      </c>
      <c r="L58" s="156">
        <f>IF('AW Schulen'!$O70=0,"x",G58/'AW Schulen'!$O70)</f>
        <v>0.1</v>
      </c>
    </row>
    <row r="59" spans="1:12" ht="9" customHeight="1">
      <c r="A59" s="21" t="s">
        <v>91</v>
      </c>
      <c r="B59" s="120"/>
      <c r="C59" s="23">
        <f>[46]GtS!$G$54</f>
        <v>0</v>
      </c>
      <c r="D59" s="23">
        <f>[47]GtS!$G$56</f>
        <v>0</v>
      </c>
      <c r="E59" s="23">
        <f>[48]GtS!$G$56</f>
        <v>0</v>
      </c>
      <c r="F59" s="23">
        <f>[49]GtS!$G$56</f>
        <v>0</v>
      </c>
      <c r="G59" s="34">
        <f>[50]GtS!$G$56</f>
        <v>0</v>
      </c>
      <c r="H59" s="155">
        <f>IF('AW Schulen'!$C71=0,"x",C59/'AW Schulen'!$C71)</f>
        <v>0</v>
      </c>
      <c r="I59" s="155">
        <f>IF('AW Schulen'!$F71=0,"x",D59/'AW Schulen'!$F71)</f>
        <v>0</v>
      </c>
      <c r="J59" s="155">
        <f>IF('AW Schulen'!$I71=0,"x",E59/'AW Schulen'!$I71)</f>
        <v>0</v>
      </c>
      <c r="K59" s="155">
        <f>IF('AW Schulen'!$L71=0,"x",F59/'AW Schulen'!$L71)</f>
        <v>0</v>
      </c>
      <c r="L59" s="156">
        <f>IF('AW Schulen'!$O71=0,"x",G59/'AW Schulen'!$O71)</f>
        <v>0</v>
      </c>
    </row>
    <row r="60" spans="1:12" ht="9" customHeight="1">
      <c r="A60" s="21" t="s">
        <v>92</v>
      </c>
      <c r="B60" s="120"/>
      <c r="C60" s="23">
        <f>[51]GtS!$G$54</f>
        <v>14</v>
      </c>
      <c r="D60" s="23">
        <f>[52]GtS!$G$56</f>
        <v>16</v>
      </c>
      <c r="E60" s="23">
        <f>[53]GtS!$G$56</f>
        <v>17</v>
      </c>
      <c r="F60" s="23">
        <f>[54]GtS!$G$56</f>
        <v>17</v>
      </c>
      <c r="G60" s="34">
        <f>[55]GtS!$G$56</f>
        <v>17</v>
      </c>
      <c r="H60" s="155">
        <f>IF('AW Schulen'!$C72=0,"x",C60/'AW Schulen'!$C72)</f>
        <v>0.2413793103448276</v>
      </c>
      <c r="I60" s="155">
        <f>IF('AW Schulen'!$F72=0,"x",D60/'AW Schulen'!$F72)</f>
        <v>0.27586206896551724</v>
      </c>
      <c r="J60" s="155">
        <f>IF('AW Schulen'!$I72=0,"x",E60/'AW Schulen'!$I72)</f>
        <v>0.29310344827586204</v>
      </c>
      <c r="K60" s="155">
        <f>IF('AW Schulen'!$L72=0,"x",F60/'AW Schulen'!$L72)</f>
        <v>0.27868852459016391</v>
      </c>
      <c r="L60" s="156">
        <f>IF('AW Schulen'!$O72=0,"x",G60/'AW Schulen'!$O72)</f>
        <v>0.25</v>
      </c>
    </row>
    <row r="61" spans="1:12" ht="9" customHeight="1">
      <c r="A61" s="21" t="s">
        <v>93</v>
      </c>
      <c r="B61" s="120"/>
      <c r="C61" s="36">
        <f>[76]GtS!$G$54</f>
        <v>0</v>
      </c>
      <c r="D61" s="36">
        <f>[77]GtS!$G$56</f>
        <v>0</v>
      </c>
      <c r="E61" s="36">
        <f>[78]GtS!$G$56</f>
        <v>0</v>
      </c>
      <c r="F61" s="36">
        <f>[79]GtS!$G$56</f>
        <v>0</v>
      </c>
      <c r="G61" s="37">
        <f>[80]GtS!$G$56</f>
        <v>0</v>
      </c>
      <c r="H61" s="183" t="str">
        <f>IF('AW Schulen'!$C73=0,".",C61/'AW Schulen'!$C73)</f>
        <v>.</v>
      </c>
      <c r="I61" s="183" t="str">
        <f>IF('AW Schulen'!$F73=0,".",D61/'AW Schulen'!$F73)</f>
        <v>.</v>
      </c>
      <c r="J61" s="183" t="str">
        <f>IF('AW Schulen'!$I73=0,".",E61/'AW Schulen'!$I73)</f>
        <v>.</v>
      </c>
      <c r="K61" s="183" t="str">
        <f>IF('AW Schulen'!$L73=0,".",F61/'AW Schulen'!$L73)</f>
        <v>.</v>
      </c>
      <c r="L61" s="197" t="str">
        <f>IF('AW Schulen'!$O73=0,".",G61/'AW Schulen'!$O73)</f>
        <v>.</v>
      </c>
    </row>
    <row r="62" spans="1:12" ht="9" customHeight="1">
      <c r="A62" s="21" t="s">
        <v>94</v>
      </c>
      <c r="B62" s="120"/>
      <c r="C62" s="23">
        <f>[56]GtS!$G$54</f>
        <v>0</v>
      </c>
      <c r="D62" s="23">
        <f>[57]GtS!$G$56</f>
        <v>0</v>
      </c>
      <c r="E62" s="23">
        <f>[58]GtS!$G$56</f>
        <v>0</v>
      </c>
      <c r="F62" s="23">
        <f>[59]GtS!$G$56</f>
        <v>0</v>
      </c>
      <c r="G62" s="34">
        <f>[60]GtS!$G$56</f>
        <v>0</v>
      </c>
      <c r="H62" s="155">
        <f>IF('AW Schulen'!$C74=0,"x",C62/'AW Schulen'!$C74)</f>
        <v>0</v>
      </c>
      <c r="I62" s="155">
        <f>IF('AW Schulen'!$F74=0,"x",D62/'AW Schulen'!$F74)</f>
        <v>0</v>
      </c>
      <c r="J62" s="155">
        <f>IF('AW Schulen'!$I74=0,"x",E62/'AW Schulen'!$I74)</f>
        <v>0</v>
      </c>
      <c r="K62" s="155">
        <f>IF('AW Schulen'!$L74=0,"x",F62/'AW Schulen'!$L74)</f>
        <v>0</v>
      </c>
      <c r="L62" s="156">
        <f>IF('AW Schulen'!$O74=0,"x",G62/'AW Schulen'!$O74)</f>
        <v>0</v>
      </c>
    </row>
    <row r="63" spans="1:12" ht="9" customHeight="1">
      <c r="A63" s="21" t="s">
        <v>95</v>
      </c>
      <c r="B63" s="120"/>
      <c r="C63" s="23">
        <f>[61]GtS!$G$54</f>
        <v>0</v>
      </c>
      <c r="D63" s="23">
        <f>[62]GtS!$G$56</f>
        <v>1</v>
      </c>
      <c r="E63" s="23">
        <f>[63]GtS!$G$56</f>
        <v>0</v>
      </c>
      <c r="F63" s="23">
        <f>[64]GtS!$G$56</f>
        <v>0</v>
      </c>
      <c r="G63" s="34">
        <f>[65]GtS!$G$56</f>
        <v>0</v>
      </c>
      <c r="H63" s="155">
        <f>IF('AW Schulen'!$C75=0,"x",C63/'AW Schulen'!$C75)</f>
        <v>0</v>
      </c>
      <c r="I63" s="155">
        <f>IF('AW Schulen'!$F75=0,"x",D63/'AW Schulen'!$F75)</f>
        <v>0.1</v>
      </c>
      <c r="J63" s="155">
        <f>IF('AW Schulen'!$I75=0,"x",E63/'AW Schulen'!$I75)</f>
        <v>0</v>
      </c>
      <c r="K63" s="155">
        <f>IF('AW Schulen'!$L75=0,"x",F63/'AW Schulen'!$L75)</f>
        <v>0</v>
      </c>
      <c r="L63" s="156">
        <f>IF('AW Schulen'!$O75=0,"x",G63/'AW Schulen'!$O75)</f>
        <v>0</v>
      </c>
    </row>
    <row r="64" spans="1:12" ht="8.65" customHeight="1">
      <c r="A64" s="21" t="s">
        <v>96</v>
      </c>
      <c r="B64" s="120"/>
      <c r="C64" s="23">
        <f t="shared" ref="C64:E64" si="37">SUM(C48:C63)</f>
        <v>18</v>
      </c>
      <c r="D64" s="23">
        <f t="shared" si="37"/>
        <v>21</v>
      </c>
      <c r="E64" s="23">
        <f t="shared" si="37"/>
        <v>20</v>
      </c>
      <c r="F64" s="23">
        <f t="shared" ref="F64:G64" si="38">SUM(F48:F63)</f>
        <v>20</v>
      </c>
      <c r="G64" s="34">
        <f t="shared" si="38"/>
        <v>21</v>
      </c>
      <c r="H64" s="155">
        <f>IF('AW Schulen'!$C76=0,"x",C64/'AW Schulen'!$C76)</f>
        <v>0.1125</v>
      </c>
      <c r="I64" s="155">
        <f>IF('AW Schulen'!$F76=0,"x",D64/'AW Schulen'!$F76)</f>
        <v>0.13461538461538461</v>
      </c>
      <c r="J64" s="155">
        <f>IF('AW Schulen'!$I76=0,"x",E64/'AW Schulen'!$I76)</f>
        <v>0.125</v>
      </c>
      <c r="K64" s="155">
        <f>IF('AW Schulen'!$L76=0,"x",F64/'AW Schulen'!$L76)</f>
        <v>0.12048192771084337</v>
      </c>
      <c r="L64" s="156">
        <f>IF('AW Schulen'!$O76=0,"x",G64/'AW Schulen'!$O76)</f>
        <v>0.1242603550295858</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151">
        <f>[1]GtS!$H$54</f>
        <v>0</v>
      </c>
      <c r="D66" s="151">
        <f>[2]GtS!$H$56</f>
        <v>0</v>
      </c>
      <c r="E66" s="151">
        <f>[3]GtS!$H$56</f>
        <v>0</v>
      </c>
      <c r="F66" s="151">
        <f>[4]GtS!$H$56</f>
        <v>0</v>
      </c>
      <c r="G66" s="152">
        <f>[5]GtS!$H$56</f>
        <v>0</v>
      </c>
      <c r="H66" s="155" t="str">
        <f>IF('AW Schulen'!$C60=0,"x",C66/'AW Schulen'!$C60)</f>
        <v>x</v>
      </c>
      <c r="I66" s="155" t="str">
        <f>IF('AW Schulen'!$F60=0,"x",D66/'AW Schulen'!$F60)</f>
        <v>x</v>
      </c>
      <c r="J66" s="155" t="str">
        <f>IF('AW Schulen'!$I60=0,"x",E66/'AW Schulen'!$I60)</f>
        <v>x</v>
      </c>
      <c r="K66" s="155" t="str">
        <f>IF('AW Schulen'!$L60=0,"x",F66/'AW Schulen'!$L60)</f>
        <v>x</v>
      </c>
      <c r="L66" s="156" t="str">
        <f>IF('AW Schulen'!$O60=0,"x",G66/'AW Schulen'!$O60)</f>
        <v>x</v>
      </c>
    </row>
    <row r="67" spans="1:12" ht="10.15" customHeight="1">
      <c r="A67" s="224" t="s">
        <v>81</v>
      </c>
      <c r="B67" s="120"/>
      <c r="C67" s="151">
        <f>[6]GtS!$H$54</f>
        <v>0</v>
      </c>
      <c r="D67" s="151">
        <f>[7]GtS!$H$56</f>
        <v>0</v>
      </c>
      <c r="E67" s="151">
        <f>[8]GtS!$H$56</f>
        <v>0</v>
      </c>
      <c r="F67" s="151" t="str">
        <f>[9]GtS!$H$56</f>
        <v xml:space="preserve">                                      -   </v>
      </c>
      <c r="G67" s="152">
        <f>[10]GtS!$H$56</f>
        <v>0</v>
      </c>
      <c r="H67" s="155" t="str">
        <f>IF('AW Schulen'!$C61=0,"x",C67/'AW Schulen'!$C61)</f>
        <v>x</v>
      </c>
      <c r="I67" s="155" t="str">
        <f>IF('AW Schulen'!$F61=0,"x",D67/'AW Schulen'!$F61)</f>
        <v>x</v>
      </c>
      <c r="J67" s="155" t="str">
        <f>IF('AW Schulen'!$I61=0,"x",E67/'AW Schulen'!$I61)</f>
        <v>x</v>
      </c>
      <c r="K67" s="155" t="e">
        <f>IF('AW Schulen'!$L61=0,"x",F67/'AW Schulen'!$L61)</f>
        <v>#VALUE!</v>
      </c>
      <c r="L67" s="156" t="str">
        <f>IF('AW Schulen'!$O61=0,"x",G67/'AW Schulen'!$O61)</f>
        <v>x</v>
      </c>
    </row>
    <row r="68" spans="1:12" ht="10.15" customHeight="1">
      <c r="A68" s="224" t="s">
        <v>82</v>
      </c>
      <c r="B68" s="120"/>
      <c r="C68" s="151">
        <f>[11]GtS!$H$54</f>
        <v>0</v>
      </c>
      <c r="D68" s="151">
        <f>[12]GtS!$H$56</f>
        <v>0</v>
      </c>
      <c r="E68" s="151">
        <f>[13]GtS!$H$56</f>
        <v>0</v>
      </c>
      <c r="F68" s="151">
        <f>[14]GtS!$H$56</f>
        <v>0</v>
      </c>
      <c r="G68" s="152">
        <f>[15]GtS!$H$56</f>
        <v>0</v>
      </c>
      <c r="H68" s="155" t="str">
        <f>IF('AW Schulen'!$C62=0,"x",C68/'AW Schulen'!$C62)</f>
        <v>x</v>
      </c>
      <c r="I68" s="155" t="str">
        <f>IF('AW Schulen'!$F62=0,"x",D68/'AW Schulen'!$F62)</f>
        <v>x</v>
      </c>
      <c r="J68" s="155" t="str">
        <f>IF('AW Schulen'!$I62=0,"x",E68/'AW Schulen'!$I62)</f>
        <v>x</v>
      </c>
      <c r="K68" s="155" t="str">
        <f>IF('AW Schulen'!$L62=0,"x",F68/'AW Schulen'!$L62)</f>
        <v>x</v>
      </c>
      <c r="L68" s="156" t="str">
        <f>IF('AW Schulen'!$O62=0,"x",G68/'AW Schulen'!$O62)</f>
        <v>x</v>
      </c>
    </row>
    <row r="69" spans="1:12" ht="9" customHeight="1">
      <c r="A69" s="21" t="s">
        <v>83</v>
      </c>
      <c r="B69" s="120"/>
      <c r="C69" s="23">
        <f>[16]GtS!$H$54</f>
        <v>4</v>
      </c>
      <c r="D69" s="23">
        <f>[17]GtS!$H$56</f>
        <v>4</v>
      </c>
      <c r="E69" s="23">
        <f>[18]GtS!$H$56</f>
        <v>4</v>
      </c>
      <c r="F69" s="23">
        <f>[19]GtS!$H$56</f>
        <v>3</v>
      </c>
      <c r="G69" s="34">
        <f>[20]GtS!$H$56</f>
        <v>3</v>
      </c>
      <c r="H69" s="155">
        <f>IF('AW Schulen'!$C63=0,"x",C69/'AW Schulen'!$C63)</f>
        <v>0.13793103448275862</v>
      </c>
      <c r="I69" s="155">
        <f>IF('AW Schulen'!$F63=0,"x",D69/'AW Schulen'!$F63)</f>
        <v>0.13793103448275862</v>
      </c>
      <c r="J69" s="155">
        <f>IF('AW Schulen'!$I63=0,"x",E69/'AW Schulen'!$I63)</f>
        <v>0.13333333333333333</v>
      </c>
      <c r="K69" s="155">
        <f>IF('AW Schulen'!$L63=0,"x",F69/'AW Schulen'!$L63)</f>
        <v>9.375E-2</v>
      </c>
      <c r="L69" s="156">
        <f>IF('AW Schulen'!$O63=0,"x",G69/'AW Schulen'!$O63)</f>
        <v>9.0909090909090912E-2</v>
      </c>
    </row>
    <row r="70" spans="1:12" ht="9" customHeight="1">
      <c r="A70" s="21" t="s">
        <v>84</v>
      </c>
      <c r="B70" s="120"/>
      <c r="C70" s="23">
        <f>[21]GtS!$H$54</f>
        <v>0</v>
      </c>
      <c r="D70" s="23">
        <f>[22]GtS!$H$56</f>
        <v>0</v>
      </c>
      <c r="E70" s="23">
        <f>[23]GtS!$H$56</f>
        <v>0</v>
      </c>
      <c r="F70" s="23">
        <f>[24]GtS!$H$56</f>
        <v>0</v>
      </c>
      <c r="G70" s="34">
        <f>[25]GtS!$H$56</f>
        <v>0</v>
      </c>
      <c r="H70" s="155">
        <f>IF('AW Schulen'!$C64=0,"x",C70/'AW Schulen'!$C64)</f>
        <v>0</v>
      </c>
      <c r="I70" s="155">
        <f>IF('AW Schulen'!$F64=0,"x",D70/'AW Schulen'!$F64)</f>
        <v>0</v>
      </c>
      <c r="J70" s="155">
        <f>IF('AW Schulen'!$I64=0,"x",E70/'AW Schulen'!$I64)</f>
        <v>0</v>
      </c>
      <c r="K70" s="155">
        <f>IF('AW Schulen'!$L64=0,"x",F70/'AW Schulen'!$L64)</f>
        <v>0</v>
      </c>
      <c r="L70" s="156">
        <f>IF('AW Schulen'!$O64=0,"x",G70/'AW Schulen'!$O64)</f>
        <v>0</v>
      </c>
    </row>
    <row r="71" spans="1:12" ht="9" customHeight="1">
      <c r="A71" s="21" t="s">
        <v>85</v>
      </c>
      <c r="B71" s="120"/>
      <c r="C71" s="23">
        <f>[26]GtS!$H$54</f>
        <v>5</v>
      </c>
      <c r="D71" s="151">
        <f>[27]GtS!$H$56</f>
        <v>0</v>
      </c>
      <c r="E71" s="151">
        <f>[28]GtS!$H$56</f>
        <v>0</v>
      </c>
      <c r="F71" s="151">
        <f>[29]GtS!$H$56</f>
        <v>0</v>
      </c>
      <c r="G71" s="152">
        <f>[30]GtS!$H$56</f>
        <v>0</v>
      </c>
      <c r="H71" s="155">
        <f>IF('AW Schulen'!$C65=0,"x",C71/'AW Schulen'!$C65)</f>
        <v>0.5</v>
      </c>
      <c r="I71" s="155" t="str">
        <f>IF('AW Schulen'!$F65=0,"x",D71/'AW Schulen'!$F65)</f>
        <v>x</v>
      </c>
      <c r="J71" s="155" t="str">
        <f>IF('AW Schulen'!$I65=0,"x",E71/'AW Schulen'!$I65)</f>
        <v>x</v>
      </c>
      <c r="K71" s="155" t="str">
        <f>IF('AW Schulen'!$L65=0,"x",F71/'AW Schulen'!$L65)</f>
        <v>x</v>
      </c>
      <c r="L71" s="156" t="str">
        <f>IF('AW Schulen'!$O65=0,"x",G71/'AW Schulen'!$O65)</f>
        <v>x</v>
      </c>
    </row>
    <row r="72" spans="1:12" ht="9" customHeight="1">
      <c r="A72" s="21" t="s">
        <v>86</v>
      </c>
      <c r="B72" s="120"/>
      <c r="C72" s="151">
        <f>[66]GtS!$H$54</f>
        <v>0</v>
      </c>
      <c r="D72" s="151">
        <f>[67]GtS!$H$56</f>
        <v>0</v>
      </c>
      <c r="E72" s="151">
        <f>[68]GtS!$H$56</f>
        <v>0</v>
      </c>
      <c r="F72" s="151">
        <f>[69]GtS!$H$56</f>
        <v>0</v>
      </c>
      <c r="G72" s="152">
        <f>[70]GtS!$H$56</f>
        <v>0</v>
      </c>
      <c r="H72" s="155" t="str">
        <f>IF('AW Schulen'!$C66=0,"x",C72/'AW Schulen'!$C66)</f>
        <v>x</v>
      </c>
      <c r="I72" s="155" t="str">
        <f>IF('AW Schulen'!$F66=0,"x",D72/'AW Schulen'!$F66)</f>
        <v>x</v>
      </c>
      <c r="J72" s="155" t="str">
        <f>IF('AW Schulen'!$I66=0,"x",E72/'AW Schulen'!$I66)</f>
        <v>x</v>
      </c>
      <c r="K72" s="155" t="str">
        <f>IF('AW Schulen'!$L66=0,"x",F72/'AW Schulen'!$L66)</f>
        <v>x</v>
      </c>
      <c r="L72" s="156" t="str">
        <f>IF('AW Schulen'!$O66=0,"x",G72/'AW Schulen'!$O66)</f>
        <v>x</v>
      </c>
    </row>
    <row r="73" spans="1:12" ht="9" customHeight="1">
      <c r="A73" s="21" t="s">
        <v>176</v>
      </c>
      <c r="B73" s="120"/>
      <c r="C73" s="23">
        <f>[31]GtS!$H$54</f>
        <v>10</v>
      </c>
      <c r="D73" s="23">
        <f>[32]GtS!$H$56</f>
        <v>10</v>
      </c>
      <c r="E73" s="23">
        <f>[33]GtS!$H$56</f>
        <v>10</v>
      </c>
      <c r="F73" s="23">
        <f>[34]GtS!$H$56</f>
        <v>11</v>
      </c>
      <c r="G73" s="34">
        <f>[35]GtS!$H$56</f>
        <v>10</v>
      </c>
      <c r="H73" s="155">
        <f>IF('AW Schulen'!$C67=0,"x",C73/'AW Schulen'!$C67)</f>
        <v>0.2857142857142857</v>
      </c>
      <c r="I73" s="155">
        <f>IF('AW Schulen'!$F67=0,"x",D73/'AW Schulen'!$F67)</f>
        <v>0.2857142857142857</v>
      </c>
      <c r="J73" s="155">
        <f>IF('AW Schulen'!$I67=0,"x",E73/'AW Schulen'!$I67)</f>
        <v>0.27027027027027029</v>
      </c>
      <c r="K73" s="155">
        <f>IF('AW Schulen'!$L67=0,"x",F73/'AW Schulen'!$L67)</f>
        <v>0.28947368421052633</v>
      </c>
      <c r="L73" s="156">
        <f>IF('AW Schulen'!$O67=0,"x",G73/'AW Schulen'!$O67)</f>
        <v>0.27777777777777779</v>
      </c>
    </row>
    <row r="74" spans="1:12" ht="9" customHeight="1">
      <c r="A74" s="21" t="s">
        <v>88</v>
      </c>
      <c r="B74" s="120"/>
      <c r="C74" s="36">
        <f>[71]GtS!$H$54</f>
        <v>0</v>
      </c>
      <c r="D74" s="36">
        <f>[72]GtS!$H$56</f>
        <v>0</v>
      </c>
      <c r="E74" s="36">
        <f>[73]GtS!$H$56</f>
        <v>0</v>
      </c>
      <c r="F74" s="36">
        <f>[74]GtS!$H$56</f>
        <v>0</v>
      </c>
      <c r="G74" s="37">
        <f>[75]GtS!$H$56</f>
        <v>0</v>
      </c>
      <c r="H74" s="183">
        <f>IF('AW Schulen'!$C68=0,"x",C74/'AW Schulen'!$C68)</f>
        <v>0</v>
      </c>
      <c r="I74" s="183">
        <f>IF('AW Schulen'!$F68=0,"x",D74/'AW Schulen'!$F68)</f>
        <v>0</v>
      </c>
      <c r="J74" s="183">
        <f>IF('AW Schulen'!$I68=0,"x",E74/'AW Schulen'!$I68)</f>
        <v>0</v>
      </c>
      <c r="K74" s="183">
        <f>IF('AW Schulen'!$L68=0,"x",F74/'AW Schulen'!$L68)</f>
        <v>0</v>
      </c>
      <c r="L74" s="197">
        <f>IF('AW Schulen'!$O68=0,"x",G74/'AW Schulen'!$O68)</f>
        <v>0</v>
      </c>
    </row>
    <row r="75" spans="1:12" ht="9" customHeight="1">
      <c r="A75" s="21" t="s">
        <v>89</v>
      </c>
      <c r="B75" s="120"/>
      <c r="C75" s="23">
        <f>[36]GtS!$H$54</f>
        <v>0</v>
      </c>
      <c r="D75" s="23">
        <f>[37]GtS!$H$56</f>
        <v>0</v>
      </c>
      <c r="E75" s="23">
        <f>[38]GtS!$H$56</f>
        <v>0</v>
      </c>
      <c r="F75" s="23">
        <f>[39]GtS!$H$56</f>
        <v>0</v>
      </c>
      <c r="G75" s="34">
        <f>[40]GtS!$H$56</f>
        <v>0</v>
      </c>
      <c r="H75" s="155">
        <f>IF('AW Schulen'!$C69=0,"x",C75/'AW Schulen'!$C69)</f>
        <v>0</v>
      </c>
      <c r="I75" s="155">
        <f>IF('AW Schulen'!$F69=0,"x",D75/'AW Schulen'!$F69)</f>
        <v>0</v>
      </c>
      <c r="J75" s="155">
        <f>IF('AW Schulen'!$I69=0,"x",E75/'AW Schulen'!$I69)</f>
        <v>0</v>
      </c>
      <c r="K75" s="155">
        <f>IF('AW Schulen'!$L69=0,"x",F75/'AW Schulen'!$L69)</f>
        <v>0</v>
      </c>
      <c r="L75" s="156">
        <f>IF('AW Schulen'!$O69=0,"x",G75/'AW Schulen'!$O69)</f>
        <v>0</v>
      </c>
    </row>
    <row r="76" spans="1:12" ht="9" customHeight="1">
      <c r="A76" s="21" t="s">
        <v>90</v>
      </c>
      <c r="B76" s="120"/>
      <c r="C76" s="23">
        <f>[41]GtS!$H$54</f>
        <v>1</v>
      </c>
      <c r="D76" s="23">
        <f>[42]GtS!$H$56</f>
        <v>1</v>
      </c>
      <c r="E76" s="23">
        <f>[43]GtS!$H$56</f>
        <v>1</v>
      </c>
      <c r="F76" s="23">
        <f>[44]GtS!$H$56</f>
        <v>1</v>
      </c>
      <c r="G76" s="34">
        <f>[45]GtS!$H$56</f>
        <v>1</v>
      </c>
      <c r="H76" s="155">
        <f>IF('AW Schulen'!$C70=0,"x",C76/'AW Schulen'!$C70)</f>
        <v>0.16666666666666666</v>
      </c>
      <c r="I76" s="155">
        <f>IF('AW Schulen'!$F70=0,"x",D76/'AW Schulen'!$F70)</f>
        <v>0.14285714285714285</v>
      </c>
      <c r="J76" s="155">
        <f>IF('AW Schulen'!$I70=0,"x",E76/'AW Schulen'!$I70)</f>
        <v>0.1111111111111111</v>
      </c>
      <c r="K76" s="155">
        <f>IF('AW Schulen'!$L70=0,"x",F76/'AW Schulen'!$L70)</f>
        <v>0.1</v>
      </c>
      <c r="L76" s="156">
        <f>IF('AW Schulen'!$O70=0,"x",G76/'AW Schulen'!$O70)</f>
        <v>0.1</v>
      </c>
    </row>
    <row r="77" spans="1:12" ht="9" customHeight="1">
      <c r="A77" s="21" t="s">
        <v>91</v>
      </c>
      <c r="B77" s="120"/>
      <c r="C77" s="23">
        <f>[46]GtS!$H$54</f>
        <v>2</v>
      </c>
      <c r="D77" s="23">
        <f>[47]GtS!$H$56</f>
        <v>2</v>
      </c>
      <c r="E77" s="23">
        <f>[48]GtS!$H$56</f>
        <v>2</v>
      </c>
      <c r="F77" s="23">
        <f>[49]GtS!$H$56</f>
        <v>2</v>
      </c>
      <c r="G77" s="34">
        <f>[50]GtS!$H$56</f>
        <v>1</v>
      </c>
      <c r="H77" s="155">
        <f>IF('AW Schulen'!$C71=0,"x",C77/'AW Schulen'!$C71)</f>
        <v>1</v>
      </c>
      <c r="I77" s="155">
        <f>IF('AW Schulen'!$F71=0,"x",D77/'AW Schulen'!$F71)</f>
        <v>1</v>
      </c>
      <c r="J77" s="155">
        <f>IF('AW Schulen'!$I71=0,"x",E77/'AW Schulen'!$I71)</f>
        <v>1</v>
      </c>
      <c r="K77" s="155">
        <f>IF('AW Schulen'!$L71=0,"x",F77/'AW Schulen'!$L71)</f>
        <v>1</v>
      </c>
      <c r="L77" s="156">
        <f>IF('AW Schulen'!$O71=0,"x",G77/'AW Schulen'!$O71)</f>
        <v>1</v>
      </c>
    </row>
    <row r="78" spans="1:12" ht="9" customHeight="1">
      <c r="A78" s="21" t="s">
        <v>92</v>
      </c>
      <c r="B78" s="120"/>
      <c r="C78" s="23">
        <f>[51]GtS!$H$54</f>
        <v>22</v>
      </c>
      <c r="D78" s="23">
        <f>[52]GtS!$H$56</f>
        <v>22</v>
      </c>
      <c r="E78" s="23">
        <f>[53]GtS!$H$56</f>
        <v>23</v>
      </c>
      <c r="F78" s="23">
        <f>[54]GtS!$H$56</f>
        <v>25</v>
      </c>
      <c r="G78" s="34">
        <f>[55]GtS!$H$56</f>
        <v>29</v>
      </c>
      <c r="H78" s="155">
        <f>IF('AW Schulen'!$C72=0,"x",C78/'AW Schulen'!$C72)</f>
        <v>0.37931034482758619</v>
      </c>
      <c r="I78" s="155">
        <f>IF('AW Schulen'!$F72=0,"x",D78/'AW Schulen'!$F72)</f>
        <v>0.37931034482758619</v>
      </c>
      <c r="J78" s="155">
        <f>IF('AW Schulen'!$I72=0,"x",E78/'AW Schulen'!$I72)</f>
        <v>0.39655172413793105</v>
      </c>
      <c r="K78" s="155">
        <f>IF('AW Schulen'!$L72=0,"x",F78/'AW Schulen'!$L72)</f>
        <v>0.4098360655737705</v>
      </c>
      <c r="L78" s="156">
        <f>IF('AW Schulen'!$O72=0,"x",G78/'AW Schulen'!$O72)</f>
        <v>0.4264705882352941</v>
      </c>
    </row>
    <row r="79" spans="1:12" ht="9" customHeight="1">
      <c r="A79" s="21" t="s">
        <v>93</v>
      </c>
      <c r="B79" s="120"/>
      <c r="C79" s="36">
        <f>[76]GtS!$H$54</f>
        <v>0</v>
      </c>
      <c r="D79" s="36">
        <f>[77]GtS!$H$56</f>
        <v>0</v>
      </c>
      <c r="E79" s="36">
        <f>[78]GtS!$H$56</f>
        <v>0</v>
      </c>
      <c r="F79" s="36">
        <f>[79]GtS!$H$56</f>
        <v>0</v>
      </c>
      <c r="G79" s="37">
        <f>[80]GtS!$H$56</f>
        <v>0</v>
      </c>
      <c r="H79" s="183" t="str">
        <f>IF('AW Schulen'!$C73=0,".",C79/'AW Schulen'!$C73)</f>
        <v>.</v>
      </c>
      <c r="I79" s="183" t="str">
        <f>IF('AW Schulen'!$F73=0,".",D79/'AW Schulen'!$F73)</f>
        <v>.</v>
      </c>
      <c r="J79" s="183" t="str">
        <f>IF('AW Schulen'!$I73=0,".",E79/'AW Schulen'!$I73)</f>
        <v>.</v>
      </c>
      <c r="K79" s="183" t="str">
        <f>IF('AW Schulen'!$L73=0,".",F79/'AW Schulen'!$L73)</f>
        <v>.</v>
      </c>
      <c r="L79" s="197" t="str">
        <f>IF('AW Schulen'!$O73=0,".",G79/'AW Schulen'!$O73)</f>
        <v>.</v>
      </c>
    </row>
    <row r="80" spans="1:12" ht="9" customHeight="1">
      <c r="A80" s="21" t="s">
        <v>94</v>
      </c>
      <c r="B80" s="120"/>
      <c r="C80" s="23">
        <f>[56]GtS!$H$54</f>
        <v>0</v>
      </c>
      <c r="D80" s="23">
        <f>[57]GtS!$H$56</f>
        <v>0</v>
      </c>
      <c r="E80" s="23">
        <f>[58]GtS!$H$56</f>
        <v>0</v>
      </c>
      <c r="F80" s="23">
        <f>[59]GtS!$H$56</f>
        <v>0</v>
      </c>
      <c r="G80" s="34">
        <f>[60]GtS!$H$56</f>
        <v>0</v>
      </c>
      <c r="H80" s="155">
        <f>IF('AW Schulen'!$C74=0,"x",C80/'AW Schulen'!$C74)</f>
        <v>0</v>
      </c>
      <c r="I80" s="155">
        <f>IF('AW Schulen'!$F74=0,"x",D80/'AW Schulen'!$F74)</f>
        <v>0</v>
      </c>
      <c r="J80" s="155">
        <f>IF('AW Schulen'!$I74=0,"x",E80/'AW Schulen'!$I74)</f>
        <v>0</v>
      </c>
      <c r="K80" s="155">
        <f>IF('AW Schulen'!$L74=0,"x",F80/'AW Schulen'!$L74)</f>
        <v>0</v>
      </c>
      <c r="L80" s="156">
        <f>IF('AW Schulen'!$O74=0,"x",G80/'AW Schulen'!$O74)</f>
        <v>0</v>
      </c>
    </row>
    <row r="81" spans="1:12" ht="9" customHeight="1">
      <c r="A81" s="21" t="s">
        <v>95</v>
      </c>
      <c r="B81" s="120"/>
      <c r="C81" s="23">
        <f>[61]GtS!$H$54</f>
        <v>3</v>
      </c>
      <c r="D81" s="23">
        <f>[62]GtS!$H$56</f>
        <v>3</v>
      </c>
      <c r="E81" s="23">
        <f>[63]GtS!$H$56</f>
        <v>3</v>
      </c>
      <c r="F81" s="23">
        <f>[64]GtS!$H$56</f>
        <v>3</v>
      </c>
      <c r="G81" s="34">
        <f>[65]GtS!$H$56</f>
        <v>3</v>
      </c>
      <c r="H81" s="155">
        <f>IF('AW Schulen'!$C75=0,"x",C81/'AW Schulen'!$C75)</f>
        <v>0.3</v>
      </c>
      <c r="I81" s="155">
        <f>IF('AW Schulen'!$F75=0,"x",D81/'AW Schulen'!$F75)</f>
        <v>0.3</v>
      </c>
      <c r="J81" s="155">
        <f>IF('AW Schulen'!$I75=0,"x",E81/'AW Schulen'!$I75)</f>
        <v>0.375</v>
      </c>
      <c r="K81" s="155">
        <f>IF('AW Schulen'!$L75=0,"x",F81/'AW Schulen'!$L75)</f>
        <v>0.375</v>
      </c>
      <c r="L81" s="156">
        <f>IF('AW Schulen'!$O75=0,"x",G81/'AW Schulen'!$O75)</f>
        <v>0.375</v>
      </c>
    </row>
    <row r="82" spans="1:12" ht="9" customHeight="1">
      <c r="A82" s="24" t="s">
        <v>96</v>
      </c>
      <c r="B82" s="121"/>
      <c r="C82" s="26">
        <f t="shared" ref="C82:E82" si="39">SUM(C66:C81)</f>
        <v>47</v>
      </c>
      <c r="D82" s="26">
        <f t="shared" si="39"/>
        <v>42</v>
      </c>
      <c r="E82" s="26">
        <f t="shared" si="39"/>
        <v>43</v>
      </c>
      <c r="F82" s="26">
        <f t="shared" ref="F82:G82" si="40">SUM(F66:F81)</f>
        <v>45</v>
      </c>
      <c r="G82" s="47">
        <f t="shared" si="40"/>
        <v>47</v>
      </c>
      <c r="H82" s="157">
        <f>IF('AW Schulen'!$C76=0,"x",C82/'AW Schulen'!$C76)</f>
        <v>0.29375000000000001</v>
      </c>
      <c r="I82" s="157">
        <f>IF('AW Schulen'!$F76=0,"x",D82/'AW Schulen'!$F76)</f>
        <v>0.26923076923076922</v>
      </c>
      <c r="J82" s="157">
        <f>IF('AW Schulen'!$I76=0,"x",E82/'AW Schulen'!$I76)</f>
        <v>0.26874999999999999</v>
      </c>
      <c r="K82" s="157">
        <f>IF('AW Schulen'!$L76=0,"x",F82/'AW Schulen'!$L76)</f>
        <v>0.27108433734939757</v>
      </c>
      <c r="L82" s="158">
        <f>IF('AW Schulen'!$O76=0,"x",G82/'AW Schulen'!$O76)</f>
        <v>0.27810650887573962</v>
      </c>
    </row>
    <row r="83" spans="1:12" ht="19.5" customHeight="1">
      <c r="A83" s="396" t="s">
        <v>312</v>
      </c>
      <c r="B83" s="396"/>
      <c r="C83" s="396"/>
      <c r="D83" s="396"/>
      <c r="E83" s="396"/>
      <c r="F83" s="396"/>
      <c r="G83" s="396"/>
      <c r="H83" s="396"/>
      <c r="I83" s="396"/>
      <c r="J83" s="396"/>
      <c r="K83" s="396"/>
      <c r="L83" s="396"/>
    </row>
    <row r="84" spans="1:12" ht="10.15" customHeight="1">
      <c r="A84" s="220" t="s">
        <v>204</v>
      </c>
      <c r="B84" s="38"/>
      <c r="C84" s="38"/>
      <c r="D84" s="38"/>
      <c r="E84" s="38"/>
      <c r="F84" s="38"/>
      <c r="G84" s="38"/>
    </row>
    <row r="85" spans="1:12" ht="10.15" customHeight="1">
      <c r="A85" s="220" t="s">
        <v>220</v>
      </c>
      <c r="B85" s="38"/>
      <c r="C85" s="38"/>
      <c r="D85" s="38"/>
      <c r="E85" s="38"/>
      <c r="F85" s="38"/>
      <c r="G85" s="38"/>
    </row>
    <row r="86" spans="1:12" ht="9.75" customHeight="1">
      <c r="A86" s="306" t="s">
        <v>101</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43"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M85"/>
  <sheetViews>
    <sheetView view="pageBreakPreview" topLeftCell="A61" zoomScale="180" zoomScaleNormal="150" zoomScaleSheetLayoutView="180"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'2.3.4'!A1:E1+1</f>
        <v>28</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2.6" customHeight="1">
      <c r="A5" s="13" t="s">
        <v>33</v>
      </c>
      <c r="B5" s="48" t="s">
        <v>15</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28</v>
      </c>
      <c r="D12" s="42">
        <f t="shared" si="0"/>
        <v>27</v>
      </c>
      <c r="E12" s="42">
        <f t="shared" ref="E12:F12" si="1">SUM(E30+E48+E66)</f>
        <v>28</v>
      </c>
      <c r="F12" s="42">
        <f t="shared" si="1"/>
        <v>29</v>
      </c>
      <c r="G12" s="44">
        <f t="shared" ref="G12" si="2">SUM(G30+G48+G66)</f>
        <v>31</v>
      </c>
      <c r="H12" s="153">
        <f>IF('AW Schulen'!$C78=0,"x",C12/'AW Schulen'!$C78)</f>
        <v>0.3783783783783784</v>
      </c>
      <c r="I12" s="153">
        <f>IF('AW Schulen'!$F78=0,"x",D12/'AW Schulen'!$F78)</f>
        <v>0.36486486486486486</v>
      </c>
      <c r="J12" s="153">
        <f>IF('AW Schulen'!$I78=0,"x",E12/'AW Schulen'!$I78)</f>
        <v>0.3783783783783784</v>
      </c>
      <c r="K12" s="153">
        <f>IF('AW Schulen'!$L78=0,"x",F12/'AW Schulen'!$L78)</f>
        <v>0.37179487179487181</v>
      </c>
      <c r="L12" s="154">
        <f>IF('AW Schulen'!$O78=0,"x",G12/'AW Schulen'!$O78)</f>
        <v>0.38750000000000001</v>
      </c>
    </row>
    <row r="13" spans="1:13" ht="9" customHeight="1">
      <c r="A13" s="21" t="s">
        <v>81</v>
      </c>
      <c r="B13" s="120"/>
      <c r="C13" s="42">
        <f t="shared" si="0"/>
        <v>104</v>
      </c>
      <c r="D13" s="42">
        <f t="shared" si="0"/>
        <v>105</v>
      </c>
      <c r="E13" s="42">
        <f t="shared" ref="E13:F13" si="3">SUM(E31+E49+E67)</f>
        <v>105</v>
      </c>
      <c r="F13" s="42">
        <f t="shared" si="3"/>
        <v>109</v>
      </c>
      <c r="G13" s="44">
        <f t="shared" ref="G13" si="4">SUM(G31+G49+G67)</f>
        <v>107</v>
      </c>
      <c r="H13" s="153">
        <f>IF('AW Schulen'!$C79=0,"x",C13/'AW Schulen'!$C79)</f>
        <v>0.75362318840579712</v>
      </c>
      <c r="I13" s="153">
        <f>IF('AW Schulen'!$F79=0,"x",D13/'AW Schulen'!$F79)</f>
        <v>0.76086956521739135</v>
      </c>
      <c r="J13" s="153">
        <f>IF('AW Schulen'!$I79=0,"x",E13/'AW Schulen'!$I79)</f>
        <v>0.76086956521739135</v>
      </c>
      <c r="K13" s="153">
        <f>IF('AW Schulen'!$L79=0,"x",F13/'AW Schulen'!$L79)</f>
        <v>0.79562043795620441</v>
      </c>
      <c r="L13" s="154">
        <f>IF('AW Schulen'!$O79=0,"x",G13/'AW Schulen'!$O79)</f>
        <v>0.81060606060606055</v>
      </c>
    </row>
    <row r="14" spans="1:13" ht="9" customHeight="1">
      <c r="A14" s="21" t="s">
        <v>82</v>
      </c>
      <c r="B14" s="120"/>
      <c r="C14" s="149">
        <f t="shared" si="0"/>
        <v>0</v>
      </c>
      <c r="D14" s="149">
        <f t="shared" si="0"/>
        <v>0</v>
      </c>
      <c r="E14" s="149">
        <f t="shared" ref="E14:F14" si="5">SUM(E32+E50+E68)</f>
        <v>0</v>
      </c>
      <c r="F14" s="149">
        <f t="shared" si="5"/>
        <v>0</v>
      </c>
      <c r="G14" s="150">
        <f t="shared" ref="G14" si="6">SUM(G32+G50+G68)</f>
        <v>0</v>
      </c>
      <c r="H14" s="153" t="str">
        <f>IF('AW Schulen'!$C80=0,"x",C14/'AW Schulen'!$C80)</f>
        <v>x</v>
      </c>
      <c r="I14" s="153" t="str">
        <f>IF('AW Schulen'!$F80=0,"x",D14/'AW Schulen'!$F80)</f>
        <v>x</v>
      </c>
      <c r="J14" s="153" t="str">
        <f>IF('AW Schulen'!$I80=0,"x",E14/'AW Schulen'!$I80)</f>
        <v>x</v>
      </c>
      <c r="K14" s="153" t="str">
        <f>IF('AW Schulen'!$L80=0,"x",F14/'AW Schulen'!$L80)</f>
        <v>x</v>
      </c>
      <c r="L14" s="154" t="str">
        <f>IF('AW Schulen'!$O80=0,"x",G14/'AW Schulen'!$O80)</f>
        <v>x</v>
      </c>
    </row>
    <row r="15" spans="1:13" ht="9" customHeight="1">
      <c r="A15" s="21" t="s">
        <v>83</v>
      </c>
      <c r="B15" s="120"/>
      <c r="C15" s="149">
        <f t="shared" si="0"/>
        <v>0</v>
      </c>
      <c r="D15" s="149">
        <f t="shared" si="0"/>
        <v>0</v>
      </c>
      <c r="E15" s="149">
        <f t="shared" ref="E15:F15" si="7">SUM(E33+E51+E69)</f>
        <v>0</v>
      </c>
      <c r="F15" s="149">
        <f t="shared" si="7"/>
        <v>0</v>
      </c>
      <c r="G15" s="150">
        <f t="shared" ref="G15" si="8">SUM(G33+G51+G69)</f>
        <v>0</v>
      </c>
      <c r="H15" s="198" t="str">
        <f>IF('AW Schulen'!$C81=0,"x",C15/'AW Schulen'!$C81)</f>
        <v>x</v>
      </c>
      <c r="I15" s="198" t="str">
        <f>IF('AW Schulen'!$F81=0,"x",D15/'AW Schulen'!$F81)</f>
        <v>x</v>
      </c>
      <c r="J15" s="198" t="str">
        <f>IF('AW Schulen'!$I81=0,"x",E15/'AW Schulen'!$I81)</f>
        <v>x</v>
      </c>
      <c r="K15" s="198" t="str">
        <f>IF('AW Schulen'!$L81=0,"x",F15/'AW Schulen'!$L81)</f>
        <v>x</v>
      </c>
      <c r="L15" s="199" t="str">
        <f>IF('AW Schulen'!$O81=0,"x",G15/'AW Schulen'!$O81)</f>
        <v>x</v>
      </c>
    </row>
    <row r="16" spans="1:13" ht="9" customHeight="1">
      <c r="A16" s="21" t="s">
        <v>84</v>
      </c>
      <c r="B16" s="120"/>
      <c r="C16" s="149">
        <f t="shared" si="0"/>
        <v>0</v>
      </c>
      <c r="D16" s="149">
        <f t="shared" si="0"/>
        <v>0</v>
      </c>
      <c r="E16" s="149">
        <f t="shared" ref="E16:F16" si="9">SUM(E34+E52+E70)</f>
        <v>0</v>
      </c>
      <c r="F16" s="149">
        <f t="shared" si="9"/>
        <v>0</v>
      </c>
      <c r="G16" s="150">
        <f t="shared" ref="G16" si="10">SUM(G34+G52+G70)</f>
        <v>0</v>
      </c>
      <c r="H16" s="198" t="str">
        <f>IF('AW Schulen'!$C82=0,"x",C16/'AW Schulen'!$C82)</f>
        <v>x</v>
      </c>
      <c r="I16" s="198" t="str">
        <f>IF('AW Schulen'!$F82=0,"x",D16/'AW Schulen'!$F82)</f>
        <v>x</v>
      </c>
      <c r="J16" s="198" t="str">
        <f>IF('AW Schulen'!$I82=0,"x",E16/'AW Schulen'!$I82)</f>
        <v>x</v>
      </c>
      <c r="K16" s="198" t="str">
        <f>IF('AW Schulen'!$L82=0,"x",F16/'AW Schulen'!$L82)</f>
        <v>x</v>
      </c>
      <c r="L16" s="199" t="str">
        <f>IF('AW Schulen'!$O82=0,"x",G16/'AW Schulen'!$O82)</f>
        <v>x</v>
      </c>
    </row>
    <row r="17" spans="1:12" ht="9" customHeight="1">
      <c r="A17" s="21" t="s">
        <v>85</v>
      </c>
      <c r="B17" s="120"/>
      <c r="C17" s="149">
        <f t="shared" si="0"/>
        <v>0</v>
      </c>
      <c r="D17" s="149">
        <f t="shared" si="0"/>
        <v>0</v>
      </c>
      <c r="E17" s="149">
        <f t="shared" ref="E17:F17" si="11">SUM(E35+E53+E71)</f>
        <v>0</v>
      </c>
      <c r="F17" s="149">
        <f t="shared" si="11"/>
        <v>0</v>
      </c>
      <c r="G17" s="150">
        <f t="shared" ref="G17" si="12">SUM(G35+G53+G71)</f>
        <v>0</v>
      </c>
      <c r="H17" s="153" t="str">
        <f>IF('AW Schulen'!$C83=0,"x",C17/'AW Schulen'!$C83)</f>
        <v>x</v>
      </c>
      <c r="I17" s="153" t="str">
        <f>IF('AW Schulen'!$F83=0,"x",D17/'AW Schulen'!$F83)</f>
        <v>x</v>
      </c>
      <c r="J17" s="153" t="str">
        <f>IF('AW Schulen'!$I83=0,"x",E17/'AW Schulen'!$I83)</f>
        <v>x</v>
      </c>
      <c r="K17" s="198" t="str">
        <f>IF('AW Schulen'!$L83=0,"x",F17/'AW Schulen'!$L83)</f>
        <v>x</v>
      </c>
      <c r="L17" s="199" t="str">
        <f>IF('AW Schulen'!$O83=0,"x",G17/'AW Schulen'!$O83)</f>
        <v>x</v>
      </c>
    </row>
    <row r="18" spans="1:12" ht="9" customHeight="1">
      <c r="A18" s="21" t="s">
        <v>86</v>
      </c>
      <c r="B18" s="120"/>
      <c r="C18" s="55">
        <f t="shared" si="0"/>
        <v>0</v>
      </c>
      <c r="D18" s="55">
        <f t="shared" si="0"/>
        <v>0</v>
      </c>
      <c r="E18" s="55">
        <f t="shared" ref="E18:F18" si="13">SUM(E36+E54+E72)</f>
        <v>0</v>
      </c>
      <c r="F18" s="55">
        <f t="shared" si="13"/>
        <v>0</v>
      </c>
      <c r="G18" s="56">
        <f t="shared" ref="G18" si="14">SUM(G36+G54+G72)</f>
        <v>0</v>
      </c>
      <c r="H18" s="54">
        <f>IF('AW Schulen'!$C84=0,"x",C18/'AW Schulen'!$C84)</f>
        <v>0</v>
      </c>
      <c r="I18" s="153" t="str">
        <f>IF('AW Schulen'!$F12=0,".",D18/'AW Schulen'!$F12)</f>
        <v>.</v>
      </c>
      <c r="J18" s="153" t="str">
        <f>IF('AW Schulen'!$I12=0,".",E18/'AW Schulen'!$I12)</f>
        <v>.</v>
      </c>
      <c r="K18" s="153" t="str">
        <f>IF('AW Schulen'!$L12=0,".",F18/'AW Schulen'!$L12)</f>
        <v>.</v>
      </c>
      <c r="L18" s="154" t="str">
        <f>IF('AW Schulen'!$O12=0,".",G18/'AW Schulen'!$O12)</f>
        <v>.</v>
      </c>
    </row>
    <row r="19" spans="1:12" ht="9" customHeight="1">
      <c r="A19" s="21" t="s">
        <v>87</v>
      </c>
      <c r="B19" s="120"/>
      <c r="C19" s="149">
        <f t="shared" si="0"/>
        <v>0</v>
      </c>
      <c r="D19" s="149">
        <f t="shared" si="0"/>
        <v>0</v>
      </c>
      <c r="E19" s="149">
        <f t="shared" ref="E19:F19" si="15">SUM(E37+E55+E73)</f>
        <v>0</v>
      </c>
      <c r="F19" s="149">
        <f t="shared" si="15"/>
        <v>0</v>
      </c>
      <c r="G19" s="150">
        <f t="shared" ref="G19" si="16">SUM(G37+G55+G73)</f>
        <v>0</v>
      </c>
      <c r="H19" s="198" t="str">
        <f>IF('AW Schulen'!$C85=0,"x",C19/'AW Schulen'!$C85)</f>
        <v>x</v>
      </c>
      <c r="I19" s="198" t="str">
        <f>IF('AW Schulen'!$F85=0,"x",D19/'AW Schulen'!$F85)</f>
        <v>x</v>
      </c>
      <c r="J19" s="198" t="str">
        <f>IF('AW Schulen'!$I85=0,"x",E19/'AW Schulen'!$I85)</f>
        <v>x</v>
      </c>
      <c r="K19" s="198" t="str">
        <f>IF('AW Schulen'!$L85=0,"x",F19/'AW Schulen'!$L85)</f>
        <v>x</v>
      </c>
      <c r="L19" s="199" t="str">
        <f>IF('AW Schulen'!$O85=0,"x",G19/'AW Schulen'!$O85)</f>
        <v>x</v>
      </c>
    </row>
    <row r="20" spans="1:12" ht="9" customHeight="1">
      <c r="A20" s="21" t="s">
        <v>88</v>
      </c>
      <c r="B20" s="120"/>
      <c r="C20" s="55">
        <f t="shared" si="0"/>
        <v>0</v>
      </c>
      <c r="D20" s="55">
        <f t="shared" si="0"/>
        <v>0</v>
      </c>
      <c r="E20" s="55">
        <f t="shared" ref="E20:F20" si="17">SUM(E38+E56+E74)</f>
        <v>0</v>
      </c>
      <c r="F20" s="55">
        <f t="shared" si="17"/>
        <v>0</v>
      </c>
      <c r="G20" s="56">
        <f t="shared" ref="G20" si="18">SUM(G38+G56+G74)</f>
        <v>0</v>
      </c>
      <c r="H20" s="54">
        <f>IF('AW Schulen'!$C86=0,"x",C20/'AW Schulen'!$C86)</f>
        <v>0</v>
      </c>
      <c r="I20" s="54">
        <f>IF('AW Schulen'!$F86=0,"x",D20/'AW Schulen'!$F86)</f>
        <v>0</v>
      </c>
      <c r="J20" s="54">
        <f>IF('AW Schulen'!$I86=0,"x",E20/'AW Schulen'!$I86)</f>
        <v>0</v>
      </c>
      <c r="K20" s="54">
        <f>IF('AW Schulen'!$L86=0,"x",F20/'AW Schulen'!$L86)</f>
        <v>0</v>
      </c>
      <c r="L20" s="114">
        <f>IF('AW Schulen'!$O86=0,"x",G20/'AW Schulen'!$O86)</f>
        <v>0</v>
      </c>
    </row>
    <row r="21" spans="1:12" ht="9" customHeight="1">
      <c r="A21" s="21" t="s">
        <v>89</v>
      </c>
      <c r="B21" s="120"/>
      <c r="C21" s="42">
        <f t="shared" si="0"/>
        <v>14</v>
      </c>
      <c r="D21" s="42">
        <f t="shared" si="0"/>
        <v>15</v>
      </c>
      <c r="E21" s="42">
        <f t="shared" ref="E21:F21" si="19">SUM(E39+E57+E75)</f>
        <v>14</v>
      </c>
      <c r="F21" s="42">
        <f t="shared" si="19"/>
        <v>14</v>
      </c>
      <c r="G21" s="44">
        <f t="shared" ref="G21" si="20">SUM(G39+G57+G75)</f>
        <v>13</v>
      </c>
      <c r="H21" s="153">
        <f>IF('AW Schulen'!$C87=0,"x",C21/'AW Schulen'!$C87)</f>
        <v>0.25</v>
      </c>
      <c r="I21" s="153">
        <f>IF('AW Schulen'!$F87=0,"x",D21/'AW Schulen'!$F87)</f>
        <v>0.25423728813559321</v>
      </c>
      <c r="J21" s="153">
        <f>IF('AW Schulen'!$I87=0,"x",E21/'AW Schulen'!$I87)</f>
        <v>0.23728813559322035</v>
      </c>
      <c r="K21" s="153">
        <f>IF('AW Schulen'!$L87=0,"x",F21/'AW Schulen'!$L87)</f>
        <v>0.23333333333333334</v>
      </c>
      <c r="L21" s="154">
        <f>IF('AW Schulen'!$O87=0,"x",G21/'AW Schulen'!$O87)</f>
        <v>0.21666666666666667</v>
      </c>
    </row>
    <row r="22" spans="1:12" ht="9" customHeight="1">
      <c r="A22" s="21" t="s">
        <v>90</v>
      </c>
      <c r="B22" s="120"/>
      <c r="C22" s="42">
        <f t="shared" si="0"/>
        <v>2</v>
      </c>
      <c r="D22" s="42">
        <f t="shared" si="0"/>
        <v>3</v>
      </c>
      <c r="E22" s="42">
        <f t="shared" ref="E22:F22" si="21">SUM(E40+E58+E76)</f>
        <v>3</v>
      </c>
      <c r="F22" s="42">
        <f t="shared" si="21"/>
        <v>3</v>
      </c>
      <c r="G22" s="44">
        <f t="shared" ref="G22" si="22">SUM(G40+G58+G76)</f>
        <v>3</v>
      </c>
      <c r="H22" s="153">
        <f>IF('AW Schulen'!$C88=0,"x",C22/'AW Schulen'!$C88)</f>
        <v>0.18181818181818182</v>
      </c>
      <c r="I22" s="153">
        <f>IF('AW Schulen'!$F88=0,"x",D22/'AW Schulen'!$F88)</f>
        <v>0.27272727272727271</v>
      </c>
      <c r="J22" s="153">
        <f>IF('AW Schulen'!$I88=0,"x",E22/'AW Schulen'!$I88)</f>
        <v>0.3</v>
      </c>
      <c r="K22" s="153">
        <f>IF('AW Schulen'!$L88=0,"x",F22/'AW Schulen'!$L88)</f>
        <v>0.33333333333333331</v>
      </c>
      <c r="L22" s="154">
        <f>IF('AW Schulen'!$O88=0,"x",G22/'AW Schulen'!$O88)</f>
        <v>0.33333333333333331</v>
      </c>
    </row>
    <row r="23" spans="1:12" ht="9" customHeight="1">
      <c r="A23" s="21" t="s">
        <v>91</v>
      </c>
      <c r="B23" s="120"/>
      <c r="C23" s="42">
        <f t="shared" si="0"/>
        <v>3</v>
      </c>
      <c r="D23" s="42">
        <f t="shared" si="0"/>
        <v>3</v>
      </c>
      <c r="E23" s="42">
        <f t="shared" ref="E23:F23" si="23">SUM(E41+E59+E77)</f>
        <v>3</v>
      </c>
      <c r="F23" s="42">
        <f t="shared" si="23"/>
        <v>3</v>
      </c>
      <c r="G23" s="44">
        <f t="shared" ref="G23" si="24">SUM(G41+G59+G77)</f>
        <v>2</v>
      </c>
      <c r="H23" s="153">
        <f>IF('AW Schulen'!$C89=0,"x",C23/'AW Schulen'!$C89)</f>
        <v>1</v>
      </c>
      <c r="I23" s="153">
        <f>IF('AW Schulen'!$F89=0,"x",D23/'AW Schulen'!$F89)</f>
        <v>1</v>
      </c>
      <c r="J23" s="153">
        <f>IF('AW Schulen'!$I89=0,"x",E23/'AW Schulen'!$I89)</f>
        <v>1</v>
      </c>
      <c r="K23" s="153">
        <f>IF('AW Schulen'!$L89=0,"x",F23/'AW Schulen'!$L89)</f>
        <v>1</v>
      </c>
      <c r="L23" s="154">
        <f>IF('AW Schulen'!$O89=0,"x",G23/'AW Schulen'!$O89)</f>
        <v>1</v>
      </c>
    </row>
    <row r="24" spans="1:12" ht="9" customHeight="1">
      <c r="A24" s="21" t="s">
        <v>92</v>
      </c>
      <c r="B24" s="120"/>
      <c r="C24" s="149">
        <f t="shared" si="0"/>
        <v>0</v>
      </c>
      <c r="D24" s="149">
        <f t="shared" si="0"/>
        <v>0</v>
      </c>
      <c r="E24" s="149">
        <f t="shared" ref="E24:F24" si="25">SUM(E42+E60+E78)</f>
        <v>0</v>
      </c>
      <c r="F24" s="149">
        <f t="shared" si="25"/>
        <v>0</v>
      </c>
      <c r="G24" s="150">
        <f t="shared" ref="G24" si="26">SUM(G42+G60+G78)</f>
        <v>0</v>
      </c>
      <c r="H24" s="198" t="str">
        <f>IF('AW Schulen'!$C90=0,"x",C24/'AW Schulen'!$C90)</f>
        <v>x</v>
      </c>
      <c r="I24" s="198" t="str">
        <f>IF('AW Schulen'!$F90=0,"x",D24/'AW Schulen'!$F90)</f>
        <v>x</v>
      </c>
      <c r="J24" s="198" t="str">
        <f>IF('AW Schulen'!$I90=0,"x",E24/'AW Schulen'!$I90)</f>
        <v>x</v>
      </c>
      <c r="K24" s="198" t="str">
        <f>IF('AW Schulen'!$L90=0,"x",F24/'AW Schulen'!$L90)</f>
        <v>x</v>
      </c>
      <c r="L24" s="199" t="str">
        <f>IF('AW Schulen'!$O90=0,"x",G24/'AW Schulen'!$O90)</f>
        <v>x</v>
      </c>
    </row>
    <row r="25" spans="1:12" ht="9" customHeight="1">
      <c r="A25" s="21" t="s">
        <v>93</v>
      </c>
      <c r="B25" s="120"/>
      <c r="C25" s="149">
        <f t="shared" si="0"/>
        <v>0</v>
      </c>
      <c r="D25" s="149">
        <f t="shared" si="0"/>
        <v>0</v>
      </c>
      <c r="E25" s="149">
        <f t="shared" ref="E25:F25" si="27">SUM(E43+E61+E79)</f>
        <v>0</v>
      </c>
      <c r="F25" s="149">
        <f t="shared" si="27"/>
        <v>0</v>
      </c>
      <c r="G25" s="150">
        <f t="shared" ref="G25" si="28">SUM(G43+G61+G79)</f>
        <v>0</v>
      </c>
      <c r="H25" s="198" t="str">
        <f>IF('AW Schulen'!$C91=0,"x",C25/'AW Schulen'!$C91)</f>
        <v>x</v>
      </c>
      <c r="I25" s="198" t="str">
        <f>IF('AW Schulen'!$F91=0,"x",D25/'AW Schulen'!$F91)</f>
        <v>x</v>
      </c>
      <c r="J25" s="198" t="str">
        <f>IF('AW Schulen'!$I91=0,"x",E25/'AW Schulen'!$I91)</f>
        <v>x</v>
      </c>
      <c r="K25" s="198" t="str">
        <f>IF('AW Schulen'!$L91=0,"x",F25/'AW Schulen'!$L91)</f>
        <v>x</v>
      </c>
      <c r="L25" s="199" t="str">
        <f>IF('AW Schulen'!$O91=0,"x",G25/'AW Schulen'!$O91)</f>
        <v>x</v>
      </c>
    </row>
    <row r="26" spans="1:12" ht="9" customHeight="1">
      <c r="A26" s="21" t="s">
        <v>94</v>
      </c>
      <c r="B26" s="120"/>
      <c r="C26" s="42">
        <f t="shared" si="0"/>
        <v>0</v>
      </c>
      <c r="D26" s="42">
        <f t="shared" si="0"/>
        <v>0</v>
      </c>
      <c r="E26" s="42">
        <f t="shared" ref="E26:F26" si="29">SUM(E44+E62+E80)</f>
        <v>0</v>
      </c>
      <c r="F26" s="42">
        <f t="shared" si="29"/>
        <v>0</v>
      </c>
      <c r="G26" s="150">
        <f t="shared" ref="G26" si="30">SUM(G44+G62+G80)</f>
        <v>0</v>
      </c>
      <c r="H26" s="153">
        <f>IF('AW Schulen'!$C92=0,"x",C26/'AW Schulen'!$C92)</f>
        <v>0</v>
      </c>
      <c r="I26" s="153">
        <f>IF('AW Schulen'!$F92=0,"x",D26/'AW Schulen'!$F92)</f>
        <v>0</v>
      </c>
      <c r="J26" s="153">
        <f>IF('AW Schulen'!$I92=0,"x",E26/'AW Schulen'!$I92)</f>
        <v>0</v>
      </c>
      <c r="K26" s="153">
        <f>IF('AW Schulen'!$L92=0,"x",F26/'AW Schulen'!$L92)</f>
        <v>0</v>
      </c>
      <c r="L26" s="154" t="str">
        <f>IF('AW Schulen'!$O92=0,"x",G26/'AW Schulen'!$O92)</f>
        <v>x</v>
      </c>
    </row>
    <row r="27" spans="1:12" ht="9" customHeight="1">
      <c r="A27" s="21" t="s">
        <v>95</v>
      </c>
      <c r="B27" s="120"/>
      <c r="C27" s="149">
        <f t="shared" si="0"/>
        <v>0</v>
      </c>
      <c r="D27" s="149">
        <f t="shared" si="0"/>
        <v>0</v>
      </c>
      <c r="E27" s="149">
        <f t="shared" ref="E27:F27" si="31">SUM(E45+E63+E81)</f>
        <v>0</v>
      </c>
      <c r="F27" s="149">
        <f t="shared" si="31"/>
        <v>0</v>
      </c>
      <c r="G27" s="150">
        <f t="shared" ref="G27" si="32">SUM(G45+G63+G81)</f>
        <v>0</v>
      </c>
      <c r="H27" s="198" t="str">
        <f>IF('AW Schulen'!$C93=0,"x",C27/'AW Schulen'!$C93)</f>
        <v>x</v>
      </c>
      <c r="I27" s="198" t="str">
        <f>IF('AW Schulen'!$F93=0,"x",D27/'AW Schulen'!$F93)</f>
        <v>x</v>
      </c>
      <c r="J27" s="198" t="str">
        <f>IF('AW Schulen'!$I93=0,"x",E27/'AW Schulen'!$I93)</f>
        <v>x</v>
      </c>
      <c r="K27" s="198" t="str">
        <f>IF('AW Schulen'!$L93=0,"x",F27/'AW Schulen'!$L93)</f>
        <v>x</v>
      </c>
      <c r="L27" s="199" t="str">
        <f>IF('AW Schulen'!$O93=0,"x",G27/'AW Schulen'!$O93)</f>
        <v>x</v>
      </c>
    </row>
    <row r="28" spans="1:12" ht="9" customHeight="1">
      <c r="A28" s="21" t="s">
        <v>96</v>
      </c>
      <c r="B28" s="120"/>
      <c r="C28" s="42">
        <f t="shared" si="0"/>
        <v>151</v>
      </c>
      <c r="D28" s="42">
        <f t="shared" si="0"/>
        <v>153</v>
      </c>
      <c r="E28" s="42">
        <f t="shared" ref="E28:F28" si="33">SUM(E46+E64+E82)</f>
        <v>153</v>
      </c>
      <c r="F28" s="42">
        <f t="shared" si="33"/>
        <v>158</v>
      </c>
      <c r="G28" s="44">
        <f t="shared" ref="G28" si="34">SUM(G46+G64+G82)</f>
        <v>156</v>
      </c>
      <c r="H28" s="153">
        <f>IF('AW Schulen'!$C94=0,"x",C28/'AW Schulen'!$C94)</f>
        <v>0.52797202797202802</v>
      </c>
      <c r="I28" s="153">
        <f>IF('AW Schulen'!$F94=0,"x",D28/'AW Schulen'!$F94)</f>
        <v>0.5331010452961672</v>
      </c>
      <c r="J28" s="153">
        <f>IF('AW Schulen'!$I94=0,"x",E28/'AW Schulen'!$I94)</f>
        <v>0.534965034965035</v>
      </c>
      <c r="K28" s="153">
        <f>IF('AW Schulen'!$L94=0,"x",F28/'AW Schulen'!$L94)</f>
        <v>0.54861111111111116</v>
      </c>
      <c r="L28" s="154">
        <f>IF('AW Schulen'!$O94=0,"x",G28/'AW Schulen'!$O94)</f>
        <v>0.5512367491166078</v>
      </c>
    </row>
    <row r="29" spans="1:12" ht="12.75" customHeight="1">
      <c r="A29" s="391" t="s">
        <v>98</v>
      </c>
      <c r="B29" s="392"/>
      <c r="C29" s="392"/>
      <c r="D29" s="392"/>
      <c r="E29" s="392"/>
      <c r="F29" s="392"/>
      <c r="G29" s="392"/>
      <c r="H29" s="392"/>
      <c r="I29" s="392"/>
      <c r="J29" s="392"/>
      <c r="K29" s="392"/>
      <c r="L29" s="393"/>
    </row>
    <row r="30" spans="1:12" ht="9" customHeight="1">
      <c r="A30" s="21" t="s">
        <v>80</v>
      </c>
      <c r="B30" s="202"/>
      <c r="C30" s="23">
        <f>[1]GtS!$F$55</f>
        <v>20</v>
      </c>
      <c r="D30" s="23">
        <f>[2]GtS!$F$57</f>
        <v>20</v>
      </c>
      <c r="E30" s="23">
        <f>[3]GtS!$F$57</f>
        <v>19</v>
      </c>
      <c r="F30" s="23">
        <f>[4]GtS!$F$57</f>
        <v>21</v>
      </c>
      <c r="G30" s="34">
        <f>[5]GtS!$F$57</f>
        <v>20</v>
      </c>
      <c r="H30" s="155">
        <f>IF('AW Schulen'!$C78=0,"x",C30/'AW Schulen'!$C78)</f>
        <v>0.27027027027027029</v>
      </c>
      <c r="I30" s="155">
        <f>IF('AW Schulen'!$F78=0,"x",D30/'AW Schulen'!$F78)</f>
        <v>0.27027027027027029</v>
      </c>
      <c r="J30" s="155">
        <f>IF('AW Schulen'!$I78=0,"x",E30/'AW Schulen'!$I78)</f>
        <v>0.25675675675675674</v>
      </c>
      <c r="K30" s="155">
        <f>IF('AW Schulen'!$L78=0,"x",F30/'AW Schulen'!$L78)</f>
        <v>0.26923076923076922</v>
      </c>
      <c r="L30" s="156">
        <f>IF('AW Schulen'!$O78=0,"x",G30/'AW Schulen'!$O78)</f>
        <v>0.25</v>
      </c>
    </row>
    <row r="31" spans="1:12" ht="9" customHeight="1">
      <c r="A31" s="21" t="s">
        <v>81</v>
      </c>
      <c r="B31" s="202"/>
      <c r="C31" s="23">
        <f>[6]GtS!$F$55</f>
        <v>10</v>
      </c>
      <c r="D31" s="23">
        <f>[7]GtS!$F$57</f>
        <v>13</v>
      </c>
      <c r="E31" s="23">
        <f>[8]GtS!$F$57</f>
        <v>14</v>
      </c>
      <c r="F31" s="23">
        <f>[9]GtS!$F$57</f>
        <v>13</v>
      </c>
      <c r="G31" s="34">
        <f>[10]GtS!$F$57</f>
        <v>13</v>
      </c>
      <c r="H31" s="155">
        <f>IF('AW Schulen'!$C79=0,"x",C31/'AW Schulen'!$C79)</f>
        <v>7.2463768115942032E-2</v>
      </c>
      <c r="I31" s="155">
        <f>IF('AW Schulen'!$F79=0,"x",D31/'AW Schulen'!$F79)</f>
        <v>9.420289855072464E-2</v>
      </c>
      <c r="J31" s="155">
        <f>IF('AW Schulen'!$I79=0,"x",E31/'AW Schulen'!$I79)</f>
        <v>0.10144927536231885</v>
      </c>
      <c r="K31" s="155">
        <f>IF('AW Schulen'!$L79=0,"x",F31/'AW Schulen'!$L79)</f>
        <v>9.4890510948905105E-2</v>
      </c>
      <c r="L31" s="156">
        <f>IF('AW Schulen'!$O79=0,"x",G31/'AW Schulen'!$O79)</f>
        <v>9.8484848484848481E-2</v>
      </c>
    </row>
    <row r="32" spans="1:12" ht="9" customHeight="1">
      <c r="A32" s="21" t="s">
        <v>82</v>
      </c>
      <c r="B32" s="202"/>
      <c r="C32" s="151">
        <f>[11]GtS!$F$55</f>
        <v>0</v>
      </c>
      <c r="D32" s="151">
        <f>[12]GtS!$F$57</f>
        <v>0</v>
      </c>
      <c r="E32" s="151">
        <f>[13]GtS!$F$57</f>
        <v>0</v>
      </c>
      <c r="F32" s="151">
        <f>[14]GtS!$F$57</f>
        <v>0</v>
      </c>
      <c r="G32" s="152">
        <f>[15]GtS!$F$57</f>
        <v>0</v>
      </c>
      <c r="H32" s="155" t="str">
        <f>IF('AW Schulen'!$C80=0,"x",C32/'AW Schulen'!$C80)</f>
        <v>x</v>
      </c>
      <c r="I32" s="155" t="str">
        <f>IF('AW Schulen'!$F80=0,"x",D32/'AW Schulen'!$F80)</f>
        <v>x</v>
      </c>
      <c r="J32" s="155" t="str">
        <f>IF('AW Schulen'!$I80=0,"x",E32/'AW Schulen'!$I80)</f>
        <v>x</v>
      </c>
      <c r="K32" s="155" t="str">
        <f>IF('AW Schulen'!$L80=0,"x",F32/'AW Schulen'!$L80)</f>
        <v>x</v>
      </c>
      <c r="L32" s="156" t="str">
        <f>IF('AW Schulen'!$O80=0,"x",G32/'AW Schulen'!$O80)</f>
        <v>x</v>
      </c>
    </row>
    <row r="33" spans="1:12" ht="9" customHeight="1">
      <c r="A33" s="21" t="s">
        <v>83</v>
      </c>
      <c r="B33" s="202"/>
      <c r="C33" s="151">
        <f>[16]GtS!$F$55</f>
        <v>0</v>
      </c>
      <c r="D33" s="151">
        <f>[17]GtS!$F$57</f>
        <v>0</v>
      </c>
      <c r="E33" s="151">
        <f>[18]GtS!$F$57</f>
        <v>0</v>
      </c>
      <c r="F33" s="151">
        <f>[19]GtS!$F$57</f>
        <v>0</v>
      </c>
      <c r="G33" s="152">
        <f>[20]GtS!$F$57</f>
        <v>0</v>
      </c>
      <c r="H33" s="193" t="str">
        <f>IF('AW Schulen'!$C81=0,"x",C33/'AW Schulen'!$C81)</f>
        <v>x</v>
      </c>
      <c r="I33" s="193" t="str">
        <f>IF('AW Schulen'!$F81=0,"x",D33/'AW Schulen'!$F81)</f>
        <v>x</v>
      </c>
      <c r="J33" s="193" t="str">
        <f>IF('AW Schulen'!$I81=0,"x",E33/'AW Schulen'!$I81)</f>
        <v>x</v>
      </c>
      <c r="K33" s="193" t="str">
        <f>IF('AW Schulen'!$L81=0,"x",F33/'AW Schulen'!$L81)</f>
        <v>x</v>
      </c>
      <c r="L33" s="194" t="str">
        <f>IF('AW Schulen'!$O81=0,"x",G33/'AW Schulen'!$O81)</f>
        <v>x</v>
      </c>
    </row>
    <row r="34" spans="1:12" ht="9" customHeight="1">
      <c r="A34" s="21" t="s">
        <v>84</v>
      </c>
      <c r="B34" s="202"/>
      <c r="C34" s="151">
        <f>[21]GtS!$F$55</f>
        <v>0</v>
      </c>
      <c r="D34" s="151">
        <f>[22]GtS!$F$57</f>
        <v>0</v>
      </c>
      <c r="E34" s="151">
        <f>[23]GtS!$F$57</f>
        <v>0</v>
      </c>
      <c r="F34" s="151">
        <f>[24]GtS!$F$57</f>
        <v>0</v>
      </c>
      <c r="G34" s="152">
        <f>[25]GtS!$F$57</f>
        <v>0</v>
      </c>
      <c r="H34" s="193" t="str">
        <f>IF('AW Schulen'!$C82=0,"x",C34/'AW Schulen'!$C82)</f>
        <v>x</v>
      </c>
      <c r="I34" s="193" t="str">
        <f>IF('AW Schulen'!$F82=0,"x",D34/'AW Schulen'!$F82)</f>
        <v>x</v>
      </c>
      <c r="J34" s="193" t="str">
        <f>IF('AW Schulen'!$I82=0,"x",E34/'AW Schulen'!$I82)</f>
        <v>x</v>
      </c>
      <c r="K34" s="193" t="str">
        <f>IF('AW Schulen'!$L82=0,"x",F34/'AW Schulen'!$L82)</f>
        <v>x</v>
      </c>
      <c r="L34" s="194" t="str">
        <f>IF('AW Schulen'!$O82=0,"x",G34/'AW Schulen'!$O82)</f>
        <v>x</v>
      </c>
    </row>
    <row r="35" spans="1:12" ht="9" customHeight="1">
      <c r="A35" s="21" t="s">
        <v>85</v>
      </c>
      <c r="B35" s="202"/>
      <c r="C35" s="151">
        <f>[26]GtS!$F$55</f>
        <v>0</v>
      </c>
      <c r="D35" s="151">
        <f>[27]GtS!$F$57</f>
        <v>0</v>
      </c>
      <c r="E35" s="151">
        <f>[28]GtS!$F$57</f>
        <v>0</v>
      </c>
      <c r="F35" s="151">
        <f>[29]GtS!$F$57</f>
        <v>0</v>
      </c>
      <c r="G35" s="152">
        <f>[30]GtS!$F$57</f>
        <v>0</v>
      </c>
      <c r="H35" s="155" t="str">
        <f>IF('AW Schulen'!$C83=0,"x",C35/'AW Schulen'!$C83)</f>
        <v>x</v>
      </c>
      <c r="I35" s="155" t="str">
        <f>IF('AW Schulen'!$F83=0,"x",D35/'AW Schulen'!$F83)</f>
        <v>x</v>
      </c>
      <c r="J35" s="155" t="str">
        <f>IF('AW Schulen'!$I83=0,"x",E35/'AW Schulen'!$I83)</f>
        <v>x</v>
      </c>
      <c r="K35" s="155" t="str">
        <f>IF('AW Schulen'!$L83=0,"x",F35/'AW Schulen'!$L83)</f>
        <v>x</v>
      </c>
      <c r="L35" s="156" t="str">
        <f>IF('AW Schulen'!$O83=0,"x",G35/'AW Schulen'!$O83)</f>
        <v>x</v>
      </c>
    </row>
    <row r="36" spans="1:12" ht="9" customHeight="1">
      <c r="A36" s="21" t="s">
        <v>86</v>
      </c>
      <c r="B36" s="202"/>
      <c r="C36" s="36">
        <f>[66]GtS!$F$55</f>
        <v>0</v>
      </c>
      <c r="D36" s="36">
        <f>[67]GtS!$F$57</f>
        <v>0</v>
      </c>
      <c r="E36" s="36">
        <f>[68]GtS!$F$57</f>
        <v>0</v>
      </c>
      <c r="F36" s="36">
        <f>[69]GtS!$F$57</f>
        <v>0</v>
      </c>
      <c r="G36" s="37">
        <f>[70]GtS!$F$57</f>
        <v>0</v>
      </c>
      <c r="H36" s="57">
        <f>IF('AW Schulen'!$C84=0,"x",C36/'AW Schulen'!$C84)</f>
        <v>0</v>
      </c>
      <c r="I36" s="155" t="str">
        <f>IF('AW Schulen'!$F30=0,".",D36/'AW Schulen'!$F30)</f>
        <v>.</v>
      </c>
      <c r="J36" s="155" t="str">
        <f>IF('AW Schulen'!$I30=0,".",E36/'AW Schulen'!$I30)</f>
        <v>.</v>
      </c>
      <c r="K36" s="155" t="str">
        <f>IF('AW Schulen'!$L30=0,".",F36/'AW Schulen'!$L30)</f>
        <v>.</v>
      </c>
      <c r="L36" s="156" t="str">
        <f>IF('AW Schulen'!$O30=0,".",G36/'AW Schulen'!$O30)</f>
        <v>.</v>
      </c>
    </row>
    <row r="37" spans="1:12" ht="9" customHeight="1">
      <c r="A37" s="21" t="s">
        <v>87</v>
      </c>
      <c r="B37" s="202"/>
      <c r="C37" s="151">
        <f>[31]GtS!$F$55</f>
        <v>0</v>
      </c>
      <c r="D37" s="151">
        <f>[32]GtS!$F$57</f>
        <v>0</v>
      </c>
      <c r="E37" s="151">
        <f>[33]GtS!$F$57</f>
        <v>0</v>
      </c>
      <c r="F37" s="151">
        <f>[34]GtS!$F$57</f>
        <v>0</v>
      </c>
      <c r="G37" s="152">
        <f>[35]GtS!$F$57</f>
        <v>0</v>
      </c>
      <c r="H37" s="193" t="str">
        <f>IF('AW Schulen'!$C85=0,"x",C37/'AW Schulen'!$C85)</f>
        <v>x</v>
      </c>
      <c r="I37" s="193" t="str">
        <f>IF('AW Schulen'!$F85=0,"x",D37/'AW Schulen'!$F85)</f>
        <v>x</v>
      </c>
      <c r="J37" s="193" t="str">
        <f>IF('AW Schulen'!$I85=0,"x",E37/'AW Schulen'!$I85)</f>
        <v>x</v>
      </c>
      <c r="K37" s="193" t="str">
        <f>IF('AW Schulen'!$L85=0,"x",F37/'AW Schulen'!$L85)</f>
        <v>x</v>
      </c>
      <c r="L37" s="194" t="str">
        <f>IF('AW Schulen'!$O85=0,"x",G37/'AW Schulen'!$O85)</f>
        <v>x</v>
      </c>
    </row>
    <row r="38" spans="1:12" ht="9" customHeight="1">
      <c r="A38" s="21" t="s">
        <v>88</v>
      </c>
      <c r="B38" s="202"/>
      <c r="C38" s="36">
        <f>[71]GtS!$F$55</f>
        <v>0</v>
      </c>
      <c r="D38" s="36">
        <f>[72]GtS!$F$57</f>
        <v>0</v>
      </c>
      <c r="E38" s="36">
        <f>[73]GtS!$F$57</f>
        <v>0</v>
      </c>
      <c r="F38" s="36">
        <f>[74]GtS!$F$57</f>
        <v>0</v>
      </c>
      <c r="G38" s="37">
        <f>[75]GtS!$F$57</f>
        <v>0</v>
      </c>
      <c r="H38" s="57">
        <f>IF('AW Schulen'!$C86=0,"x",C38/'AW Schulen'!$C86)</f>
        <v>0</v>
      </c>
      <c r="I38" s="57">
        <f>IF('AW Schulen'!$F86=0,"x",D38/'AW Schulen'!$F86)</f>
        <v>0</v>
      </c>
      <c r="J38" s="57">
        <f>IF('AW Schulen'!$I86=0,"x",E38/'AW Schulen'!$I86)</f>
        <v>0</v>
      </c>
      <c r="K38" s="57">
        <f>IF('AW Schulen'!$L86=0,"x",F38/'AW Schulen'!$L86)</f>
        <v>0</v>
      </c>
      <c r="L38" s="195">
        <f>IF('AW Schulen'!$O86=0,"x",G38/'AW Schulen'!$O86)</f>
        <v>0</v>
      </c>
    </row>
    <row r="39" spans="1:12" ht="9" customHeight="1">
      <c r="A39" s="21" t="s">
        <v>89</v>
      </c>
      <c r="B39" s="202"/>
      <c r="C39" s="23">
        <f>[36]GtS!$F$55</f>
        <v>14</v>
      </c>
      <c r="D39" s="23">
        <f>[37]GtS!$F$57</f>
        <v>15</v>
      </c>
      <c r="E39" s="23">
        <f>[38]GtS!$F$57</f>
        <v>14</v>
      </c>
      <c r="F39" s="23">
        <f>[39]GtS!$F$57</f>
        <v>14</v>
      </c>
      <c r="G39" s="34">
        <f>[40]GtS!$F$57</f>
        <v>13</v>
      </c>
      <c r="H39" s="155">
        <f>IF('AW Schulen'!$C87=0,"x",C39/'AW Schulen'!$C87)</f>
        <v>0.25</v>
      </c>
      <c r="I39" s="155">
        <f>IF('AW Schulen'!$F87=0,"x",D39/'AW Schulen'!$F87)</f>
        <v>0.25423728813559321</v>
      </c>
      <c r="J39" s="155">
        <f>IF('AW Schulen'!$I87=0,"x",E39/'AW Schulen'!$I87)</f>
        <v>0.23728813559322035</v>
      </c>
      <c r="K39" s="155">
        <f>IF('AW Schulen'!$L87=0,"x",F39/'AW Schulen'!$L87)</f>
        <v>0.23333333333333334</v>
      </c>
      <c r="L39" s="156">
        <f>IF('AW Schulen'!$O87=0,"x",G39/'AW Schulen'!$O87)</f>
        <v>0.21666666666666667</v>
      </c>
    </row>
    <row r="40" spans="1:12" ht="9" customHeight="1">
      <c r="A40" s="21" t="s">
        <v>90</v>
      </c>
      <c r="B40" s="202"/>
      <c r="C40" s="23">
        <f>[41]GtS!$F$55</f>
        <v>0</v>
      </c>
      <c r="D40" s="23">
        <f>[42]GtS!$F$57</f>
        <v>0</v>
      </c>
      <c r="E40" s="23">
        <f>[43]GtS!$F$57</f>
        <v>0</v>
      </c>
      <c r="F40" s="23">
        <f>[44]GtS!$F$57</f>
        <v>0</v>
      </c>
      <c r="G40" s="34">
        <f>[45]GtS!$F$57</f>
        <v>0</v>
      </c>
      <c r="H40" s="155">
        <f>IF('AW Schulen'!$C88=0,"x",C40/'AW Schulen'!$C88)</f>
        <v>0</v>
      </c>
      <c r="I40" s="155">
        <f>IF('AW Schulen'!$F88=0,"x",D40/'AW Schulen'!$F88)</f>
        <v>0</v>
      </c>
      <c r="J40" s="155">
        <f>IF('AW Schulen'!$I88=0,"x",E40/'AW Schulen'!$I88)</f>
        <v>0</v>
      </c>
      <c r="K40" s="155">
        <f>IF('AW Schulen'!$L88=0,"x",F40/'AW Schulen'!$L88)</f>
        <v>0</v>
      </c>
      <c r="L40" s="156">
        <f>IF('AW Schulen'!$O88=0,"x",G40/'AW Schulen'!$O88)</f>
        <v>0</v>
      </c>
    </row>
    <row r="41" spans="1:12" ht="9" customHeight="1">
      <c r="A41" s="21" t="s">
        <v>91</v>
      </c>
      <c r="B41" s="202"/>
      <c r="C41" s="23">
        <f>[46]GtS!$F$55</f>
        <v>0</v>
      </c>
      <c r="D41" s="23">
        <f>[47]GtS!$F$57</f>
        <v>0</v>
      </c>
      <c r="E41" s="23">
        <f>[48]GtS!$F$57</f>
        <v>0</v>
      </c>
      <c r="F41" s="23">
        <f>[49]GtS!$F$57</f>
        <v>0</v>
      </c>
      <c r="G41" s="34">
        <f>[50]GtS!$F$57</f>
        <v>0</v>
      </c>
      <c r="H41" s="155">
        <f>IF('AW Schulen'!$C89=0,"x",C41/'AW Schulen'!$C89)</f>
        <v>0</v>
      </c>
      <c r="I41" s="155">
        <f>IF('AW Schulen'!$F89=0,"x",D41/'AW Schulen'!$F89)</f>
        <v>0</v>
      </c>
      <c r="J41" s="155">
        <f>IF('AW Schulen'!$I89=0,"x",E41/'AW Schulen'!$I89)</f>
        <v>0</v>
      </c>
      <c r="K41" s="155">
        <f>IF('AW Schulen'!$L89=0,"x",F41/'AW Schulen'!$L89)</f>
        <v>0</v>
      </c>
      <c r="L41" s="156">
        <f>IF('AW Schulen'!$O89=0,"x",G41/'AW Schulen'!$O89)</f>
        <v>0</v>
      </c>
    </row>
    <row r="42" spans="1:12" ht="9" customHeight="1">
      <c r="A42" s="21" t="s">
        <v>92</v>
      </c>
      <c r="B42" s="202"/>
      <c r="C42" s="151">
        <f>[51]GtS!$F$55</f>
        <v>0</v>
      </c>
      <c r="D42" s="151">
        <f>[52]GtS!$F$57</f>
        <v>0</v>
      </c>
      <c r="E42" s="151">
        <f>[53]GtS!$F$57</f>
        <v>0</v>
      </c>
      <c r="F42" s="151">
        <f>[54]GtS!$F$57</f>
        <v>0</v>
      </c>
      <c r="G42" s="152">
        <f>[55]GtS!$F$57</f>
        <v>0</v>
      </c>
      <c r="H42" s="193" t="str">
        <f>IF('AW Schulen'!$C90=0,"x",C42/'AW Schulen'!$C90)</f>
        <v>x</v>
      </c>
      <c r="I42" s="193" t="str">
        <f>IF('AW Schulen'!$F90=0,"x",D42/'AW Schulen'!$F90)</f>
        <v>x</v>
      </c>
      <c r="J42" s="193" t="str">
        <f>IF('AW Schulen'!$I90=0,"x",E42/'AW Schulen'!$I90)</f>
        <v>x</v>
      </c>
      <c r="K42" s="193" t="str">
        <f>IF('AW Schulen'!$L90=0,"x",F42/'AW Schulen'!$L90)</f>
        <v>x</v>
      </c>
      <c r="L42" s="194" t="str">
        <f>IF('AW Schulen'!$O90=0,"x",G42/'AW Schulen'!$O90)</f>
        <v>x</v>
      </c>
    </row>
    <row r="43" spans="1:12" ht="9" customHeight="1">
      <c r="A43" s="21" t="s">
        <v>93</v>
      </c>
      <c r="B43" s="202"/>
      <c r="C43" s="151">
        <f>[76]GtS!$F$55</f>
        <v>0</v>
      </c>
      <c r="D43" s="151">
        <f>[77]GtS!$F$57</f>
        <v>0</v>
      </c>
      <c r="E43" s="151">
        <f>[78]GtS!$F$57</f>
        <v>0</v>
      </c>
      <c r="F43" s="151">
        <f>[79]GtS!$F$57</f>
        <v>0</v>
      </c>
      <c r="G43" s="152">
        <f>[80]GtS!$F$57</f>
        <v>0</v>
      </c>
      <c r="H43" s="193" t="str">
        <f>IF('AW Schulen'!$C91=0,"x",C43/'AW Schulen'!$C91)</f>
        <v>x</v>
      </c>
      <c r="I43" s="193" t="str">
        <f>IF('AW Schulen'!$F91=0,"x",D43/'AW Schulen'!$F91)</f>
        <v>x</v>
      </c>
      <c r="J43" s="193" t="str">
        <f>IF('AW Schulen'!$I91=0,"x",E43/'AW Schulen'!$I91)</f>
        <v>x</v>
      </c>
      <c r="K43" s="193" t="str">
        <f>IF('AW Schulen'!$L91=0,"x",F43/'AW Schulen'!$L91)</f>
        <v>x</v>
      </c>
      <c r="L43" s="194" t="str">
        <f>IF('AW Schulen'!$O91=0,"x",G43/'AW Schulen'!$O91)</f>
        <v>x</v>
      </c>
    </row>
    <row r="44" spans="1:12" ht="9" customHeight="1">
      <c r="A44" s="21" t="s">
        <v>94</v>
      </c>
      <c r="B44" s="202"/>
      <c r="C44" s="23">
        <f>[56]GtS!$F$55</f>
        <v>0</v>
      </c>
      <c r="D44" s="23">
        <f>[57]GtS!$F$57</f>
        <v>0</v>
      </c>
      <c r="E44" s="23">
        <f>[58]GtS!$F$57</f>
        <v>0</v>
      </c>
      <c r="F44" s="23">
        <f>[59]GtS!$F$57</f>
        <v>0</v>
      </c>
      <c r="G44" s="152">
        <f>[60]GtS!$F$57</f>
        <v>0</v>
      </c>
      <c r="H44" s="155">
        <f>IF('AW Schulen'!$C92=0,"x",C44/'AW Schulen'!$C92)</f>
        <v>0</v>
      </c>
      <c r="I44" s="155">
        <f>IF('AW Schulen'!$F92=0,"x",D44/'AW Schulen'!$F92)</f>
        <v>0</v>
      </c>
      <c r="J44" s="155">
        <f>IF('AW Schulen'!$I92=0,"x",E44/'AW Schulen'!$I92)</f>
        <v>0</v>
      </c>
      <c r="K44" s="155">
        <f>IF('AW Schulen'!$L92=0,"x",F44/'AW Schulen'!$L92)</f>
        <v>0</v>
      </c>
      <c r="L44" s="156" t="str">
        <f>IF('AW Schulen'!$O92=0,"x",G44/'AW Schulen'!$O92)</f>
        <v>x</v>
      </c>
    </row>
    <row r="45" spans="1:12" ht="9" customHeight="1">
      <c r="A45" s="21" t="s">
        <v>95</v>
      </c>
      <c r="B45" s="202"/>
      <c r="C45" s="151">
        <f>[61]GtS!$F$55</f>
        <v>0</v>
      </c>
      <c r="D45" s="151">
        <f>[62]GtS!$F$57</f>
        <v>0</v>
      </c>
      <c r="E45" s="151">
        <f>[63]GtS!$F$57</f>
        <v>0</v>
      </c>
      <c r="F45" s="151">
        <f>[64]GtS!$F$57</f>
        <v>0</v>
      </c>
      <c r="G45" s="152">
        <f>[65]GtS!$F$57</f>
        <v>0</v>
      </c>
      <c r="H45" s="193" t="str">
        <f>IF('AW Schulen'!$C93=0,"x",C45/'AW Schulen'!$C93)</f>
        <v>x</v>
      </c>
      <c r="I45" s="193" t="str">
        <f>IF('AW Schulen'!$F93=0,"x",D45/'AW Schulen'!$F93)</f>
        <v>x</v>
      </c>
      <c r="J45" s="193" t="str">
        <f>IF('AW Schulen'!$I93=0,"x",E45/'AW Schulen'!$I93)</f>
        <v>x</v>
      </c>
      <c r="K45" s="193" t="str">
        <f>IF('AW Schulen'!$L93=0,"x",F45/'AW Schulen'!$L93)</f>
        <v>x</v>
      </c>
      <c r="L45" s="194" t="str">
        <f>IF('AW Schulen'!$O93=0,"x",G45/'AW Schulen'!$O93)</f>
        <v>x</v>
      </c>
    </row>
    <row r="46" spans="1:12" ht="9" customHeight="1">
      <c r="A46" s="21" t="s">
        <v>96</v>
      </c>
      <c r="B46" s="202"/>
      <c r="C46" s="23">
        <f t="shared" ref="C46:E46" si="35">SUM(C30:C45)</f>
        <v>44</v>
      </c>
      <c r="D46" s="23">
        <f t="shared" si="35"/>
        <v>48</v>
      </c>
      <c r="E46" s="23">
        <f t="shared" si="35"/>
        <v>47</v>
      </c>
      <c r="F46" s="23">
        <f t="shared" ref="F46:G46" si="36">SUM(F30:F45)</f>
        <v>48</v>
      </c>
      <c r="G46" s="34">
        <f t="shared" si="36"/>
        <v>46</v>
      </c>
      <c r="H46" s="155">
        <f>IF('AW Schulen'!$C94=0,"x",C46/'AW Schulen'!$C94)</f>
        <v>0.15384615384615385</v>
      </c>
      <c r="I46" s="155">
        <f>IF('AW Schulen'!$F94=0,"x",D46/'AW Schulen'!$F94)</f>
        <v>0.1672473867595819</v>
      </c>
      <c r="J46" s="155">
        <f>IF('AW Schulen'!$I94=0,"x",E46/'AW Schulen'!$I94)</f>
        <v>0.16433566433566432</v>
      </c>
      <c r="K46" s="155">
        <f>IF('AW Schulen'!$L94=0,"x",F46/'AW Schulen'!$L94)</f>
        <v>0.16666666666666666</v>
      </c>
      <c r="L46" s="156">
        <f>IF('AW Schulen'!$O94=0,"x",G46/'AW Schulen'!$O94)</f>
        <v>0.16254416961130741</v>
      </c>
    </row>
    <row r="47" spans="1:12" ht="12.75" customHeight="1">
      <c r="A47" s="402" t="s">
        <v>99</v>
      </c>
      <c r="B47" s="403"/>
      <c r="C47" s="403"/>
      <c r="D47" s="403"/>
      <c r="E47" s="403"/>
      <c r="F47" s="403"/>
      <c r="G47" s="403"/>
      <c r="H47" s="403"/>
      <c r="I47" s="403"/>
      <c r="J47" s="403"/>
      <c r="K47" s="403"/>
      <c r="L47" s="404"/>
    </row>
    <row r="48" spans="1:12" ht="9" customHeight="1">
      <c r="A48" s="21" t="s">
        <v>80</v>
      </c>
      <c r="B48" s="202"/>
      <c r="C48" s="23">
        <f>[1]GtS!$G$55</f>
        <v>1</v>
      </c>
      <c r="D48" s="23">
        <f>[2]GtS!$G$57</f>
        <v>1</v>
      </c>
      <c r="E48" s="23">
        <f>[3]GtS!$G$57</f>
        <v>2</v>
      </c>
      <c r="F48" s="23">
        <f>[4]GtS!$G$57</f>
        <v>2</v>
      </c>
      <c r="G48" s="34">
        <f>[5]GtS!$G$57</f>
        <v>1</v>
      </c>
      <c r="H48" s="155">
        <f>IF('AW Schulen'!$C78=0,"x",C48/'AW Schulen'!$C78)</f>
        <v>1.3513513513513514E-2</v>
      </c>
      <c r="I48" s="155">
        <f>IF('AW Schulen'!$F78=0,"x",D48/'AW Schulen'!$F78)</f>
        <v>1.3513513513513514E-2</v>
      </c>
      <c r="J48" s="155">
        <f>IF('AW Schulen'!$I78=0,"x",E48/'AW Schulen'!$I78)</f>
        <v>2.7027027027027029E-2</v>
      </c>
      <c r="K48" s="155">
        <f>IF('AW Schulen'!$L78=0,"x",F48/'AW Schulen'!$L78)</f>
        <v>2.564102564102564E-2</v>
      </c>
      <c r="L48" s="156">
        <f>IF('AW Schulen'!$O78=0,"x",G48/'AW Schulen'!$O78)</f>
        <v>1.2500000000000001E-2</v>
      </c>
    </row>
    <row r="49" spans="1:12" ht="9" customHeight="1">
      <c r="A49" s="21" t="s">
        <v>81</v>
      </c>
      <c r="B49" s="202"/>
      <c r="C49" s="23">
        <f>[6]GtS!$G$55</f>
        <v>15</v>
      </c>
      <c r="D49" s="23">
        <f>[7]GtS!$G$57</f>
        <v>13</v>
      </c>
      <c r="E49" s="23">
        <f>[8]GtS!$G$57</f>
        <v>10</v>
      </c>
      <c r="F49" s="23">
        <f>[9]GtS!$G$57</f>
        <v>12</v>
      </c>
      <c r="G49" s="34">
        <f>[10]GtS!$G$57</f>
        <v>13</v>
      </c>
      <c r="H49" s="155">
        <f>IF('AW Schulen'!$C79=0,"x",C49/'AW Schulen'!$C79)</f>
        <v>0.10869565217391304</v>
      </c>
      <c r="I49" s="155">
        <f>IF('AW Schulen'!$F79=0,"x",D49/'AW Schulen'!$F79)</f>
        <v>9.420289855072464E-2</v>
      </c>
      <c r="J49" s="155">
        <f>IF('AW Schulen'!$I79=0,"x",E49/'AW Schulen'!$I79)</f>
        <v>7.2463768115942032E-2</v>
      </c>
      <c r="K49" s="155">
        <f>IF('AW Schulen'!$L79=0,"x",F49/'AW Schulen'!$L79)</f>
        <v>8.7591240875912413E-2</v>
      </c>
      <c r="L49" s="156">
        <f>IF('AW Schulen'!$O79=0,"x",G49/'AW Schulen'!$O79)</f>
        <v>9.8484848484848481E-2</v>
      </c>
    </row>
    <row r="50" spans="1:12" ht="9" customHeight="1">
      <c r="A50" s="21" t="s">
        <v>82</v>
      </c>
      <c r="B50" s="202"/>
      <c r="C50" s="151">
        <f>[11]GtS!$G$55</f>
        <v>0</v>
      </c>
      <c r="D50" s="151">
        <f>[12]GtS!$G$57</f>
        <v>0</v>
      </c>
      <c r="E50" s="151">
        <f>[13]GtS!$G$57</f>
        <v>0</v>
      </c>
      <c r="F50" s="151">
        <f>[14]GtS!$G$57</f>
        <v>0</v>
      </c>
      <c r="G50" s="152">
        <f>[15]GtS!$G$57</f>
        <v>0</v>
      </c>
      <c r="H50" s="155" t="str">
        <f>IF('AW Schulen'!$C80=0,"x",C50/'AW Schulen'!$C80)</f>
        <v>x</v>
      </c>
      <c r="I50" s="155" t="str">
        <f>IF('AW Schulen'!$F80=0,"x",D50/'AW Schulen'!$F80)</f>
        <v>x</v>
      </c>
      <c r="J50" s="155" t="str">
        <f>IF('AW Schulen'!$I80=0,"x",E50/'AW Schulen'!$I80)</f>
        <v>x</v>
      </c>
      <c r="K50" s="155" t="str">
        <f>IF('AW Schulen'!$L80=0,"x",F50/'AW Schulen'!$L80)</f>
        <v>x</v>
      </c>
      <c r="L50" s="156" t="str">
        <f>IF('AW Schulen'!$O80=0,"x",G50/'AW Schulen'!$O80)</f>
        <v>x</v>
      </c>
    </row>
    <row r="51" spans="1:12" ht="9" customHeight="1">
      <c r="A51" s="21" t="s">
        <v>83</v>
      </c>
      <c r="B51" s="202"/>
      <c r="C51" s="151">
        <f>[16]GtS!$G$55</f>
        <v>0</v>
      </c>
      <c r="D51" s="151">
        <f>[17]GtS!$G$57</f>
        <v>0</v>
      </c>
      <c r="E51" s="151">
        <f>[18]GtS!$G$57</f>
        <v>0</v>
      </c>
      <c r="F51" s="151">
        <f>[19]GtS!$G$57</f>
        <v>0</v>
      </c>
      <c r="G51" s="152">
        <f>[20]GtS!$G$57</f>
        <v>0</v>
      </c>
      <c r="H51" s="193" t="str">
        <f>IF('AW Schulen'!$C81=0,"x",C51/'AW Schulen'!$C81)</f>
        <v>x</v>
      </c>
      <c r="I51" s="193" t="str">
        <f>IF('AW Schulen'!$F81=0,"x",D51/'AW Schulen'!$F81)</f>
        <v>x</v>
      </c>
      <c r="J51" s="193" t="str">
        <f>IF('AW Schulen'!$I81=0,"x",E51/'AW Schulen'!$I81)</f>
        <v>x</v>
      </c>
      <c r="K51" s="193" t="str">
        <f>IF('AW Schulen'!$L81=0,"x",F51/'AW Schulen'!$L81)</f>
        <v>x</v>
      </c>
      <c r="L51" s="194" t="str">
        <f>IF('AW Schulen'!$O81=0,"x",G51/'AW Schulen'!$O81)</f>
        <v>x</v>
      </c>
    </row>
    <row r="52" spans="1:12" ht="9" customHeight="1">
      <c r="A52" s="21" t="s">
        <v>84</v>
      </c>
      <c r="B52" s="202"/>
      <c r="C52" s="151">
        <f>[21]GtS!$G$55</f>
        <v>0</v>
      </c>
      <c r="D52" s="151">
        <f>[22]GtS!$G$57</f>
        <v>0</v>
      </c>
      <c r="E52" s="151">
        <f>[23]GtS!$G$57</f>
        <v>0</v>
      </c>
      <c r="F52" s="151">
        <f>[24]GtS!$G$57</f>
        <v>0</v>
      </c>
      <c r="G52" s="152">
        <f>[25]GtS!$G$57</f>
        <v>0</v>
      </c>
      <c r="H52" s="193" t="str">
        <f>IF('AW Schulen'!$C82=0,"x",C52/'AW Schulen'!$C82)</f>
        <v>x</v>
      </c>
      <c r="I52" s="193" t="str">
        <f>IF('AW Schulen'!$F82=0,"x",D52/'AW Schulen'!$F82)</f>
        <v>x</v>
      </c>
      <c r="J52" s="193" t="str">
        <f>IF('AW Schulen'!$I82=0,"x",E52/'AW Schulen'!$I82)</f>
        <v>x</v>
      </c>
      <c r="K52" s="193" t="str">
        <f>IF('AW Schulen'!$L82=0,"x",F52/'AW Schulen'!$L82)</f>
        <v>x</v>
      </c>
      <c r="L52" s="194" t="str">
        <f>IF('AW Schulen'!$O82=0,"x",G52/'AW Schulen'!$O82)</f>
        <v>x</v>
      </c>
    </row>
    <row r="53" spans="1:12" ht="9" customHeight="1">
      <c r="A53" s="21" t="s">
        <v>85</v>
      </c>
      <c r="B53" s="202"/>
      <c r="C53" s="151">
        <f>[26]GtS!$G$55</f>
        <v>0</v>
      </c>
      <c r="D53" s="151">
        <f>[27]GtS!$G$57</f>
        <v>0</v>
      </c>
      <c r="E53" s="151">
        <f>[28]GtS!$G$57</f>
        <v>0</v>
      </c>
      <c r="F53" s="151">
        <f>[29]GtS!$G$57</f>
        <v>0</v>
      </c>
      <c r="G53" s="152">
        <f>[30]GtS!$G$57</f>
        <v>0</v>
      </c>
      <c r="H53" s="155" t="str">
        <f>IF('AW Schulen'!$C83=0,"x",C53/'AW Schulen'!$C83)</f>
        <v>x</v>
      </c>
      <c r="I53" s="155" t="str">
        <f>IF('AW Schulen'!$F83=0,"x",D53/'AW Schulen'!$F83)</f>
        <v>x</v>
      </c>
      <c r="J53" s="155" t="str">
        <f>IF('AW Schulen'!$I83=0,"x",E53/'AW Schulen'!$I83)</f>
        <v>x</v>
      </c>
      <c r="K53" s="155" t="str">
        <f>IF('AW Schulen'!$L83=0,"x",F53/'AW Schulen'!$L83)</f>
        <v>x</v>
      </c>
      <c r="L53" s="156" t="str">
        <f>IF('AW Schulen'!$O83=0,"x",G53/'AW Schulen'!$O83)</f>
        <v>x</v>
      </c>
    </row>
    <row r="54" spans="1:12" ht="9" customHeight="1">
      <c r="A54" s="21" t="s">
        <v>86</v>
      </c>
      <c r="B54" s="202"/>
      <c r="C54" s="36">
        <f>[66]GtS!$G$55</f>
        <v>0</v>
      </c>
      <c r="D54" s="36">
        <f>[67]GtS!$G$57</f>
        <v>0</v>
      </c>
      <c r="E54" s="36">
        <f>[68]GtS!$G$57</f>
        <v>0</v>
      </c>
      <c r="F54" s="36">
        <f>[69]GtS!$G$57</f>
        <v>0</v>
      </c>
      <c r="G54" s="37">
        <f>[70]GtS!$G$57</f>
        <v>0</v>
      </c>
      <c r="H54" s="57">
        <f>IF('AW Schulen'!$C84=0,"x",C54/'AW Schulen'!$C84)</f>
        <v>0</v>
      </c>
      <c r="I54" s="155" t="str">
        <f>IF('AW Schulen'!$F48=0,".",D54/'AW Schulen'!$F48)</f>
        <v>.</v>
      </c>
      <c r="J54" s="155" t="str">
        <f>IF('AW Schulen'!$I48=0,".",E54/'AW Schulen'!$I48)</f>
        <v>.</v>
      </c>
      <c r="K54" s="155" t="str">
        <f>IF('AW Schulen'!$L48=0,".",F54/'AW Schulen'!$L48)</f>
        <v>.</v>
      </c>
      <c r="L54" s="156" t="str">
        <f>IF('AW Schulen'!$O48=0,".",G54/'AW Schulen'!$O48)</f>
        <v>.</v>
      </c>
    </row>
    <row r="55" spans="1:12" ht="9" customHeight="1">
      <c r="A55" s="21" t="s">
        <v>87</v>
      </c>
      <c r="B55" s="202"/>
      <c r="C55" s="151">
        <f>[31]GtS!$G$55</f>
        <v>0</v>
      </c>
      <c r="D55" s="151">
        <f>[32]GtS!$G$57</f>
        <v>0</v>
      </c>
      <c r="E55" s="151">
        <f>[33]GtS!$G$57</f>
        <v>0</v>
      </c>
      <c r="F55" s="151">
        <f>[34]GtS!$G$57</f>
        <v>0</v>
      </c>
      <c r="G55" s="152">
        <f>[35]GtS!$G$57</f>
        <v>0</v>
      </c>
      <c r="H55" s="193" t="str">
        <f>IF('AW Schulen'!$C85=0,"x",C55/'AW Schulen'!$C85)</f>
        <v>x</v>
      </c>
      <c r="I55" s="193" t="str">
        <f>IF('AW Schulen'!$F85=0,"x",D55/'AW Schulen'!$F85)</f>
        <v>x</v>
      </c>
      <c r="J55" s="193" t="str">
        <f>IF('AW Schulen'!$I85=0,"x",E55/'AW Schulen'!$I85)</f>
        <v>x</v>
      </c>
      <c r="K55" s="193" t="str">
        <f>IF('AW Schulen'!$L85=0,"x",F55/'AW Schulen'!$L85)</f>
        <v>x</v>
      </c>
      <c r="L55" s="194" t="str">
        <f>IF('AW Schulen'!$O85=0,"x",G55/'AW Schulen'!$O85)</f>
        <v>x</v>
      </c>
    </row>
    <row r="56" spans="1:12" ht="9" customHeight="1">
      <c r="A56" s="21" t="s">
        <v>88</v>
      </c>
      <c r="B56" s="202"/>
      <c r="C56" s="36">
        <f>[71]GtS!$G$55</f>
        <v>0</v>
      </c>
      <c r="D56" s="36">
        <f>[72]GtS!$G$57</f>
        <v>0</v>
      </c>
      <c r="E56" s="36">
        <f>[73]GtS!$G$57</f>
        <v>0</v>
      </c>
      <c r="F56" s="36">
        <f>[74]GtS!$G$57</f>
        <v>0</v>
      </c>
      <c r="G56" s="37">
        <f>[75]GtS!$G$57</f>
        <v>0</v>
      </c>
      <c r="H56" s="57">
        <f>IF('AW Schulen'!$C86=0,"x",C56/'AW Schulen'!$C86)</f>
        <v>0</v>
      </c>
      <c r="I56" s="57">
        <f>IF('AW Schulen'!$F86=0,"x",D56/'AW Schulen'!$F86)</f>
        <v>0</v>
      </c>
      <c r="J56" s="57">
        <f>IF('AW Schulen'!$I86=0,"x",E56/'AW Schulen'!$I86)</f>
        <v>0</v>
      </c>
      <c r="K56" s="57">
        <f>IF('AW Schulen'!$L86=0,"x",F56/'AW Schulen'!$L86)</f>
        <v>0</v>
      </c>
      <c r="L56" s="195">
        <f>IF('AW Schulen'!$O86=0,"x",G56/'AW Schulen'!$O86)</f>
        <v>0</v>
      </c>
    </row>
    <row r="57" spans="1:12" ht="9" customHeight="1">
      <c r="A57" s="21" t="s">
        <v>89</v>
      </c>
      <c r="B57" s="202"/>
      <c r="C57" s="23">
        <f>[36]GtS!$G$55</f>
        <v>0</v>
      </c>
      <c r="D57" s="23">
        <f>[37]GtS!$G$57</f>
        <v>0</v>
      </c>
      <c r="E57" s="23">
        <f>[38]GtS!$G$57</f>
        <v>0</v>
      </c>
      <c r="F57" s="23">
        <f>[39]GtS!$G$57</f>
        <v>0</v>
      </c>
      <c r="G57" s="34">
        <f>[40]GtS!$G$57</f>
        <v>0</v>
      </c>
      <c r="H57" s="155">
        <f>IF('AW Schulen'!$C87=0,"x",C57/'AW Schulen'!$C87)</f>
        <v>0</v>
      </c>
      <c r="I57" s="155">
        <f>IF('AW Schulen'!$F87=0,"x",D57/'AW Schulen'!$F87)</f>
        <v>0</v>
      </c>
      <c r="J57" s="155">
        <f>IF('AW Schulen'!$I87=0,"x",E57/'AW Schulen'!$I87)</f>
        <v>0</v>
      </c>
      <c r="K57" s="155">
        <f>IF('AW Schulen'!$L87=0,"x",F57/'AW Schulen'!$L87)</f>
        <v>0</v>
      </c>
      <c r="L57" s="156">
        <f>IF('AW Schulen'!$O87=0,"x",G57/'AW Schulen'!$O87)</f>
        <v>0</v>
      </c>
    </row>
    <row r="58" spans="1:12" ht="9" customHeight="1">
      <c r="A58" s="21" t="s">
        <v>90</v>
      </c>
      <c r="B58" s="202"/>
      <c r="C58" s="23">
        <f>[41]GtS!$G$55</f>
        <v>1</v>
      </c>
      <c r="D58" s="23">
        <f>[42]GtS!$G$57</f>
        <v>2</v>
      </c>
      <c r="E58" s="23">
        <f>[43]GtS!$G$57</f>
        <v>2</v>
      </c>
      <c r="F58" s="23">
        <f>[44]GtS!$G$57</f>
        <v>2</v>
      </c>
      <c r="G58" s="34">
        <f>[45]GtS!$G$57</f>
        <v>2</v>
      </c>
      <c r="H58" s="155">
        <f>IF('AW Schulen'!$C88=0,"x",C58/'AW Schulen'!$C88)</f>
        <v>9.0909090909090912E-2</v>
      </c>
      <c r="I58" s="155">
        <f>IF('AW Schulen'!$F88=0,"x",D58/'AW Schulen'!$F88)</f>
        <v>0.18181818181818182</v>
      </c>
      <c r="J58" s="155">
        <f>IF('AW Schulen'!$I88=0,"x",E58/'AW Schulen'!$I88)</f>
        <v>0.2</v>
      </c>
      <c r="K58" s="155">
        <f>IF('AW Schulen'!$L88=0,"x",F58/'AW Schulen'!$L88)</f>
        <v>0.22222222222222221</v>
      </c>
      <c r="L58" s="156">
        <f>IF('AW Schulen'!$O88=0,"x",G58/'AW Schulen'!$O88)</f>
        <v>0.22222222222222221</v>
      </c>
    </row>
    <row r="59" spans="1:12" ht="9" customHeight="1">
      <c r="A59" s="21" t="s">
        <v>91</v>
      </c>
      <c r="B59" s="202"/>
      <c r="C59" s="23">
        <f>[46]GtS!$G$55</f>
        <v>0</v>
      </c>
      <c r="D59" s="23">
        <f>[47]GtS!$G$57</f>
        <v>0</v>
      </c>
      <c r="E59" s="23">
        <f>[48]GtS!$G$57</f>
        <v>0</v>
      </c>
      <c r="F59" s="23">
        <f>[49]GtS!$G$57</f>
        <v>0</v>
      </c>
      <c r="G59" s="34">
        <f>[50]GtS!$G$57</f>
        <v>0</v>
      </c>
      <c r="H59" s="155">
        <f>IF('AW Schulen'!$C89=0,"x",C59/'AW Schulen'!$C89)</f>
        <v>0</v>
      </c>
      <c r="I59" s="155">
        <f>IF('AW Schulen'!$F89=0,"x",D59/'AW Schulen'!$F89)</f>
        <v>0</v>
      </c>
      <c r="J59" s="155">
        <f>IF('AW Schulen'!$I89=0,"x",E59/'AW Schulen'!$I89)</f>
        <v>0</v>
      </c>
      <c r="K59" s="155">
        <f>IF('AW Schulen'!$L89=0,"x",F59/'AW Schulen'!$L89)</f>
        <v>0</v>
      </c>
      <c r="L59" s="156">
        <f>IF('AW Schulen'!$O89=0,"x",G59/'AW Schulen'!$O89)</f>
        <v>0</v>
      </c>
    </row>
    <row r="60" spans="1:12" ht="9" customHeight="1">
      <c r="A60" s="21" t="s">
        <v>92</v>
      </c>
      <c r="B60" s="202"/>
      <c r="C60" s="151">
        <f>[51]GtS!$G$55</f>
        <v>0</v>
      </c>
      <c r="D60" s="151">
        <f>[52]GtS!$G$57</f>
        <v>0</v>
      </c>
      <c r="E60" s="151">
        <f>[53]GtS!$G$57</f>
        <v>0</v>
      </c>
      <c r="F60" s="151">
        <f>[54]GtS!$G$57</f>
        <v>0</v>
      </c>
      <c r="G60" s="152">
        <f>[55]GtS!$G$57</f>
        <v>0</v>
      </c>
      <c r="H60" s="193" t="str">
        <f>IF('AW Schulen'!$C90=0,"x",C60/'AW Schulen'!$C90)</f>
        <v>x</v>
      </c>
      <c r="I60" s="193" t="str">
        <f>IF('AW Schulen'!$F90=0,"x",D60/'AW Schulen'!$F90)</f>
        <v>x</v>
      </c>
      <c r="J60" s="193" t="str">
        <f>IF('AW Schulen'!$I90=0,"x",E60/'AW Schulen'!$I90)</f>
        <v>x</v>
      </c>
      <c r="K60" s="193" t="str">
        <f>IF('AW Schulen'!$L90=0,"x",F60/'AW Schulen'!$L90)</f>
        <v>x</v>
      </c>
      <c r="L60" s="194" t="str">
        <f>IF('AW Schulen'!$O90=0,"x",G60/'AW Schulen'!$O90)</f>
        <v>x</v>
      </c>
    </row>
    <row r="61" spans="1:12" ht="9" customHeight="1">
      <c r="A61" s="21" t="s">
        <v>93</v>
      </c>
      <c r="B61" s="202"/>
      <c r="C61" s="151">
        <f>[76]GtS!$G$55</f>
        <v>0</v>
      </c>
      <c r="D61" s="151">
        <f>[77]GtS!$G$57</f>
        <v>0</v>
      </c>
      <c r="E61" s="151">
        <f>[78]GtS!$G$57</f>
        <v>0</v>
      </c>
      <c r="F61" s="151">
        <f>[79]GtS!$G$57</f>
        <v>0</v>
      </c>
      <c r="G61" s="152">
        <f>[80]GtS!$G$57</f>
        <v>0</v>
      </c>
      <c r="H61" s="193" t="str">
        <f>IF('AW Schulen'!$C91=0,"x",C61/'AW Schulen'!$C91)</f>
        <v>x</v>
      </c>
      <c r="I61" s="193" t="str">
        <f>IF('AW Schulen'!$F91=0,"x",D61/'AW Schulen'!$F91)</f>
        <v>x</v>
      </c>
      <c r="J61" s="193" t="str">
        <f>IF('AW Schulen'!$I91=0,"x",E61/'AW Schulen'!$I91)</f>
        <v>x</v>
      </c>
      <c r="K61" s="193" t="str">
        <f>IF('AW Schulen'!$L91=0,"x",F61/'AW Schulen'!$L91)</f>
        <v>x</v>
      </c>
      <c r="L61" s="194" t="str">
        <f>IF('AW Schulen'!$O91=0,"x",G61/'AW Schulen'!$O91)</f>
        <v>x</v>
      </c>
    </row>
    <row r="62" spans="1:12" ht="9" customHeight="1">
      <c r="A62" s="21" t="s">
        <v>94</v>
      </c>
      <c r="B62" s="202"/>
      <c r="C62" s="23">
        <f>[56]GtS!$G$55</f>
        <v>0</v>
      </c>
      <c r="D62" s="23">
        <f>[57]GtS!$G$57</f>
        <v>0</v>
      </c>
      <c r="E62" s="23">
        <f>[58]GtS!$G$57</f>
        <v>0</v>
      </c>
      <c r="F62" s="23">
        <f>[59]GtS!$G$57</f>
        <v>0</v>
      </c>
      <c r="G62" s="152">
        <f>[60]GtS!$G$57</f>
        <v>0</v>
      </c>
      <c r="H62" s="155">
        <f>IF('AW Schulen'!$C92=0,"x",C62/'AW Schulen'!$C92)</f>
        <v>0</v>
      </c>
      <c r="I62" s="155">
        <f>IF('AW Schulen'!$F92=0,"x",D62/'AW Schulen'!$F92)</f>
        <v>0</v>
      </c>
      <c r="J62" s="155">
        <f>IF('AW Schulen'!$I92=0,"x",E62/'AW Schulen'!$I92)</f>
        <v>0</v>
      </c>
      <c r="K62" s="155">
        <f>IF('AW Schulen'!$L92=0,"x",F62/'AW Schulen'!$L92)</f>
        <v>0</v>
      </c>
      <c r="L62" s="156" t="str">
        <f>IF('AW Schulen'!$O92=0,"x",G62/'AW Schulen'!$O92)</f>
        <v>x</v>
      </c>
    </row>
    <row r="63" spans="1:12" ht="9" customHeight="1">
      <c r="A63" s="21" t="s">
        <v>95</v>
      </c>
      <c r="B63" s="202"/>
      <c r="C63" s="151">
        <f>[61]GtS!$G$55</f>
        <v>0</v>
      </c>
      <c r="D63" s="151">
        <f>[62]GtS!$G$57</f>
        <v>0</v>
      </c>
      <c r="E63" s="151">
        <f>[63]GtS!$G$57</f>
        <v>0</v>
      </c>
      <c r="F63" s="151">
        <f>[64]GtS!$G$57</f>
        <v>0</v>
      </c>
      <c r="G63" s="152">
        <f>[65]GtS!$G$57</f>
        <v>0</v>
      </c>
      <c r="H63" s="193" t="str">
        <f>IF('AW Schulen'!$C93=0,"x",C63/'AW Schulen'!$C93)</f>
        <v>x</v>
      </c>
      <c r="I63" s="193" t="str">
        <f>IF('AW Schulen'!$F93=0,"x",D63/'AW Schulen'!$F93)</f>
        <v>x</v>
      </c>
      <c r="J63" s="193" t="str">
        <f>IF('AW Schulen'!$I93=0,"x",E63/'AW Schulen'!$I93)</f>
        <v>x</v>
      </c>
      <c r="K63" s="193" t="str">
        <f>IF('AW Schulen'!$L93=0,"x",F63/'AW Schulen'!$L93)</f>
        <v>x</v>
      </c>
      <c r="L63" s="194" t="str">
        <f>IF('AW Schulen'!$O93=0,"x",G63/'AW Schulen'!$O93)</f>
        <v>x</v>
      </c>
    </row>
    <row r="64" spans="1:12" ht="8.65" customHeight="1">
      <c r="A64" s="21" t="s">
        <v>96</v>
      </c>
      <c r="B64" s="202"/>
      <c r="C64" s="23">
        <f t="shared" ref="C64:E64" si="37">SUM(C48:C63)</f>
        <v>17</v>
      </c>
      <c r="D64" s="23">
        <f t="shared" si="37"/>
        <v>16</v>
      </c>
      <c r="E64" s="23">
        <f t="shared" si="37"/>
        <v>14</v>
      </c>
      <c r="F64" s="23">
        <f t="shared" ref="F64:G64" si="38">SUM(F48:F63)</f>
        <v>16</v>
      </c>
      <c r="G64" s="34">
        <f t="shared" si="38"/>
        <v>16</v>
      </c>
      <c r="H64" s="155">
        <f>IF('AW Schulen'!$C94=0,"x",C64/'AW Schulen'!$C94)</f>
        <v>5.944055944055944E-2</v>
      </c>
      <c r="I64" s="155">
        <f>IF('AW Schulen'!$F94=0,"x",D64/'AW Schulen'!$F94)</f>
        <v>5.5749128919860627E-2</v>
      </c>
      <c r="J64" s="155">
        <f>IF('AW Schulen'!$I94=0,"x",E64/'AW Schulen'!$I94)</f>
        <v>4.8951048951048952E-2</v>
      </c>
      <c r="K64" s="155">
        <f>IF('AW Schulen'!$L94=0,"x",F64/'AW Schulen'!$L94)</f>
        <v>5.5555555555555552E-2</v>
      </c>
      <c r="L64" s="156">
        <f>IF('AW Schulen'!$O94=0,"x",G64/'AW Schulen'!$O94)</f>
        <v>5.6537102473498232E-2</v>
      </c>
    </row>
    <row r="65" spans="1:12" ht="12.6" customHeight="1">
      <c r="A65" s="402" t="s">
        <v>100</v>
      </c>
      <c r="B65" s="403"/>
      <c r="C65" s="403"/>
      <c r="D65" s="403"/>
      <c r="E65" s="403"/>
      <c r="F65" s="403"/>
      <c r="G65" s="403"/>
      <c r="H65" s="403"/>
      <c r="I65" s="403"/>
      <c r="J65" s="403"/>
      <c r="K65" s="403"/>
      <c r="L65" s="404"/>
    </row>
    <row r="66" spans="1:12" ht="10.15" customHeight="1">
      <c r="A66" s="224" t="s">
        <v>80</v>
      </c>
      <c r="B66" s="202"/>
      <c r="C66" s="23">
        <f>[1]GtS!$H$55</f>
        <v>7</v>
      </c>
      <c r="D66" s="23">
        <f>[2]GtS!$H$57</f>
        <v>6</v>
      </c>
      <c r="E66" s="23">
        <f>[3]GtS!$H$57</f>
        <v>7</v>
      </c>
      <c r="F66" s="23">
        <f>[4]GtS!$H$57</f>
        <v>6</v>
      </c>
      <c r="G66" s="34">
        <f>[5]GtS!$H$57</f>
        <v>10</v>
      </c>
      <c r="H66" s="155">
        <f>IF('AW Schulen'!$C78=0,"x",C66/'AW Schulen'!$C78)</f>
        <v>9.45945945945946E-2</v>
      </c>
      <c r="I66" s="155">
        <f>IF('AW Schulen'!$F78=0,"x",D66/'AW Schulen'!$F78)</f>
        <v>8.1081081081081086E-2</v>
      </c>
      <c r="J66" s="155">
        <f>IF('AW Schulen'!$I78=0,"x",E66/'AW Schulen'!$I78)</f>
        <v>9.45945945945946E-2</v>
      </c>
      <c r="K66" s="155">
        <f>IF('AW Schulen'!$L78=0,"x",F66/'AW Schulen'!$L78)</f>
        <v>7.6923076923076927E-2</v>
      </c>
      <c r="L66" s="156">
        <f>IF('AW Schulen'!$O78=0,"x",G66/'AW Schulen'!$O78)</f>
        <v>0.125</v>
      </c>
    </row>
    <row r="67" spans="1:12" ht="10.15" customHeight="1">
      <c r="A67" s="224" t="s">
        <v>81</v>
      </c>
      <c r="B67" s="202"/>
      <c r="C67" s="23">
        <f>[6]GtS!$H$55</f>
        <v>79</v>
      </c>
      <c r="D67" s="23">
        <f>[7]GtS!$H$57</f>
        <v>79</v>
      </c>
      <c r="E67" s="23">
        <f>[8]GtS!$H$57</f>
        <v>81</v>
      </c>
      <c r="F67" s="23">
        <f>[9]GtS!$H$57</f>
        <v>84</v>
      </c>
      <c r="G67" s="34">
        <f>[10]GtS!$H$57</f>
        <v>81</v>
      </c>
      <c r="H67" s="155">
        <f>IF('AW Schulen'!$C79=0,"x",C67/'AW Schulen'!$C79)</f>
        <v>0.57246376811594202</v>
      </c>
      <c r="I67" s="155">
        <f>IF('AW Schulen'!$F79=0,"x",D67/'AW Schulen'!$F79)</f>
        <v>0.57246376811594202</v>
      </c>
      <c r="J67" s="155">
        <f>IF('AW Schulen'!$I79=0,"x",E67/'AW Schulen'!$I79)</f>
        <v>0.58695652173913049</v>
      </c>
      <c r="K67" s="155">
        <f>IF('AW Schulen'!$L79=0,"x",F67/'AW Schulen'!$L79)</f>
        <v>0.61313868613138689</v>
      </c>
      <c r="L67" s="156">
        <f>IF('AW Schulen'!$O79=0,"x",G67/'AW Schulen'!$O79)</f>
        <v>0.61363636363636365</v>
      </c>
    </row>
    <row r="68" spans="1:12" ht="10.15" customHeight="1">
      <c r="A68" s="224" t="s">
        <v>82</v>
      </c>
      <c r="B68" s="202"/>
      <c r="C68" s="151">
        <f>[11]GtS!$H$55</f>
        <v>0</v>
      </c>
      <c r="D68" s="151">
        <f>[12]GtS!$H$57</f>
        <v>0</v>
      </c>
      <c r="E68" s="151">
        <f>[13]GtS!$H$57</f>
        <v>0</v>
      </c>
      <c r="F68" s="151">
        <f>[14]GtS!$H$57</f>
        <v>0</v>
      </c>
      <c r="G68" s="152">
        <f>[15]GtS!$H$57</f>
        <v>0</v>
      </c>
      <c r="H68" s="155" t="str">
        <f>IF('AW Schulen'!$C80=0,"x",C68/'AW Schulen'!$C80)</f>
        <v>x</v>
      </c>
      <c r="I68" s="155" t="str">
        <f>IF('AW Schulen'!$F80=0,"x",D68/'AW Schulen'!$F80)</f>
        <v>x</v>
      </c>
      <c r="J68" s="155" t="str">
        <f>IF('AW Schulen'!$I80=0,"x",E68/'AW Schulen'!$I80)</f>
        <v>x</v>
      </c>
      <c r="K68" s="155" t="str">
        <f>IF('AW Schulen'!$L80=0,"x",F68/'AW Schulen'!$L80)</f>
        <v>x</v>
      </c>
      <c r="L68" s="156" t="str">
        <f>IF('AW Schulen'!$O80=0,"x",G68/'AW Schulen'!$O80)</f>
        <v>x</v>
      </c>
    </row>
    <row r="69" spans="1:12" ht="9" customHeight="1">
      <c r="A69" s="21" t="s">
        <v>83</v>
      </c>
      <c r="B69" s="202"/>
      <c r="C69" s="151">
        <f>[16]GtS!$H$55</f>
        <v>0</v>
      </c>
      <c r="D69" s="151">
        <f>[17]GtS!$H$57</f>
        <v>0</v>
      </c>
      <c r="E69" s="151">
        <f>[18]GtS!$H$57</f>
        <v>0</v>
      </c>
      <c r="F69" s="151">
        <f>[19]GtS!$H$57</f>
        <v>0</v>
      </c>
      <c r="G69" s="152">
        <f>[20]GtS!$H$57</f>
        <v>0</v>
      </c>
      <c r="H69" s="193" t="str">
        <f>IF('AW Schulen'!$C81=0,"x",C69/'AW Schulen'!$C81)</f>
        <v>x</v>
      </c>
      <c r="I69" s="193" t="str">
        <f>IF('AW Schulen'!$F81=0,"x",D69/'AW Schulen'!$F81)</f>
        <v>x</v>
      </c>
      <c r="J69" s="193" t="str">
        <f>IF('AW Schulen'!$I81=0,"x",E69/'AW Schulen'!$I81)</f>
        <v>x</v>
      </c>
      <c r="K69" s="193" t="str">
        <f>IF('AW Schulen'!$L81=0,"x",F69/'AW Schulen'!$L81)</f>
        <v>x</v>
      </c>
      <c r="L69" s="194" t="str">
        <f>IF('AW Schulen'!$O81=0,"x",G69/'AW Schulen'!$O81)</f>
        <v>x</v>
      </c>
    </row>
    <row r="70" spans="1:12" ht="9" customHeight="1">
      <c r="A70" s="21" t="s">
        <v>84</v>
      </c>
      <c r="B70" s="202"/>
      <c r="C70" s="151">
        <f>[21]GtS!$H$55</f>
        <v>0</v>
      </c>
      <c r="D70" s="151">
        <f>[22]GtS!$H$57</f>
        <v>0</v>
      </c>
      <c r="E70" s="151">
        <f>[23]GtS!$H$57</f>
        <v>0</v>
      </c>
      <c r="F70" s="151">
        <f>[24]GtS!$H$57</f>
        <v>0</v>
      </c>
      <c r="G70" s="152">
        <f>[25]GtS!$H$57</f>
        <v>0</v>
      </c>
      <c r="H70" s="193" t="str">
        <f>IF('AW Schulen'!$C82=0,"x",C70/'AW Schulen'!$C82)</f>
        <v>x</v>
      </c>
      <c r="I70" s="193" t="str">
        <f>IF('AW Schulen'!$F82=0,"x",D70/'AW Schulen'!$F82)</f>
        <v>x</v>
      </c>
      <c r="J70" s="193" t="str">
        <f>IF('AW Schulen'!$I82=0,"x",E70/'AW Schulen'!$I82)</f>
        <v>x</v>
      </c>
      <c r="K70" s="193" t="str">
        <f>IF('AW Schulen'!$L82=0,"x",F70/'AW Schulen'!$L82)</f>
        <v>x</v>
      </c>
      <c r="L70" s="194" t="str">
        <f>IF('AW Schulen'!$O82=0,"x",G70/'AW Schulen'!$O82)</f>
        <v>x</v>
      </c>
    </row>
    <row r="71" spans="1:12" ht="9" customHeight="1">
      <c r="A71" s="21" t="s">
        <v>85</v>
      </c>
      <c r="B71" s="202"/>
      <c r="C71" s="151">
        <f>[26]GtS!$H$55</f>
        <v>0</v>
      </c>
      <c r="D71" s="151">
        <f>[27]GtS!$H$57</f>
        <v>0</v>
      </c>
      <c r="E71" s="151">
        <f>[28]GtS!$H$57</f>
        <v>0</v>
      </c>
      <c r="F71" s="151">
        <f>[29]GtS!$H$57</f>
        <v>0</v>
      </c>
      <c r="G71" s="152">
        <f>[30]GtS!$H$57</f>
        <v>0</v>
      </c>
      <c r="H71" s="155" t="str">
        <f>IF('AW Schulen'!$C83=0,"x",C71/'AW Schulen'!$C83)</f>
        <v>x</v>
      </c>
      <c r="I71" s="155" t="str">
        <f>IF('AW Schulen'!$F83=0,"x",D71/'AW Schulen'!$F83)</f>
        <v>x</v>
      </c>
      <c r="J71" s="155" t="str">
        <f>IF('AW Schulen'!$I83=0,"x",E71/'AW Schulen'!$I83)</f>
        <v>x</v>
      </c>
      <c r="K71" s="193" t="str">
        <f>IF('AW Schulen'!$L83=0,"x",F71/'AW Schulen'!$L83)</f>
        <v>x</v>
      </c>
      <c r="L71" s="194" t="str">
        <f>IF('AW Schulen'!$O83=0,"x",G71/'AW Schulen'!$O83)</f>
        <v>x</v>
      </c>
    </row>
    <row r="72" spans="1:12" ht="9" customHeight="1">
      <c r="A72" s="21" t="s">
        <v>86</v>
      </c>
      <c r="B72" s="202"/>
      <c r="C72" s="36">
        <f>[66]GtS!$H$55</f>
        <v>0</v>
      </c>
      <c r="D72" s="36">
        <f>[67]GtS!$H$57</f>
        <v>0</v>
      </c>
      <c r="E72" s="36">
        <f>[68]GtS!$H$57</f>
        <v>0</v>
      </c>
      <c r="F72" s="36">
        <f>[69]GtS!$H$57</f>
        <v>0</v>
      </c>
      <c r="G72" s="37">
        <f>[70]GtS!$H$57</f>
        <v>0</v>
      </c>
      <c r="H72" s="57">
        <f>IF('AW Schulen'!$C84=0,"x",C72/'AW Schulen'!$C84)</f>
        <v>0</v>
      </c>
      <c r="I72" s="155" t="str">
        <f>IF('AW Schulen'!$F66=0,".",D72/'AW Schulen'!$F66)</f>
        <v>.</v>
      </c>
      <c r="J72" s="155" t="str">
        <f>IF('AW Schulen'!$I66=0,".",E72/'AW Schulen'!$I66)</f>
        <v>.</v>
      </c>
      <c r="K72" s="155" t="str">
        <f>IF('AW Schulen'!$L66=0,".",F72/'AW Schulen'!$L66)</f>
        <v>.</v>
      </c>
      <c r="L72" s="156" t="str">
        <f>IF('AW Schulen'!$O66=0,".",G72/'AW Schulen'!$O66)</f>
        <v>.</v>
      </c>
    </row>
    <row r="73" spans="1:12" ht="9" customHeight="1">
      <c r="A73" s="21" t="s">
        <v>87</v>
      </c>
      <c r="B73" s="202"/>
      <c r="C73" s="151">
        <f>[31]GtS!$H$55</f>
        <v>0</v>
      </c>
      <c r="D73" s="151">
        <f>[32]GtS!$H$57</f>
        <v>0</v>
      </c>
      <c r="E73" s="151">
        <f>[33]GtS!$H$57</f>
        <v>0</v>
      </c>
      <c r="F73" s="151">
        <f>[34]GtS!$H$57</f>
        <v>0</v>
      </c>
      <c r="G73" s="152">
        <f>[35]GtS!$H$57</f>
        <v>0</v>
      </c>
      <c r="H73" s="193" t="str">
        <f>IF('AW Schulen'!$C85=0,"x",C73/'AW Schulen'!$C85)</f>
        <v>x</v>
      </c>
      <c r="I73" s="193" t="str">
        <f>IF('AW Schulen'!$F85=0,"x",D73/'AW Schulen'!$F85)</f>
        <v>x</v>
      </c>
      <c r="J73" s="193" t="str">
        <f>IF('AW Schulen'!$I85=0,"x",E73/'AW Schulen'!$I85)</f>
        <v>x</v>
      </c>
      <c r="K73" s="193" t="str">
        <f>IF('AW Schulen'!$L85=0,"x",F73/'AW Schulen'!$L85)</f>
        <v>x</v>
      </c>
      <c r="L73" s="194" t="str">
        <f>IF('AW Schulen'!$O85=0,"x",G73/'AW Schulen'!$O85)</f>
        <v>x</v>
      </c>
    </row>
    <row r="74" spans="1:12" ht="9" customHeight="1">
      <c r="A74" s="21" t="s">
        <v>88</v>
      </c>
      <c r="B74" s="202"/>
      <c r="C74" s="36">
        <f>[71]GtS!$H$55</f>
        <v>0</v>
      </c>
      <c r="D74" s="36">
        <f>[72]GtS!$H$57</f>
        <v>0</v>
      </c>
      <c r="E74" s="36">
        <f>[73]GtS!$H$57</f>
        <v>0</v>
      </c>
      <c r="F74" s="36">
        <f>[74]GtS!$H$57</f>
        <v>0</v>
      </c>
      <c r="G74" s="37">
        <f>[75]GtS!$H$57</f>
        <v>0</v>
      </c>
      <c r="H74" s="57">
        <f>IF('AW Schulen'!$C86=0,"x",C74/'AW Schulen'!$C86)</f>
        <v>0</v>
      </c>
      <c r="I74" s="57">
        <f>IF('AW Schulen'!$F86=0,"x",D74/'AW Schulen'!$F86)</f>
        <v>0</v>
      </c>
      <c r="J74" s="57">
        <f>IF('AW Schulen'!$I86=0,"x",E74/'AW Schulen'!$I86)</f>
        <v>0</v>
      </c>
      <c r="K74" s="57">
        <f>IF('AW Schulen'!$L86=0,"x",F74/'AW Schulen'!$L86)</f>
        <v>0</v>
      </c>
      <c r="L74" s="195">
        <f>IF('AW Schulen'!$O86=0,"x",G74/'AW Schulen'!$O86)</f>
        <v>0</v>
      </c>
    </row>
    <row r="75" spans="1:12" ht="9" customHeight="1">
      <c r="A75" s="21" t="s">
        <v>89</v>
      </c>
      <c r="B75" s="202"/>
      <c r="C75" s="23">
        <f>[36]GtS!$H$55</f>
        <v>0</v>
      </c>
      <c r="D75" s="23">
        <f>[37]GtS!$H$57</f>
        <v>0</v>
      </c>
      <c r="E75" s="23">
        <f>[38]GtS!$H$57</f>
        <v>0</v>
      </c>
      <c r="F75" s="23">
        <f>[39]GtS!$H$57</f>
        <v>0</v>
      </c>
      <c r="G75" s="34">
        <f>[40]GtS!$H$57</f>
        <v>0</v>
      </c>
      <c r="H75" s="155">
        <f>IF('AW Schulen'!$C87=0,"x",C75/'AW Schulen'!$C87)</f>
        <v>0</v>
      </c>
      <c r="I75" s="155">
        <f>IF('AW Schulen'!$F87=0,"x",D75/'AW Schulen'!$F87)</f>
        <v>0</v>
      </c>
      <c r="J75" s="155">
        <f>IF('AW Schulen'!$I87=0,"x",E75/'AW Schulen'!$I87)</f>
        <v>0</v>
      </c>
      <c r="K75" s="155">
        <f>IF('AW Schulen'!$L87=0,"x",F75/'AW Schulen'!$L87)</f>
        <v>0</v>
      </c>
      <c r="L75" s="156">
        <f>IF('AW Schulen'!$O87=0,"x",G75/'AW Schulen'!$O87)</f>
        <v>0</v>
      </c>
    </row>
    <row r="76" spans="1:12" ht="9" customHeight="1">
      <c r="A76" s="21" t="s">
        <v>90</v>
      </c>
      <c r="B76" s="202"/>
      <c r="C76" s="23">
        <f>[41]GtS!$H$55</f>
        <v>1</v>
      </c>
      <c r="D76" s="23">
        <f>[42]GtS!$H$57</f>
        <v>1</v>
      </c>
      <c r="E76" s="23">
        <f>[43]GtS!$H$57</f>
        <v>1</v>
      </c>
      <c r="F76" s="23">
        <f>[44]GtS!$H$57</f>
        <v>1</v>
      </c>
      <c r="G76" s="34">
        <f>[45]GtS!$H$57</f>
        <v>1</v>
      </c>
      <c r="H76" s="155">
        <f>IF('AW Schulen'!$C88=0,"x",C76/'AW Schulen'!$C88)</f>
        <v>9.0909090909090912E-2</v>
      </c>
      <c r="I76" s="155">
        <f>IF('AW Schulen'!$F88=0,"x",D76/'AW Schulen'!$F88)</f>
        <v>9.0909090909090912E-2</v>
      </c>
      <c r="J76" s="155">
        <f>IF('AW Schulen'!$I88=0,"x",E76/'AW Schulen'!$I88)</f>
        <v>0.1</v>
      </c>
      <c r="K76" s="155">
        <f>IF('AW Schulen'!$L88=0,"x",F76/'AW Schulen'!$L88)</f>
        <v>0.1111111111111111</v>
      </c>
      <c r="L76" s="156">
        <f>IF('AW Schulen'!$O88=0,"x",G76/'AW Schulen'!$O88)</f>
        <v>0.1111111111111111</v>
      </c>
    </row>
    <row r="77" spans="1:12" ht="9" customHeight="1">
      <c r="A77" s="21" t="s">
        <v>91</v>
      </c>
      <c r="B77" s="202"/>
      <c r="C77" s="23">
        <f>[46]GtS!$H$55</f>
        <v>3</v>
      </c>
      <c r="D77" s="23">
        <f>[47]GtS!$H$57</f>
        <v>3</v>
      </c>
      <c r="E77" s="23">
        <f>[48]GtS!$H$57</f>
        <v>3</v>
      </c>
      <c r="F77" s="23">
        <f>[49]GtS!$H$57</f>
        <v>3</v>
      </c>
      <c r="G77" s="34">
        <f>[50]GtS!$H$57</f>
        <v>2</v>
      </c>
      <c r="H77" s="155">
        <f>IF('AW Schulen'!$C89=0,"x",C77/'AW Schulen'!$C89)</f>
        <v>1</v>
      </c>
      <c r="I77" s="155">
        <f>IF('AW Schulen'!$F89=0,"x",D77/'AW Schulen'!$F89)</f>
        <v>1</v>
      </c>
      <c r="J77" s="155">
        <f>IF('AW Schulen'!$I89=0,"x",E77/'AW Schulen'!$I89)</f>
        <v>1</v>
      </c>
      <c r="K77" s="155">
        <f>IF('AW Schulen'!$L89=0,"x",F77/'AW Schulen'!$L89)</f>
        <v>1</v>
      </c>
      <c r="L77" s="156">
        <f>IF('AW Schulen'!$O89=0,"x",G77/'AW Schulen'!$O89)</f>
        <v>1</v>
      </c>
    </row>
    <row r="78" spans="1:12" ht="9" customHeight="1">
      <c r="A78" s="21" t="s">
        <v>92</v>
      </c>
      <c r="B78" s="202"/>
      <c r="C78" s="151">
        <f>[51]GtS!$H$55</f>
        <v>0</v>
      </c>
      <c r="D78" s="151">
        <f>[52]GtS!$H$57</f>
        <v>0</v>
      </c>
      <c r="E78" s="151">
        <f>[53]GtS!$H$57</f>
        <v>0</v>
      </c>
      <c r="F78" s="151">
        <f>[54]GtS!$H$57</f>
        <v>0</v>
      </c>
      <c r="G78" s="152">
        <f>[55]GtS!$H$57</f>
        <v>0</v>
      </c>
      <c r="H78" s="193" t="str">
        <f>IF('AW Schulen'!$C90=0,"x",C78/'AW Schulen'!$C90)</f>
        <v>x</v>
      </c>
      <c r="I78" s="193" t="str">
        <f>IF('AW Schulen'!$F90=0,"x",D78/'AW Schulen'!$F90)</f>
        <v>x</v>
      </c>
      <c r="J78" s="193" t="str">
        <f>IF('AW Schulen'!$I90=0,"x",E78/'AW Schulen'!$I90)</f>
        <v>x</v>
      </c>
      <c r="K78" s="193" t="str">
        <f>IF('AW Schulen'!$L90=0,"x",F78/'AW Schulen'!$L90)</f>
        <v>x</v>
      </c>
      <c r="L78" s="194" t="str">
        <f>IF('AW Schulen'!$O90=0,"x",G78/'AW Schulen'!$O90)</f>
        <v>x</v>
      </c>
    </row>
    <row r="79" spans="1:12" ht="9" customHeight="1">
      <c r="A79" s="21" t="s">
        <v>93</v>
      </c>
      <c r="B79" s="202"/>
      <c r="C79" s="151">
        <f>[76]GtS!$H$55</f>
        <v>0</v>
      </c>
      <c r="D79" s="151">
        <f>[77]GtS!$H$57</f>
        <v>0</v>
      </c>
      <c r="E79" s="151">
        <f>[78]GtS!$H$57</f>
        <v>0</v>
      </c>
      <c r="F79" s="151">
        <f>[79]GtS!$H$57</f>
        <v>0</v>
      </c>
      <c r="G79" s="152">
        <f>[80]GtS!$H$57</f>
        <v>0</v>
      </c>
      <c r="H79" s="193" t="str">
        <f>IF('AW Schulen'!$C91=0,"x",C79/'AW Schulen'!$C91)</f>
        <v>x</v>
      </c>
      <c r="I79" s="193" t="str">
        <f>IF('AW Schulen'!$F91=0,"x",D79/'AW Schulen'!$F91)</f>
        <v>x</v>
      </c>
      <c r="J79" s="193" t="str">
        <f>IF('AW Schulen'!$I91=0,"x",E79/'AW Schulen'!$I91)</f>
        <v>x</v>
      </c>
      <c r="K79" s="193" t="str">
        <f>IF('AW Schulen'!$L91=0,"x",F79/'AW Schulen'!$L91)</f>
        <v>x</v>
      </c>
      <c r="L79" s="194" t="str">
        <f>IF('AW Schulen'!$O91=0,"x",G79/'AW Schulen'!$O91)</f>
        <v>x</v>
      </c>
    </row>
    <row r="80" spans="1:12" ht="9" customHeight="1">
      <c r="A80" s="21" t="s">
        <v>94</v>
      </c>
      <c r="B80" s="202"/>
      <c r="C80" s="23">
        <f>[56]GtS!$H$55</f>
        <v>0</v>
      </c>
      <c r="D80" s="23">
        <f>[57]GtS!$H$57</f>
        <v>0</v>
      </c>
      <c r="E80" s="23">
        <f>[58]GtS!$H$57</f>
        <v>0</v>
      </c>
      <c r="F80" s="23">
        <f>[59]GtS!$H$57</f>
        <v>0</v>
      </c>
      <c r="G80" s="152">
        <f>[60]GtS!$H$57</f>
        <v>0</v>
      </c>
      <c r="H80" s="155">
        <f>IF('AW Schulen'!$C92=0,"x",C80/'AW Schulen'!$C92)</f>
        <v>0</v>
      </c>
      <c r="I80" s="155">
        <f>IF('AW Schulen'!$F92=0,"x",D80/'AW Schulen'!$F92)</f>
        <v>0</v>
      </c>
      <c r="J80" s="155">
        <f>IF('AW Schulen'!$I92=0,"x",E80/'AW Schulen'!$I92)</f>
        <v>0</v>
      </c>
      <c r="K80" s="155">
        <f>IF('AW Schulen'!$L92=0,"x",F80/'AW Schulen'!$L92)</f>
        <v>0</v>
      </c>
      <c r="L80" s="156" t="str">
        <f>IF('AW Schulen'!$O92=0,"x",G80/'AW Schulen'!$O92)</f>
        <v>x</v>
      </c>
    </row>
    <row r="81" spans="1:12" ht="9" customHeight="1">
      <c r="A81" s="21" t="s">
        <v>95</v>
      </c>
      <c r="B81" s="202"/>
      <c r="C81" s="151">
        <f>[61]GtS!$H$55</f>
        <v>0</v>
      </c>
      <c r="D81" s="151">
        <f>[62]GtS!$H$57</f>
        <v>0</v>
      </c>
      <c r="E81" s="151">
        <f>[63]GtS!$H$57</f>
        <v>0</v>
      </c>
      <c r="F81" s="151">
        <f>[64]GtS!$H$57</f>
        <v>0</v>
      </c>
      <c r="G81" s="152">
        <f>[65]GtS!$H$57</f>
        <v>0</v>
      </c>
      <c r="H81" s="193" t="str">
        <f>IF('AW Schulen'!$C93=0,"x",C81/'AW Schulen'!$C93)</f>
        <v>x</v>
      </c>
      <c r="I81" s="193" t="str">
        <f>IF('AW Schulen'!$F93=0,"x",D81/'AW Schulen'!$F93)</f>
        <v>x</v>
      </c>
      <c r="J81" s="193" t="str">
        <f>IF('AW Schulen'!$I93=0,"x",E81/'AW Schulen'!$I93)</f>
        <v>x</v>
      </c>
      <c r="K81" s="193" t="str">
        <f>IF('AW Schulen'!$L93=0,"x",F81/'AW Schulen'!$L93)</f>
        <v>x</v>
      </c>
      <c r="L81" s="194" t="str">
        <f>IF('AW Schulen'!$O93=0,"x",G81/'AW Schulen'!$O93)</f>
        <v>x</v>
      </c>
    </row>
    <row r="82" spans="1:12" ht="9" customHeight="1">
      <c r="A82" s="24" t="s">
        <v>96</v>
      </c>
      <c r="B82" s="208"/>
      <c r="C82" s="26">
        <f t="shared" ref="C82:E82" si="39">SUM(C66:C81)</f>
        <v>90</v>
      </c>
      <c r="D82" s="26">
        <f t="shared" si="39"/>
        <v>89</v>
      </c>
      <c r="E82" s="26">
        <f t="shared" si="39"/>
        <v>92</v>
      </c>
      <c r="F82" s="26">
        <f t="shared" ref="F82:G82" si="40">SUM(F66:F81)</f>
        <v>94</v>
      </c>
      <c r="G82" s="47">
        <f t="shared" si="40"/>
        <v>94</v>
      </c>
      <c r="H82" s="157">
        <f>IF('AW Schulen'!$C94=0,"x",C82/'AW Schulen'!$C94)</f>
        <v>0.31468531468531469</v>
      </c>
      <c r="I82" s="157">
        <f>IF('AW Schulen'!$F94=0,"x",D82/'AW Schulen'!$F94)</f>
        <v>0.31010452961672474</v>
      </c>
      <c r="J82" s="157">
        <f>IF('AW Schulen'!$I94=0,"x",E82/'AW Schulen'!$I94)</f>
        <v>0.32167832167832167</v>
      </c>
      <c r="K82" s="157">
        <f>IF('AW Schulen'!$L94=0,"x",F82/'AW Schulen'!$L94)</f>
        <v>0.3263888888888889</v>
      </c>
      <c r="L82" s="158">
        <f>IF('AW Schulen'!$O94=0,"x",G82/'AW Schulen'!$O94)</f>
        <v>0.33215547703180209</v>
      </c>
    </row>
    <row r="83" spans="1:12" ht="19.5" customHeight="1">
      <c r="A83" s="396" t="s">
        <v>312</v>
      </c>
      <c r="B83" s="396"/>
      <c r="C83" s="396"/>
      <c r="D83" s="396"/>
      <c r="E83" s="396"/>
      <c r="F83" s="396"/>
      <c r="G83" s="396"/>
      <c r="H83" s="396"/>
      <c r="I83" s="396"/>
      <c r="J83" s="396"/>
      <c r="K83" s="396"/>
      <c r="L83" s="396"/>
    </row>
    <row r="84" spans="1:12" ht="10.15" customHeight="1">
      <c r="A84" s="220" t="s">
        <v>139</v>
      </c>
      <c r="B84" s="38"/>
      <c r="C84" s="38"/>
      <c r="D84" s="38"/>
      <c r="E84" s="38"/>
      <c r="F84" s="38"/>
      <c r="G84" s="38"/>
    </row>
    <row r="85" spans="1:12" ht="10.15" customHeight="1">
      <c r="A85" s="306" t="s">
        <v>101</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4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M87"/>
  <sheetViews>
    <sheetView view="pageBreakPreview" topLeftCell="A67" zoomScale="175" zoomScaleNormal="150" zoomScaleSheetLayoutView="175"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'2.3.5'!A1:E1+1</f>
        <v>29</v>
      </c>
      <c r="B1" s="383"/>
      <c r="C1" s="383"/>
      <c r="D1" s="383"/>
      <c r="E1" s="383"/>
      <c r="F1" s="383"/>
      <c r="G1" s="383"/>
      <c r="H1" s="383"/>
      <c r="I1" s="383"/>
      <c r="J1" s="383"/>
      <c r="K1" s="383"/>
      <c r="L1" s="383"/>
      <c r="M1" s="58" t="s">
        <v>108</v>
      </c>
    </row>
    <row r="2" spans="1:13" ht="6" customHeight="1"/>
    <row r="3" spans="1:13" s="1" customFormat="1" ht="12.6" customHeight="1">
      <c r="A3" s="14">
        <v>2</v>
      </c>
      <c r="B3" s="12" t="s">
        <v>264</v>
      </c>
      <c r="C3" s="12"/>
      <c r="D3" s="12"/>
      <c r="E3" s="12"/>
      <c r="F3" s="12"/>
      <c r="G3" s="12"/>
    </row>
    <row r="4" spans="1:13" s="1" customFormat="1" ht="12.6" customHeight="1">
      <c r="A4" s="49" t="s">
        <v>28</v>
      </c>
      <c r="B4" s="12" t="s">
        <v>186</v>
      </c>
      <c r="C4" s="14"/>
      <c r="D4" s="14"/>
      <c r="E4" s="14"/>
      <c r="F4" s="14"/>
      <c r="G4" s="14"/>
    </row>
    <row r="5" spans="1:13" s="4" customFormat="1" ht="14.1" customHeight="1">
      <c r="A5" s="13" t="s">
        <v>34</v>
      </c>
      <c r="B5" s="39" t="s">
        <v>187</v>
      </c>
      <c r="C5" s="41"/>
      <c r="D5" s="41"/>
      <c r="E5" s="41"/>
      <c r="F5" s="41"/>
      <c r="G5" s="41"/>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43</v>
      </c>
      <c r="D12" s="42">
        <f t="shared" si="0"/>
        <v>45</v>
      </c>
      <c r="E12" s="42">
        <f t="shared" ref="E12:F12" si="1">SUM(E30+E48+E66)</f>
        <v>44</v>
      </c>
      <c r="F12" s="42">
        <f t="shared" si="1"/>
        <v>43</v>
      </c>
      <c r="G12" s="44">
        <f t="shared" ref="G12" si="2">SUM(G30+G48+G66)</f>
        <v>48</v>
      </c>
      <c r="H12" s="153">
        <f>IF('AW Schulen'!$C96=0,"x",C12/'AW Schulen'!$C96)</f>
        <v>0.55844155844155841</v>
      </c>
      <c r="I12" s="153">
        <f>IF('AW Schulen'!$F96=0,"x",D12/'AW Schulen'!$F96)</f>
        <v>0.5625</v>
      </c>
      <c r="J12" s="153">
        <f>IF('AW Schulen'!$I96=0,"x",E12/'AW Schulen'!$I96)</f>
        <v>0.54320987654320985</v>
      </c>
      <c r="K12" s="153">
        <f>IF('AW Schulen'!$L96=0,"x",F12/'AW Schulen'!$L96)</f>
        <v>0.53086419753086422</v>
      </c>
      <c r="L12" s="154">
        <f>IF('AW Schulen'!$O96=0,"x",G12/'AW Schulen'!$O96)</f>
        <v>0.59259259259259256</v>
      </c>
    </row>
    <row r="13" spans="1:13" ht="9" customHeight="1">
      <c r="A13" s="21" t="s">
        <v>81</v>
      </c>
      <c r="B13" s="120"/>
      <c r="C13" s="42">
        <f t="shared" si="0"/>
        <v>60</v>
      </c>
      <c r="D13" s="42">
        <f t="shared" si="0"/>
        <v>63</v>
      </c>
      <c r="E13" s="42">
        <f t="shared" ref="E13:F13" si="3">SUM(E31+E49+E67)</f>
        <v>63</v>
      </c>
      <c r="F13" s="42">
        <f t="shared" si="3"/>
        <v>61</v>
      </c>
      <c r="G13" s="44">
        <f t="shared" ref="G13" si="4">SUM(G31+G49+G67)</f>
        <v>63</v>
      </c>
      <c r="H13" s="153">
        <f>IF('AW Schulen'!$C97=0,"x",C13/'AW Schulen'!$C97)</f>
        <v>0.81081081081081086</v>
      </c>
      <c r="I13" s="153">
        <f>IF('AW Schulen'!$F97=0,"x",D13/'AW Schulen'!$F97)</f>
        <v>0.85135135135135132</v>
      </c>
      <c r="J13" s="153">
        <f>IF('AW Schulen'!$I97=0,"x",E13/'AW Schulen'!$I97)</f>
        <v>0.85135135135135132</v>
      </c>
      <c r="K13" s="153">
        <f>IF('AW Schulen'!$L97=0,"x",F13/'AW Schulen'!$L97)</f>
        <v>0.81333333333333335</v>
      </c>
      <c r="L13" s="154">
        <f>IF('AW Schulen'!$O97=0,"x",G13/'AW Schulen'!$O97)</f>
        <v>0.85135135135135132</v>
      </c>
    </row>
    <row r="14" spans="1:13" ht="9" customHeight="1">
      <c r="A14" s="21" t="s">
        <v>82</v>
      </c>
      <c r="B14" s="120"/>
      <c r="C14" s="42">
        <f t="shared" si="0"/>
        <v>14</v>
      </c>
      <c r="D14" s="42">
        <f t="shared" si="0"/>
        <v>4</v>
      </c>
      <c r="E14" s="42">
        <f t="shared" ref="E14:F14" si="5">SUM(E32+E50+E68)</f>
        <v>4</v>
      </c>
      <c r="F14" s="42">
        <f t="shared" si="5"/>
        <v>6</v>
      </c>
      <c r="G14" s="44">
        <f t="shared" ref="G14" si="6">SUM(G32+G50+G68)</f>
        <v>8</v>
      </c>
      <c r="H14" s="153">
        <f>IF('AW Schulen'!$C98=0,"x",C14/'AW Schulen'!$C98)</f>
        <v>0.60869565217391308</v>
      </c>
      <c r="I14" s="153">
        <f>IF('AW Schulen'!$F98=0,"x",D14/'AW Schulen'!$F98)</f>
        <v>0.4</v>
      </c>
      <c r="J14" s="153">
        <f>IF('AW Schulen'!$I98=0,"x",E14/'AW Schulen'!$I98)</f>
        <v>0.17391304347826086</v>
      </c>
      <c r="K14" s="153">
        <f>IF('AW Schulen'!$L98=0,"x",F14/'AW Schulen'!$L98)</f>
        <v>0.2608695652173913</v>
      </c>
      <c r="L14" s="154">
        <f>IF('AW Schulen'!$O98=0,"x",G14/'AW Schulen'!$O98)</f>
        <v>0.36363636363636365</v>
      </c>
    </row>
    <row r="15" spans="1:13" ht="9" customHeight="1">
      <c r="A15" s="21" t="s">
        <v>83</v>
      </c>
      <c r="B15" s="120"/>
      <c r="C15" s="42">
        <f t="shared" si="0"/>
        <v>19</v>
      </c>
      <c r="D15" s="42">
        <f t="shared" si="0"/>
        <v>19</v>
      </c>
      <c r="E15" s="42">
        <f t="shared" ref="E15:F15" si="7">SUM(E33+E51+E69)</f>
        <v>21</v>
      </c>
      <c r="F15" s="42">
        <f t="shared" si="7"/>
        <v>22</v>
      </c>
      <c r="G15" s="44">
        <f t="shared" ref="G15" si="8">SUM(G33+G51+G69)</f>
        <v>23</v>
      </c>
      <c r="H15" s="153">
        <f>IF('AW Schulen'!$C99=0,"x",C15/'AW Schulen'!$C99)</f>
        <v>0.82608695652173914</v>
      </c>
      <c r="I15" s="153">
        <f>IF('AW Schulen'!$F99=0,"x",D15/'AW Schulen'!$F99)</f>
        <v>0.82608695652173914</v>
      </c>
      <c r="J15" s="153">
        <f>IF('AW Schulen'!$I99=0,"x",E15/'AW Schulen'!$I99)</f>
        <v>0.875</v>
      </c>
      <c r="K15" s="153">
        <f>IF('AW Schulen'!$L99=0,"x",F15/'AW Schulen'!$L99)</f>
        <v>0.88</v>
      </c>
      <c r="L15" s="154">
        <f>IF('AW Schulen'!$O99=0,"x",G15/'AW Schulen'!$O99)</f>
        <v>0.92</v>
      </c>
    </row>
    <row r="16" spans="1:13" ht="9" customHeight="1">
      <c r="A16" s="21" t="s">
        <v>84</v>
      </c>
      <c r="B16" s="120"/>
      <c r="C16" s="42">
        <f t="shared" si="0"/>
        <v>1</v>
      </c>
      <c r="D16" s="42">
        <f t="shared" si="0"/>
        <v>1</v>
      </c>
      <c r="E16" s="42">
        <f t="shared" ref="E16:F16" si="9">SUM(E34+E52+E70)</f>
        <v>1</v>
      </c>
      <c r="F16" s="42">
        <f t="shared" si="9"/>
        <v>2</v>
      </c>
      <c r="G16" s="44">
        <f t="shared" ref="G16" si="10">SUM(G34+G52+G70)</f>
        <v>0</v>
      </c>
      <c r="H16" s="153">
        <f>IF('AW Schulen'!$C100=0,"x",C16/'AW Schulen'!$C100)</f>
        <v>0.2</v>
      </c>
      <c r="I16" s="153">
        <f>IF('AW Schulen'!$F100=0,"x",D16/'AW Schulen'!$F100)</f>
        <v>0.2</v>
      </c>
      <c r="J16" s="153">
        <f>IF('AW Schulen'!$I100=0,"x",E16/'AW Schulen'!$I100)</f>
        <v>0.2</v>
      </c>
      <c r="K16" s="153">
        <f>IF('AW Schulen'!$L100=0,"x",F16/'AW Schulen'!$L100)</f>
        <v>0.4</v>
      </c>
      <c r="L16" s="154">
        <f>IF('AW Schulen'!$O100=0,"x",G16/'AW Schulen'!$O100)</f>
        <v>0</v>
      </c>
    </row>
    <row r="17" spans="1:12" ht="9" customHeight="1">
      <c r="A17" s="21" t="s">
        <v>85</v>
      </c>
      <c r="B17" s="120"/>
      <c r="C17" s="42">
        <f t="shared" si="0"/>
        <v>7</v>
      </c>
      <c r="D17" s="42">
        <f t="shared" si="0"/>
        <v>7</v>
      </c>
      <c r="E17" s="42">
        <f t="shared" ref="E17:F17" si="11">SUM(E35+E53+E71)</f>
        <v>7</v>
      </c>
      <c r="F17" s="42">
        <f t="shared" si="11"/>
        <v>7</v>
      </c>
      <c r="G17" s="44">
        <f t="shared" ref="G17" si="12">SUM(G35+G53+G71)</f>
        <v>7</v>
      </c>
      <c r="H17" s="153">
        <f>IF('AW Schulen'!$C101=0,"x",C17/'AW Schulen'!$C101)</f>
        <v>0.63636363636363635</v>
      </c>
      <c r="I17" s="153">
        <f>IF('AW Schulen'!$F101=0,"x",D17/'AW Schulen'!$F101)</f>
        <v>0.63636363636363635</v>
      </c>
      <c r="J17" s="153">
        <f>IF('AW Schulen'!$I101=0,"x",E17/'AW Schulen'!$I101)</f>
        <v>0.63636363636363635</v>
      </c>
      <c r="K17" s="153">
        <f>IF('AW Schulen'!$L101=0,"x",F17/'AW Schulen'!$L101)</f>
        <v>0.63636363636363635</v>
      </c>
      <c r="L17" s="154">
        <f>IF('AW Schulen'!$O101=0,"x",G17/'AW Schulen'!$O101)</f>
        <v>0.63636363636363635</v>
      </c>
    </row>
    <row r="18" spans="1:12" ht="9" customHeight="1">
      <c r="A18" s="21" t="s">
        <v>86</v>
      </c>
      <c r="B18" s="120"/>
      <c r="C18" s="111">
        <f t="shared" si="0"/>
        <v>0</v>
      </c>
      <c r="D18" s="111">
        <f t="shared" si="0"/>
        <v>0</v>
      </c>
      <c r="E18" s="111">
        <f t="shared" ref="E18:F18" si="13">SUM(E36+E54+E72)</f>
        <v>0</v>
      </c>
      <c r="F18" s="111">
        <f t="shared" si="13"/>
        <v>0</v>
      </c>
      <c r="G18" s="112">
        <f t="shared" ref="G18" si="14">SUM(G36+G54+G72)</f>
        <v>0</v>
      </c>
      <c r="H18" s="111">
        <f>IF('AW Schulen'!$C102=0,"x",C18/'AW Schulen'!$C102)</f>
        <v>0</v>
      </c>
      <c r="I18" s="182" t="str">
        <f>IF('AW Schulen'!$F102=0,".",D18/'AW Schulen'!$F102)</f>
        <v>.</v>
      </c>
      <c r="J18" s="182" t="str">
        <f>IF('AW Schulen'!$I102=0,".",E18/'AW Schulen'!$I102)</f>
        <v>.</v>
      </c>
      <c r="K18" s="182" t="str">
        <f>IF('AW Schulen'!$L102=0,".",F18/'AW Schulen'!$L102)</f>
        <v>.</v>
      </c>
      <c r="L18" s="196" t="str">
        <f>IF('AW Schulen'!$O102=0,".",G18/'AW Schulen'!$O102)</f>
        <v>.</v>
      </c>
    </row>
    <row r="19" spans="1:12" ht="9" customHeight="1">
      <c r="A19" s="21" t="s">
        <v>174</v>
      </c>
      <c r="B19" s="120"/>
      <c r="C19" s="42">
        <f t="shared" si="0"/>
        <v>10</v>
      </c>
      <c r="D19" s="42">
        <f t="shared" si="0"/>
        <v>12</v>
      </c>
      <c r="E19" s="42">
        <f t="shared" ref="E19:F19" si="15">SUM(E37+E55+E73)</f>
        <v>12</v>
      </c>
      <c r="F19" s="42">
        <f t="shared" si="15"/>
        <v>14</v>
      </c>
      <c r="G19" s="44">
        <f t="shared" ref="G19" si="16">SUM(G37+G55+G73)</f>
        <v>14</v>
      </c>
      <c r="H19" s="153">
        <f>IF('AW Schulen'!$C103=0,"x",C19/'AW Schulen'!$C103)</f>
        <v>0.83333333333333337</v>
      </c>
      <c r="I19" s="153">
        <f>IF('AW Schulen'!$F103=0,"x",D19/'AW Schulen'!$F103)</f>
        <v>1</v>
      </c>
      <c r="J19" s="153">
        <f>IF('AW Schulen'!$I103=0,"x",E19/'AW Schulen'!$I103)</f>
        <v>0.92307692307692313</v>
      </c>
      <c r="K19" s="153">
        <f>IF('AW Schulen'!$L103=0,"x",F19/'AW Schulen'!$L103)</f>
        <v>1</v>
      </c>
      <c r="L19" s="154">
        <f>IF('AW Schulen'!$O103=0,"x",G19/'AW Schulen'!$O103)</f>
        <v>1</v>
      </c>
    </row>
    <row r="20" spans="1:12" ht="9" customHeight="1">
      <c r="A20" s="21" t="s">
        <v>88</v>
      </c>
      <c r="B20" s="120"/>
      <c r="C20" s="111">
        <f t="shared" si="0"/>
        <v>0</v>
      </c>
      <c r="D20" s="111">
        <f t="shared" si="0"/>
        <v>0</v>
      </c>
      <c r="E20" s="111">
        <f t="shared" ref="E20:F20" si="17">SUM(E38+E56+E74)</f>
        <v>0</v>
      </c>
      <c r="F20" s="111">
        <f t="shared" si="17"/>
        <v>0</v>
      </c>
      <c r="G20" s="112">
        <f t="shared" ref="G20" si="18">SUM(G38+G56+G74)</f>
        <v>0</v>
      </c>
      <c r="H20" s="111">
        <f>IF('AW Schulen'!$C104=0,"x",C20/'AW Schulen'!$C104)</f>
        <v>0</v>
      </c>
      <c r="I20" s="111">
        <f>IF('AW Schulen'!$F104=0,"x",D20/'AW Schulen'!$F104)</f>
        <v>0</v>
      </c>
      <c r="J20" s="111">
        <f>IF('AW Schulen'!$I104=0,"x",E20/'AW Schulen'!$I104)</f>
        <v>0</v>
      </c>
      <c r="K20" s="111">
        <f>IF('AW Schulen'!$L104=0,"x",F20/'AW Schulen'!$L104)</f>
        <v>0</v>
      </c>
      <c r="L20" s="112">
        <f>IF('AW Schulen'!$O104=0,"x",G20/'AW Schulen'!$O104)</f>
        <v>0</v>
      </c>
    </row>
    <row r="21" spans="1:12" ht="9" customHeight="1">
      <c r="A21" s="21" t="s">
        <v>89</v>
      </c>
      <c r="B21" s="120"/>
      <c r="C21" s="42">
        <f t="shared" si="0"/>
        <v>16</v>
      </c>
      <c r="D21" s="42">
        <f t="shared" si="0"/>
        <v>18</v>
      </c>
      <c r="E21" s="42">
        <f t="shared" ref="E21:F21" si="19">SUM(E39+E57+E75)</f>
        <v>20</v>
      </c>
      <c r="F21" s="42">
        <f t="shared" si="19"/>
        <v>21</v>
      </c>
      <c r="G21" s="44">
        <f t="shared" ref="G21" si="20">SUM(G39+G57+G75)</f>
        <v>22</v>
      </c>
      <c r="H21" s="153">
        <f>IF('AW Schulen'!$C105=0,"x",C21/'AW Schulen'!$C105)</f>
        <v>0.14035087719298245</v>
      </c>
      <c r="I21" s="153">
        <f>IF('AW Schulen'!$F105=0,"x",D21/'AW Schulen'!$F105)</f>
        <v>0.15789473684210525</v>
      </c>
      <c r="J21" s="153">
        <f>IF('AW Schulen'!$I105=0,"x",E21/'AW Schulen'!$I105)</f>
        <v>0.17699115044247787</v>
      </c>
      <c r="K21" s="153">
        <f>IF('AW Schulen'!$L105=0,"x",F21/'AW Schulen'!$L105)</f>
        <v>0.18421052631578946</v>
      </c>
      <c r="L21" s="154">
        <f>IF('AW Schulen'!$O105=0,"x",G21/'AW Schulen'!$O105)</f>
        <v>0.19130434782608696</v>
      </c>
    </row>
    <row r="22" spans="1:12" ht="9" customHeight="1">
      <c r="A22" s="21" t="s">
        <v>90</v>
      </c>
      <c r="B22" s="120"/>
      <c r="C22" s="42">
        <f t="shared" si="0"/>
        <v>15</v>
      </c>
      <c r="D22" s="42">
        <f t="shared" si="0"/>
        <v>18</v>
      </c>
      <c r="E22" s="42">
        <f t="shared" ref="E22:F22" si="21">SUM(E40+E58+E76)</f>
        <v>16</v>
      </c>
      <c r="F22" s="42">
        <f t="shared" si="21"/>
        <v>16</v>
      </c>
      <c r="G22" s="44">
        <f t="shared" ref="G22" si="22">SUM(G40+G58+G76)</f>
        <v>17</v>
      </c>
      <c r="H22" s="153">
        <f>IF('AW Schulen'!$C106=0,"x",C22/'AW Schulen'!$C106)</f>
        <v>0.57692307692307687</v>
      </c>
      <c r="I22" s="153">
        <f>IF('AW Schulen'!$F106=0,"x",D22/'AW Schulen'!$F106)</f>
        <v>0.69230769230769229</v>
      </c>
      <c r="J22" s="153">
        <f>IF('AW Schulen'!$I106=0,"x",E22/'AW Schulen'!$I106)</f>
        <v>0.59259259259259256</v>
      </c>
      <c r="K22" s="153">
        <f>IF('AW Schulen'!$L106=0,"x",F22/'AW Schulen'!$L106)</f>
        <v>0.5714285714285714</v>
      </c>
      <c r="L22" s="154">
        <f>IF('AW Schulen'!$O106=0,"x",G22/'AW Schulen'!$O106)</f>
        <v>0.6071428571428571</v>
      </c>
    </row>
    <row r="23" spans="1:12" ht="9" customHeight="1">
      <c r="A23" s="21" t="s">
        <v>91</v>
      </c>
      <c r="B23" s="120"/>
      <c r="C23" s="42">
        <f t="shared" si="0"/>
        <v>5</v>
      </c>
      <c r="D23" s="42">
        <f t="shared" si="0"/>
        <v>5</v>
      </c>
      <c r="E23" s="42">
        <f t="shared" ref="E23:F23" si="23">SUM(E41+E59+E77)</f>
        <v>5</v>
      </c>
      <c r="F23" s="42">
        <f t="shared" si="23"/>
        <v>5</v>
      </c>
      <c r="G23" s="44">
        <f t="shared" ref="G23" si="24">SUM(G41+G59+G77)</f>
        <v>5</v>
      </c>
      <c r="H23" s="153">
        <f>IF('AW Schulen'!$C107=0,"x",C23/'AW Schulen'!$C107)</f>
        <v>1</v>
      </c>
      <c r="I23" s="153">
        <f>IF('AW Schulen'!$F107=0,"x",D23/'AW Schulen'!$F107)</f>
        <v>1</v>
      </c>
      <c r="J23" s="153">
        <f>IF('AW Schulen'!$I107=0,"x",E23/'AW Schulen'!$I107)</f>
        <v>1</v>
      </c>
      <c r="K23" s="153">
        <f>IF('AW Schulen'!$L107=0,"x",F23/'AW Schulen'!$L107)</f>
        <v>1</v>
      </c>
      <c r="L23" s="154">
        <f>IF('AW Schulen'!$O107=0,"x",G23/'AW Schulen'!$O107)</f>
        <v>1</v>
      </c>
    </row>
    <row r="24" spans="1:12" ht="9" customHeight="1">
      <c r="A24" s="21" t="s">
        <v>92</v>
      </c>
      <c r="B24" s="120"/>
      <c r="C24" s="42">
        <f t="shared" si="0"/>
        <v>32</v>
      </c>
      <c r="D24" s="42">
        <f t="shared" si="0"/>
        <v>33</v>
      </c>
      <c r="E24" s="42">
        <f t="shared" ref="E24:F24" si="25">SUM(E42+E60+E78)</f>
        <v>34</v>
      </c>
      <c r="F24" s="42">
        <f t="shared" si="25"/>
        <v>35</v>
      </c>
      <c r="G24" s="44">
        <f t="shared" ref="G24" si="26">SUM(G42+G60+G78)</f>
        <v>37</v>
      </c>
      <c r="H24" s="153">
        <f>IF('AW Schulen'!$C108=0,"x",C24/'AW Schulen'!$C108)</f>
        <v>0.94117647058823528</v>
      </c>
      <c r="I24" s="153">
        <f>IF('AW Schulen'!$F108=0,"x",D24/'AW Schulen'!$F108)</f>
        <v>0.97058823529411764</v>
      </c>
      <c r="J24" s="153">
        <f>IF('AW Schulen'!$I108=0,"x",E24/'AW Schulen'!$I108)</f>
        <v>0.97142857142857142</v>
      </c>
      <c r="K24" s="153">
        <f>IF('AW Schulen'!$L108=0,"x",F24/'AW Schulen'!$L108)</f>
        <v>1</v>
      </c>
      <c r="L24" s="154">
        <f>IF('AW Schulen'!$O108=0,"x",G24/'AW Schulen'!$O108)</f>
        <v>0.94871794871794868</v>
      </c>
    </row>
    <row r="25" spans="1:12" ht="9" customHeight="1">
      <c r="A25" s="21" t="s">
        <v>93</v>
      </c>
      <c r="B25" s="120"/>
      <c r="C25" s="111">
        <f t="shared" si="0"/>
        <v>0</v>
      </c>
      <c r="D25" s="111">
        <f t="shared" si="0"/>
        <v>0</v>
      </c>
      <c r="E25" s="111">
        <f t="shared" ref="E25:F25" si="27">SUM(E43+E61+E79)</f>
        <v>0</v>
      </c>
      <c r="F25" s="111">
        <f t="shared" si="27"/>
        <v>0</v>
      </c>
      <c r="G25" s="112">
        <f t="shared" ref="G25" si="28">SUM(G43+G61+G79)</f>
        <v>0</v>
      </c>
      <c r="H25" s="182" t="str">
        <f>IF('AW Schulen'!$C109=0,".",C25/'AW Schulen'!$C109)</f>
        <v>.</v>
      </c>
      <c r="I25" s="182" t="str">
        <f>IF('AW Schulen'!$F109=0,".",D25/'AW Schulen'!$F109)</f>
        <v>.</v>
      </c>
      <c r="J25" s="182" t="str">
        <f>IF('AW Schulen'!$I109=0,".",E25/'AW Schulen'!$I109)</f>
        <v>.</v>
      </c>
      <c r="K25" s="182" t="str">
        <f>IF('AW Schulen'!$L109=0,".",F25/'AW Schulen'!$L109)</f>
        <v>.</v>
      </c>
      <c r="L25" s="196" t="str">
        <f>IF('AW Schulen'!$O109=0,".",G25/'AW Schulen'!$O109)</f>
        <v>.</v>
      </c>
    </row>
    <row r="26" spans="1:12" ht="9" customHeight="1">
      <c r="A26" s="21" t="s">
        <v>94</v>
      </c>
      <c r="B26" s="120"/>
      <c r="C26" s="42">
        <f t="shared" si="0"/>
        <v>0</v>
      </c>
      <c r="D26" s="42">
        <f t="shared" si="0"/>
        <v>0</v>
      </c>
      <c r="E26" s="42">
        <f t="shared" ref="E26:F26" si="29">SUM(E44+E62+E80)</f>
        <v>0</v>
      </c>
      <c r="F26" s="42">
        <f t="shared" si="29"/>
        <v>0</v>
      </c>
      <c r="G26" s="44">
        <f t="shared" ref="G26" si="30">SUM(G44+G62+G80)</f>
        <v>0</v>
      </c>
      <c r="H26" s="153">
        <f>IF('AW Schulen'!$C110=0,"x",C26/'AW Schulen'!$C110)</f>
        <v>0</v>
      </c>
      <c r="I26" s="153">
        <f>IF('AW Schulen'!$F110=0,"x",D26/'AW Schulen'!$F110)</f>
        <v>0</v>
      </c>
      <c r="J26" s="153">
        <f>IF('AW Schulen'!$I110=0,"x",E26/'AW Schulen'!$I110)</f>
        <v>0</v>
      </c>
      <c r="K26" s="153">
        <f>IF('AW Schulen'!$L110=0,"x",F26/'AW Schulen'!$L110)</f>
        <v>0</v>
      </c>
      <c r="L26" s="154">
        <f>IF('AW Schulen'!$O110=0,"x",G26/'AW Schulen'!$O110)</f>
        <v>0</v>
      </c>
    </row>
    <row r="27" spans="1:12" ht="9" customHeight="1">
      <c r="A27" s="21" t="s">
        <v>215</v>
      </c>
      <c r="B27" s="120"/>
      <c r="C27" s="42">
        <f t="shared" si="0"/>
        <v>5</v>
      </c>
      <c r="D27" s="42">
        <f t="shared" si="0"/>
        <v>5</v>
      </c>
      <c r="E27" s="42">
        <f t="shared" ref="E27:F27" si="31">SUM(E45+E63+E81)</f>
        <v>5</v>
      </c>
      <c r="F27" s="42">
        <f t="shared" si="31"/>
        <v>5</v>
      </c>
      <c r="G27" s="44">
        <f t="shared" ref="G27" si="32">SUM(G45+G63+G81)</f>
        <v>5</v>
      </c>
      <c r="H27" s="153">
        <f>IF('AW Schulen'!$C111=0,"x",C27/'AW Schulen'!$C111)</f>
        <v>0.55555555555555558</v>
      </c>
      <c r="I27" s="153">
        <f>IF('AW Schulen'!$F111=0,"x",D27/'AW Schulen'!$F111)</f>
        <v>0.55555555555555558</v>
      </c>
      <c r="J27" s="153">
        <f>IF('AW Schulen'!$I111=0,"x",E27/'AW Schulen'!$I111)</f>
        <v>0.55555555555555558</v>
      </c>
      <c r="K27" s="153">
        <f>IF('AW Schulen'!$L111=0,"x",F27/'AW Schulen'!$L111)</f>
        <v>0.55555555555555558</v>
      </c>
      <c r="L27" s="154">
        <f>IF('AW Schulen'!$O111=0,"x",G27/'AW Schulen'!$O111)</f>
        <v>0.45454545454545453</v>
      </c>
    </row>
    <row r="28" spans="1:12" ht="9" customHeight="1">
      <c r="A28" s="21" t="s">
        <v>96</v>
      </c>
      <c r="B28" s="120"/>
      <c r="C28" s="42">
        <f t="shared" si="0"/>
        <v>227</v>
      </c>
      <c r="D28" s="42">
        <f t="shared" si="0"/>
        <v>230</v>
      </c>
      <c r="E28" s="42">
        <f t="shared" ref="E28:F28" si="33">SUM(E46+E64+E82)</f>
        <v>232</v>
      </c>
      <c r="F28" s="42">
        <f t="shared" si="33"/>
        <v>237</v>
      </c>
      <c r="G28" s="44">
        <f t="shared" ref="G28" si="34">SUM(G46+G64+G82)</f>
        <v>249</v>
      </c>
      <c r="H28" s="153">
        <f>IF('AW Schulen'!$C112=0,"x",C28/'AW Schulen'!$C112)</f>
        <v>0.54047619047619044</v>
      </c>
      <c r="I28" s="153">
        <f>IF('AW Schulen'!$F112=0,"x",D28/'AW Schulen'!$F112)</f>
        <v>0.56097560975609762</v>
      </c>
      <c r="J28" s="153">
        <f>IF('AW Schulen'!$I112=0,"x",E28/'AW Schulen'!$I112)</f>
        <v>0.54460093896713613</v>
      </c>
      <c r="K28" s="153">
        <f>IF('AW Schulen'!$L112=0,"x",F28/'AW Schulen'!$L112)</f>
        <v>0.54988399071925753</v>
      </c>
      <c r="L28" s="154">
        <f>IF('AW Schulen'!$O112=0,"x",G28/'AW Schulen'!$O112)</f>
        <v>0.57241379310344831</v>
      </c>
    </row>
    <row r="29" spans="1:12" ht="12.75" customHeight="1">
      <c r="A29" s="391" t="s">
        <v>98</v>
      </c>
      <c r="B29" s="392"/>
      <c r="C29" s="392"/>
      <c r="D29" s="392"/>
      <c r="E29" s="392"/>
      <c r="F29" s="392"/>
      <c r="G29" s="392"/>
      <c r="H29" s="392"/>
      <c r="I29" s="392"/>
      <c r="J29" s="392"/>
      <c r="K29" s="392"/>
      <c r="L29" s="393"/>
    </row>
    <row r="30" spans="1:12" ht="9" customHeight="1">
      <c r="A30" s="21" t="s">
        <v>80</v>
      </c>
      <c r="B30" s="202"/>
      <c r="C30" s="23">
        <f>[1]GtS!$F$56</f>
        <v>27</v>
      </c>
      <c r="D30" s="23">
        <f>[2]GtS!$F$58</f>
        <v>28</v>
      </c>
      <c r="E30" s="23">
        <f>[3]GtS!$F$58</f>
        <v>27</v>
      </c>
      <c r="F30" s="23">
        <f>[4]GtS!$F$58</f>
        <v>29</v>
      </c>
      <c r="G30" s="34">
        <f>[5]GtS!$F$58</f>
        <v>33</v>
      </c>
      <c r="H30" s="155">
        <f>IF('AW Schulen'!$C96=0,"x",C30/'AW Schulen'!$C96)</f>
        <v>0.35064935064935066</v>
      </c>
      <c r="I30" s="155">
        <f>IF('AW Schulen'!$F96=0,"x",D30/'AW Schulen'!$F96)</f>
        <v>0.35</v>
      </c>
      <c r="J30" s="155">
        <f>IF('AW Schulen'!$I96=0,"x",E30/'AW Schulen'!$I96)</f>
        <v>0.33333333333333331</v>
      </c>
      <c r="K30" s="155">
        <f>IF('AW Schulen'!$L96=0,"x",F30/'AW Schulen'!$L96)</f>
        <v>0.35802469135802467</v>
      </c>
      <c r="L30" s="156">
        <f>IF('AW Schulen'!$O96=0,"x",G30/'AW Schulen'!$O96)</f>
        <v>0.40740740740740738</v>
      </c>
    </row>
    <row r="31" spans="1:12" ht="9" customHeight="1">
      <c r="A31" s="21" t="s">
        <v>81</v>
      </c>
      <c r="B31" s="202"/>
      <c r="C31" s="23">
        <f>[6]GtS!$F$56</f>
        <v>13</v>
      </c>
      <c r="D31" s="23">
        <f>[7]GtS!$F$58</f>
        <v>18</v>
      </c>
      <c r="E31" s="23">
        <f>[8]GtS!$F$58</f>
        <v>18</v>
      </c>
      <c r="F31" s="23">
        <f>[9]GtS!$F$58</f>
        <v>14</v>
      </c>
      <c r="G31" s="34">
        <f>[10]GtS!$F$58</f>
        <v>16</v>
      </c>
      <c r="H31" s="155">
        <f>IF('AW Schulen'!$C97=0,"x",C31/'AW Schulen'!$C97)</f>
        <v>0.17567567567567569</v>
      </c>
      <c r="I31" s="155">
        <f>IF('AW Schulen'!$F97=0,"x",D31/'AW Schulen'!$F97)</f>
        <v>0.24324324324324326</v>
      </c>
      <c r="J31" s="155">
        <f>IF('AW Schulen'!$I97=0,"x",E31/'AW Schulen'!$I97)</f>
        <v>0.24324324324324326</v>
      </c>
      <c r="K31" s="155">
        <f>IF('AW Schulen'!$L97=0,"x",F31/'AW Schulen'!$L97)</f>
        <v>0.18666666666666668</v>
      </c>
      <c r="L31" s="156">
        <f>IF('AW Schulen'!$O97=0,"x",G31/'AW Schulen'!$O97)</f>
        <v>0.21621621621621623</v>
      </c>
    </row>
    <row r="32" spans="1:12" ht="9" customHeight="1">
      <c r="A32" s="21" t="s">
        <v>82</v>
      </c>
      <c r="B32" s="202"/>
      <c r="C32" s="23">
        <f>[11]GtS!$F$56</f>
        <v>4</v>
      </c>
      <c r="D32" s="23">
        <f>[12]GtS!$F$58</f>
        <v>1</v>
      </c>
      <c r="E32" s="23">
        <f>[13]GtS!$F$58</f>
        <v>2</v>
      </c>
      <c r="F32" s="23">
        <f>[14]GtS!$F$58</f>
        <v>2</v>
      </c>
      <c r="G32" s="34">
        <f>[15]GtS!$F$58</f>
        <v>2</v>
      </c>
      <c r="H32" s="155">
        <f>IF('AW Schulen'!$C98=0,"x",C32/'AW Schulen'!$C98)</f>
        <v>0.17391304347826086</v>
      </c>
      <c r="I32" s="155">
        <f>IF('AW Schulen'!$F98=0,"x",D32/'AW Schulen'!$F98)</f>
        <v>0.1</v>
      </c>
      <c r="J32" s="155">
        <f>IF('AW Schulen'!$I98=0,"x",E32/'AW Schulen'!$I98)</f>
        <v>8.6956521739130432E-2</v>
      </c>
      <c r="K32" s="155">
        <f>IF('AW Schulen'!$L98=0,"x",F32/'AW Schulen'!$L98)</f>
        <v>8.6956521739130432E-2</v>
      </c>
      <c r="L32" s="156">
        <f>IF('AW Schulen'!$O98=0,"x",G32/'AW Schulen'!$O98)</f>
        <v>9.0909090909090912E-2</v>
      </c>
    </row>
    <row r="33" spans="1:13" ht="9" customHeight="1">
      <c r="A33" s="21" t="s">
        <v>83</v>
      </c>
      <c r="B33" s="202"/>
      <c r="C33" s="23">
        <f>[16]GtS!$F$56</f>
        <v>13</v>
      </c>
      <c r="D33" s="23">
        <f>[17]GtS!$F$58</f>
        <v>12</v>
      </c>
      <c r="E33" s="23">
        <f>[18]GtS!$F$58</f>
        <v>13</v>
      </c>
      <c r="F33" s="23">
        <f>[19]GtS!$F$58</f>
        <v>15</v>
      </c>
      <c r="G33" s="34">
        <f>[20]GtS!$F$58</f>
        <v>15</v>
      </c>
      <c r="H33" s="155">
        <f>IF('AW Schulen'!$C99=0,"x",C33/'AW Schulen'!$C99)</f>
        <v>0.56521739130434778</v>
      </c>
      <c r="I33" s="155">
        <f>IF('AW Schulen'!$F99=0,"x",D33/'AW Schulen'!$F99)</f>
        <v>0.52173913043478259</v>
      </c>
      <c r="J33" s="155">
        <f>IF('AW Schulen'!$I99=0,"x",E33/'AW Schulen'!$I99)</f>
        <v>0.54166666666666663</v>
      </c>
      <c r="K33" s="155">
        <f>IF('AW Schulen'!$L99=0,"x",F33/'AW Schulen'!$L99)</f>
        <v>0.6</v>
      </c>
      <c r="L33" s="156">
        <f>IF('AW Schulen'!$O99=0,"x",G33/'AW Schulen'!$O99)</f>
        <v>0.6</v>
      </c>
    </row>
    <row r="34" spans="1:13" ht="9" customHeight="1">
      <c r="A34" s="21" t="s">
        <v>84</v>
      </c>
      <c r="B34" s="202"/>
      <c r="C34" s="23">
        <f>[21]GtS!$F$56</f>
        <v>0</v>
      </c>
      <c r="D34" s="23">
        <f>[22]GtS!$F$58</f>
        <v>0</v>
      </c>
      <c r="E34" s="23">
        <f>[23]GtS!$F$58</f>
        <v>0</v>
      </c>
      <c r="F34" s="23">
        <f>[24]GtS!$F$58</f>
        <v>0</v>
      </c>
      <c r="G34" s="34">
        <f>[25]GtS!$F$58</f>
        <v>0</v>
      </c>
      <c r="H34" s="155">
        <f>IF('AW Schulen'!$C100=0,"x",C34/'AW Schulen'!$C100)</f>
        <v>0</v>
      </c>
      <c r="I34" s="155">
        <f>IF('AW Schulen'!$F100=0,"x",D34/'AW Schulen'!$F100)</f>
        <v>0</v>
      </c>
      <c r="J34" s="155">
        <f>IF('AW Schulen'!$I100=0,"x",E34/'AW Schulen'!$I100)</f>
        <v>0</v>
      </c>
      <c r="K34" s="155">
        <f>IF('AW Schulen'!$L100=0,"x",F34/'AW Schulen'!$L100)</f>
        <v>0</v>
      </c>
      <c r="L34" s="156">
        <f>IF('AW Schulen'!$O100=0,"x",G34/'AW Schulen'!$O100)</f>
        <v>0</v>
      </c>
    </row>
    <row r="35" spans="1:13" ht="9" customHeight="1">
      <c r="A35" s="21" t="s">
        <v>85</v>
      </c>
      <c r="B35" s="202"/>
      <c r="C35" s="23">
        <f>[26]GtS!$F$56</f>
        <v>2</v>
      </c>
      <c r="D35" s="23">
        <f>[27]GtS!$F$58</f>
        <v>2</v>
      </c>
      <c r="E35" s="23">
        <f>[28]GtS!$F$58</f>
        <v>2</v>
      </c>
      <c r="F35" s="23">
        <f>[29]GtS!$F$58</f>
        <v>2</v>
      </c>
      <c r="G35" s="34">
        <f>[30]GtS!$F$58</f>
        <v>2</v>
      </c>
      <c r="H35" s="155">
        <f>IF('AW Schulen'!$C101=0,"x",C35/'AW Schulen'!$C101)</f>
        <v>0.18181818181818182</v>
      </c>
      <c r="I35" s="155">
        <f>IF('AW Schulen'!$F101=0,"x",D35/'AW Schulen'!$F101)</f>
        <v>0.18181818181818182</v>
      </c>
      <c r="J35" s="155">
        <f>IF('AW Schulen'!$I101=0,"x",E35/'AW Schulen'!$I101)</f>
        <v>0.18181818181818182</v>
      </c>
      <c r="K35" s="155">
        <f>IF('AW Schulen'!$L101=0,"x",F35/'AW Schulen'!$L101)</f>
        <v>0.18181818181818182</v>
      </c>
      <c r="L35" s="156">
        <f>IF('AW Schulen'!$O101=0,"x",G35/'AW Schulen'!$O101)</f>
        <v>0.18181818181818182</v>
      </c>
    </row>
    <row r="36" spans="1:13" ht="9" customHeight="1">
      <c r="A36" s="21" t="s">
        <v>86</v>
      </c>
      <c r="B36" s="202"/>
      <c r="C36" s="35">
        <f>[66]GtS!$F$56</f>
        <v>0</v>
      </c>
      <c r="D36" s="35">
        <f>[67]GtS!$F$58</f>
        <v>0</v>
      </c>
      <c r="E36" s="35">
        <f>[68]GtS!$F$58</f>
        <v>0</v>
      </c>
      <c r="F36" s="35">
        <f>[69]GtS!$F$58</f>
        <v>0</v>
      </c>
      <c r="G36" s="200">
        <f>[70]GtS!$F$58</f>
        <v>0</v>
      </c>
      <c r="H36" s="35">
        <v>0</v>
      </c>
      <c r="I36" s="35">
        <v>0</v>
      </c>
      <c r="J36" s="183">
        <v>0</v>
      </c>
      <c r="K36" s="183">
        <v>0</v>
      </c>
      <c r="L36" s="197">
        <v>0</v>
      </c>
    </row>
    <row r="37" spans="1:13" ht="9" customHeight="1">
      <c r="A37" s="21" t="s">
        <v>174</v>
      </c>
      <c r="B37" s="202"/>
      <c r="C37" s="23">
        <f>[31]GtS!$F$56</f>
        <v>8</v>
      </c>
      <c r="D37" s="23">
        <f>[32]GtS!$F$58</f>
        <v>10</v>
      </c>
      <c r="E37" s="23">
        <f>[33]GtS!$F$58</f>
        <v>10</v>
      </c>
      <c r="F37" s="23">
        <f>[34]GtS!$F$58</f>
        <v>11</v>
      </c>
      <c r="G37" s="34">
        <f>[35]GtS!$F$58</f>
        <v>11</v>
      </c>
      <c r="H37" s="155">
        <f>IF('AW Schulen'!$C103=0,"x",C37/'AW Schulen'!$C103)</f>
        <v>0.66666666666666663</v>
      </c>
      <c r="I37" s="155">
        <f>IF('AW Schulen'!$F103=0,"x",D37/'AW Schulen'!$F103)</f>
        <v>0.83333333333333337</v>
      </c>
      <c r="J37" s="155">
        <f>IF('AW Schulen'!$I103=0,"x",E37/'AW Schulen'!$I103)</f>
        <v>0.76923076923076927</v>
      </c>
      <c r="K37" s="155">
        <f>IF('AW Schulen'!$L103=0,"x",F37/'AW Schulen'!$L103)</f>
        <v>0.7857142857142857</v>
      </c>
      <c r="L37" s="156">
        <f>IF('AW Schulen'!$O103=0,"x",G37/'AW Schulen'!$O103)</f>
        <v>0.7857142857142857</v>
      </c>
    </row>
    <row r="38" spans="1:13" ht="9" customHeight="1">
      <c r="A38" s="21" t="s">
        <v>88</v>
      </c>
      <c r="B38" s="202"/>
      <c r="C38" s="35">
        <f>[71]GtS!$F$56</f>
        <v>0</v>
      </c>
      <c r="D38" s="35">
        <f>[72]GtS!$F$58</f>
        <v>0</v>
      </c>
      <c r="E38" s="35">
        <f>[73]GtS!$F$58</f>
        <v>0</v>
      </c>
      <c r="F38" s="35">
        <f>[74]GtS!$F$58</f>
        <v>0</v>
      </c>
      <c r="G38" s="200">
        <f>[75]GtS!$F$58</f>
        <v>0</v>
      </c>
      <c r="H38" s="35">
        <f>IF('AW Schulen'!$C104=0,"x",C38/'AW Schulen'!$C104)</f>
        <v>0</v>
      </c>
      <c r="I38" s="35">
        <f>IF('AW Schulen'!$F104=0,"x",D38/'AW Schulen'!$F104)</f>
        <v>0</v>
      </c>
      <c r="J38" s="35">
        <f>IF('AW Schulen'!$I104=0,"x",E38/'AW Schulen'!$I104)</f>
        <v>0</v>
      </c>
      <c r="K38" s="35">
        <f>IF('AW Schulen'!$L104=0,"x",F38/'AW Schulen'!$L104)</f>
        <v>0</v>
      </c>
      <c r="L38" s="200">
        <f>IF('AW Schulen'!$O104=0,"x",G38/'AW Schulen'!$O104)</f>
        <v>0</v>
      </c>
    </row>
    <row r="39" spans="1:13" ht="9" customHeight="1">
      <c r="A39" s="21" t="s">
        <v>89</v>
      </c>
      <c r="B39" s="202"/>
      <c r="C39" s="23">
        <f>[36]GtS!$F$56</f>
        <v>16</v>
      </c>
      <c r="D39" s="23">
        <f>[37]GtS!$F$58</f>
        <v>18</v>
      </c>
      <c r="E39" s="23">
        <f>[38]GtS!$F$58</f>
        <v>20</v>
      </c>
      <c r="F39" s="23">
        <f>[39]GtS!$F$58</f>
        <v>21</v>
      </c>
      <c r="G39" s="34">
        <f>[40]GtS!$F$58</f>
        <v>22</v>
      </c>
      <c r="H39" s="155">
        <f>IF('AW Schulen'!$C105=0,"x",C39/'AW Schulen'!$C105)</f>
        <v>0.14035087719298245</v>
      </c>
      <c r="I39" s="155">
        <f>IF('AW Schulen'!$F105=0,"x",D39/'AW Schulen'!$F105)</f>
        <v>0.15789473684210525</v>
      </c>
      <c r="J39" s="155">
        <f>IF('AW Schulen'!$I105=0,"x",E39/'AW Schulen'!$I105)</f>
        <v>0.17699115044247787</v>
      </c>
      <c r="K39" s="155">
        <f>IF('AW Schulen'!$L105=0,"x",F39/'AW Schulen'!$L105)</f>
        <v>0.18421052631578946</v>
      </c>
      <c r="L39" s="156">
        <f>IF('AW Schulen'!$O105=0,"x",G39/'AW Schulen'!$O105)</f>
        <v>0.19130434782608696</v>
      </c>
    </row>
    <row r="40" spans="1:13" ht="9" customHeight="1">
      <c r="A40" s="21" t="s">
        <v>90</v>
      </c>
      <c r="B40" s="202"/>
      <c r="C40" s="23">
        <f>[41]GtS!$F$56</f>
        <v>7</v>
      </c>
      <c r="D40" s="23">
        <f>[42]GtS!$F$58</f>
        <v>8</v>
      </c>
      <c r="E40" s="23">
        <f>[43]GtS!$F$58</f>
        <v>7</v>
      </c>
      <c r="F40" s="23">
        <f>[44]GtS!$F$58</f>
        <v>8</v>
      </c>
      <c r="G40" s="34">
        <f>[45]GtS!$F$58</f>
        <v>6</v>
      </c>
      <c r="H40" s="155">
        <f>IF('AW Schulen'!$C106=0,"x",C40/'AW Schulen'!$C106)</f>
        <v>0.26923076923076922</v>
      </c>
      <c r="I40" s="155">
        <f>IF('AW Schulen'!$F106=0,"x",D40/'AW Schulen'!$F106)</f>
        <v>0.30769230769230771</v>
      </c>
      <c r="J40" s="155">
        <f>IF('AW Schulen'!$I106=0,"x",E40/'AW Schulen'!$I106)</f>
        <v>0.25925925925925924</v>
      </c>
      <c r="K40" s="155">
        <f>IF('AW Schulen'!$L106=0,"x",F40/'AW Schulen'!$L106)</f>
        <v>0.2857142857142857</v>
      </c>
      <c r="L40" s="156">
        <f>IF('AW Schulen'!$O106=0,"x",G40/'AW Schulen'!$O106)</f>
        <v>0.21428571428571427</v>
      </c>
    </row>
    <row r="41" spans="1:13" ht="9" customHeight="1">
      <c r="A41" s="21" t="s">
        <v>91</v>
      </c>
      <c r="B41" s="202"/>
      <c r="C41" s="23">
        <f>[46]GtS!$F$56</f>
        <v>0</v>
      </c>
      <c r="D41" s="23">
        <f>[47]GtS!$F$58</f>
        <v>0</v>
      </c>
      <c r="E41" s="23">
        <f>[48]GtS!$F$58</f>
        <v>0</v>
      </c>
      <c r="F41" s="23">
        <f>[49]GtS!$F$58</f>
        <v>0</v>
      </c>
      <c r="G41" s="34">
        <f>[50]GtS!$F$58</f>
        <v>0</v>
      </c>
      <c r="H41" s="155">
        <f>IF('AW Schulen'!$C107=0,"x",C41/'AW Schulen'!$C107)</f>
        <v>0</v>
      </c>
      <c r="I41" s="155">
        <f>IF('AW Schulen'!$F107=0,"x",D41/'AW Schulen'!$F107)</f>
        <v>0</v>
      </c>
      <c r="J41" s="155">
        <f>IF('AW Schulen'!$I107=0,"x",E41/'AW Schulen'!$I107)</f>
        <v>0</v>
      </c>
      <c r="K41" s="155">
        <f>IF('AW Schulen'!$L107=0,"x",F41/'AW Schulen'!$L107)</f>
        <v>0</v>
      </c>
      <c r="L41" s="156">
        <f>IF('AW Schulen'!$O107=0,"x",G41/'AW Schulen'!$O107)</f>
        <v>0</v>
      </c>
    </row>
    <row r="42" spans="1:13" ht="9" customHeight="1">
      <c r="A42" s="21" t="s">
        <v>92</v>
      </c>
      <c r="B42" s="202"/>
      <c r="C42" s="23">
        <f>[51]GtS!$F$56</f>
        <v>10</v>
      </c>
      <c r="D42" s="23">
        <f>[52]GtS!$F$58</f>
        <v>11</v>
      </c>
      <c r="E42" s="23">
        <f>[53]GtS!$F$58</f>
        <v>8</v>
      </c>
      <c r="F42" s="23">
        <f>[54]GtS!$F$58</f>
        <v>8</v>
      </c>
      <c r="G42" s="34">
        <f>[55]GtS!$F$58</f>
        <v>9</v>
      </c>
      <c r="H42" s="155">
        <f>IF('AW Schulen'!$C108=0,"x",C42/'AW Schulen'!$C108)</f>
        <v>0.29411764705882354</v>
      </c>
      <c r="I42" s="155">
        <f>IF('AW Schulen'!$F108=0,"x",D42/'AW Schulen'!$F108)</f>
        <v>0.3235294117647059</v>
      </c>
      <c r="J42" s="155">
        <f>IF('AW Schulen'!$I108=0,"x",E42/'AW Schulen'!$I108)</f>
        <v>0.22857142857142856</v>
      </c>
      <c r="K42" s="155">
        <f>IF('AW Schulen'!$L108=0,"x",F42/'AW Schulen'!$L108)</f>
        <v>0.22857142857142856</v>
      </c>
      <c r="L42" s="156">
        <f>IF('AW Schulen'!$O108=0,"x",G42/'AW Schulen'!$O108)</f>
        <v>0.23076923076923078</v>
      </c>
    </row>
    <row r="43" spans="1:13" ht="9" customHeight="1">
      <c r="A43" s="21" t="s">
        <v>93</v>
      </c>
      <c r="B43" s="202"/>
      <c r="C43" s="35">
        <f>[76]GtS!$F$56</f>
        <v>0</v>
      </c>
      <c r="D43" s="35">
        <f>[77]GtS!$F$58</f>
        <v>0</v>
      </c>
      <c r="E43" s="35">
        <f>[78]GtS!$F$58</f>
        <v>0</v>
      </c>
      <c r="F43" s="35">
        <f>[79]GtS!$F$58</f>
        <v>0</v>
      </c>
      <c r="G43" s="200">
        <f>[80]GtS!$F$58</f>
        <v>0</v>
      </c>
      <c r="H43" s="35">
        <v>0</v>
      </c>
      <c r="I43" s="35">
        <v>0</v>
      </c>
      <c r="J43" s="183">
        <v>0</v>
      </c>
      <c r="K43" s="183">
        <v>0</v>
      </c>
      <c r="L43" s="197">
        <v>0</v>
      </c>
      <c r="M43" s="35"/>
    </row>
    <row r="44" spans="1:13" ht="9" customHeight="1">
      <c r="A44" s="21" t="s">
        <v>94</v>
      </c>
      <c r="B44" s="202"/>
      <c r="C44" s="23">
        <f>[56]GtS!$F$56</f>
        <v>0</v>
      </c>
      <c r="D44" s="23">
        <f>[57]GtS!$F$58</f>
        <v>0</v>
      </c>
      <c r="E44" s="23">
        <f>[58]GtS!$F$58</f>
        <v>0</v>
      </c>
      <c r="F44" s="23">
        <f>[59]GtS!$F$58</f>
        <v>0</v>
      </c>
      <c r="G44" s="34">
        <f>[60]GtS!$F$58</f>
        <v>0</v>
      </c>
      <c r="H44" s="155">
        <f>IF('AW Schulen'!$C110=0,"x",C44/'AW Schulen'!$C110)</f>
        <v>0</v>
      </c>
      <c r="I44" s="155">
        <f>IF('AW Schulen'!$F110=0,"x",D44/'AW Schulen'!$F110)</f>
        <v>0</v>
      </c>
      <c r="J44" s="155">
        <f>IF('AW Schulen'!$I110=0,"x",E44/'AW Schulen'!$I110)</f>
        <v>0</v>
      </c>
      <c r="K44" s="155">
        <f>IF('AW Schulen'!$L110=0,"x",F44/'AW Schulen'!$L110)</f>
        <v>0</v>
      </c>
      <c r="L44" s="156">
        <f>IF('AW Schulen'!$O110=0,"x",G44/'AW Schulen'!$O110)</f>
        <v>0</v>
      </c>
    </row>
    <row r="45" spans="1:13" ht="9" customHeight="1">
      <c r="A45" s="21" t="s">
        <v>215</v>
      </c>
      <c r="B45" s="202"/>
      <c r="C45" s="23">
        <f>[61]GtS!$F$56</f>
        <v>1</v>
      </c>
      <c r="D45" s="23">
        <f>[62]GtS!$F$58</f>
        <v>0</v>
      </c>
      <c r="E45" s="23">
        <f>[63]GtS!$F$58</f>
        <v>1</v>
      </c>
      <c r="F45" s="23">
        <f>[64]GtS!$F$58</f>
        <v>1</v>
      </c>
      <c r="G45" s="34">
        <f>[65]GtS!$F$58</f>
        <v>1</v>
      </c>
      <c r="H45" s="155">
        <f>IF('AW Schulen'!$C111=0,"x",C45/'AW Schulen'!$C111)</f>
        <v>0.1111111111111111</v>
      </c>
      <c r="I45" s="155">
        <f>IF('AW Schulen'!$F111=0,"x",D45/'AW Schulen'!$F111)</f>
        <v>0</v>
      </c>
      <c r="J45" s="155">
        <f>IF('AW Schulen'!$I111=0,"x",E45/'AW Schulen'!$I111)</f>
        <v>0.1111111111111111</v>
      </c>
      <c r="K45" s="155">
        <f>IF('AW Schulen'!$L111=0,"x",F45/'AW Schulen'!$L111)</f>
        <v>0.1111111111111111</v>
      </c>
      <c r="L45" s="156">
        <f>IF('AW Schulen'!$O111=0,"x",G45/'AW Schulen'!$O111)</f>
        <v>9.0909090909090912E-2</v>
      </c>
    </row>
    <row r="46" spans="1:13" ht="9" customHeight="1">
      <c r="A46" s="21" t="s">
        <v>96</v>
      </c>
      <c r="B46" s="202"/>
      <c r="C46" s="23">
        <f t="shared" ref="C46:E46" si="35">SUM(C30:C45)</f>
        <v>101</v>
      </c>
      <c r="D46" s="23">
        <f t="shared" si="35"/>
        <v>108</v>
      </c>
      <c r="E46" s="23">
        <f t="shared" si="35"/>
        <v>108</v>
      </c>
      <c r="F46" s="23">
        <f t="shared" ref="F46:G46" si="36">SUM(F30:F45)</f>
        <v>111</v>
      </c>
      <c r="G46" s="34">
        <f t="shared" si="36"/>
        <v>117</v>
      </c>
      <c r="H46" s="155">
        <f>IF('AW Schulen'!$C112=0,"x",C46/'AW Schulen'!$C112)</f>
        <v>0.24047619047619048</v>
      </c>
      <c r="I46" s="155">
        <f>IF('AW Schulen'!$F112=0,"x",D46/'AW Schulen'!$F112)</f>
        <v>0.26341463414634148</v>
      </c>
      <c r="J46" s="155">
        <f>IF('AW Schulen'!$I112=0,"x",E46/'AW Schulen'!$I112)</f>
        <v>0.25352112676056338</v>
      </c>
      <c r="K46" s="155">
        <f>IF('AW Schulen'!$L112=0,"x",F46/'AW Schulen'!$L112)</f>
        <v>0.25754060324825984</v>
      </c>
      <c r="L46" s="156">
        <f>IF('AW Schulen'!$O112=0,"x",G46/'AW Schulen'!$O112)</f>
        <v>0.26896551724137929</v>
      </c>
    </row>
    <row r="47" spans="1:13" ht="12.75" customHeight="1">
      <c r="A47" s="402" t="s">
        <v>99</v>
      </c>
      <c r="B47" s="403"/>
      <c r="C47" s="403"/>
      <c r="D47" s="403"/>
      <c r="E47" s="403"/>
      <c r="F47" s="403"/>
      <c r="G47" s="403"/>
      <c r="H47" s="403"/>
      <c r="I47" s="403"/>
      <c r="J47" s="403"/>
      <c r="K47" s="403"/>
      <c r="L47" s="404"/>
    </row>
    <row r="48" spans="1:13" ht="9" customHeight="1">
      <c r="A48" s="21" t="s">
        <v>80</v>
      </c>
      <c r="B48" s="202"/>
      <c r="C48" s="23">
        <f>[1]GtS!$G$56</f>
        <v>0</v>
      </c>
      <c r="D48" s="23">
        <f>[2]GtS!$G$58</f>
        <v>0</v>
      </c>
      <c r="E48" s="23">
        <f>[3]GtS!$G$58</f>
        <v>0</v>
      </c>
      <c r="F48" s="23">
        <f>[4]GtS!$G$58</f>
        <v>0</v>
      </c>
      <c r="G48" s="34">
        <f>[5]GtS!$G$58</f>
        <v>0</v>
      </c>
      <c r="H48" s="155">
        <f>IF('AW Schulen'!$C96=0,"x",C48/'AW Schulen'!$C96)</f>
        <v>0</v>
      </c>
      <c r="I48" s="155">
        <f>IF('AW Schulen'!$F96=0,"x",D48/'AW Schulen'!$F96)</f>
        <v>0</v>
      </c>
      <c r="J48" s="155">
        <f>IF('AW Schulen'!$I96=0,"x",E48/'AW Schulen'!$I96)</f>
        <v>0</v>
      </c>
      <c r="K48" s="155">
        <f>IF('AW Schulen'!$L96=0,"x",F48/'AW Schulen'!$L96)</f>
        <v>0</v>
      </c>
      <c r="L48" s="156">
        <f>IF('AW Schulen'!$O96=0,"x",G48/'AW Schulen'!$O96)</f>
        <v>0</v>
      </c>
    </row>
    <row r="49" spans="1:12" ht="9" customHeight="1">
      <c r="A49" s="21" t="s">
        <v>81</v>
      </c>
      <c r="B49" s="202"/>
      <c r="C49" s="23">
        <f>[6]GtS!$G$56</f>
        <v>10</v>
      </c>
      <c r="D49" s="23">
        <f>[7]GtS!$G$58</f>
        <v>8</v>
      </c>
      <c r="E49" s="23">
        <f>[8]GtS!$G$58</f>
        <v>8</v>
      </c>
      <c r="F49" s="23">
        <f>[9]GtS!$G$58</f>
        <v>12</v>
      </c>
      <c r="G49" s="34">
        <f>[10]GtS!$G$58</f>
        <v>14</v>
      </c>
      <c r="H49" s="155">
        <f>IF('AW Schulen'!$C97=0,"x",C49/'AW Schulen'!$C97)</f>
        <v>0.13513513513513514</v>
      </c>
      <c r="I49" s="155">
        <f>IF('AW Schulen'!$F97=0,"x",D49/'AW Schulen'!$F97)</f>
        <v>0.10810810810810811</v>
      </c>
      <c r="J49" s="155">
        <f>IF('AW Schulen'!$I97=0,"x",E49/'AW Schulen'!$I97)</f>
        <v>0.10810810810810811</v>
      </c>
      <c r="K49" s="155">
        <f>IF('AW Schulen'!$L97=0,"x",F49/'AW Schulen'!$L97)</f>
        <v>0.16</v>
      </c>
      <c r="L49" s="156">
        <f>IF('AW Schulen'!$O97=0,"x",G49/'AW Schulen'!$O97)</f>
        <v>0.1891891891891892</v>
      </c>
    </row>
    <row r="50" spans="1:12" ht="9" customHeight="1">
      <c r="A50" s="21" t="s">
        <v>82</v>
      </c>
      <c r="B50" s="202"/>
      <c r="C50" s="23">
        <f>[11]GtS!$G$56</f>
        <v>2</v>
      </c>
      <c r="D50" s="23">
        <f>[12]GtS!$G$58</f>
        <v>1</v>
      </c>
      <c r="E50" s="23">
        <f>[13]GtS!$G$58</f>
        <v>0</v>
      </c>
      <c r="F50" s="23">
        <f>[14]GtS!$G$58</f>
        <v>1</v>
      </c>
      <c r="G50" s="34">
        <f>[15]GtS!$G$58</f>
        <v>1</v>
      </c>
      <c r="H50" s="155">
        <f>IF('AW Schulen'!$C98=0,"x",C50/'AW Schulen'!$C98)</f>
        <v>8.6956521739130432E-2</v>
      </c>
      <c r="I50" s="155">
        <f>IF('AW Schulen'!$F98=0,"x",D50/'AW Schulen'!$F98)</f>
        <v>0.1</v>
      </c>
      <c r="J50" s="155">
        <f>IF('AW Schulen'!$I98=0,"x",E50/'AW Schulen'!$I98)</f>
        <v>0</v>
      </c>
      <c r="K50" s="155">
        <f>IF('AW Schulen'!$L98=0,"x",F50/'AW Schulen'!$L98)</f>
        <v>4.3478260869565216E-2</v>
      </c>
      <c r="L50" s="156">
        <f>IF('AW Schulen'!$O98=0,"x",G50/'AW Schulen'!$O98)</f>
        <v>4.5454545454545456E-2</v>
      </c>
    </row>
    <row r="51" spans="1:12" ht="9" customHeight="1">
      <c r="A51" s="21" t="s">
        <v>83</v>
      </c>
      <c r="B51" s="202"/>
      <c r="C51" s="23">
        <f>[16]GtS!$G$56</f>
        <v>1</v>
      </c>
      <c r="D51" s="23">
        <f>[17]GtS!$G$58</f>
        <v>2</v>
      </c>
      <c r="E51" s="23">
        <f>[18]GtS!$G$58</f>
        <v>2</v>
      </c>
      <c r="F51" s="23">
        <f>[19]GtS!$G$58</f>
        <v>1</v>
      </c>
      <c r="G51" s="34">
        <f>[20]GtS!$G$58</f>
        <v>1</v>
      </c>
      <c r="H51" s="155">
        <f>IF('AW Schulen'!$C99=0,"x",C51/'AW Schulen'!$C99)</f>
        <v>4.3478260869565216E-2</v>
      </c>
      <c r="I51" s="155">
        <f>IF('AW Schulen'!$F99=0,"x",D51/'AW Schulen'!$F99)</f>
        <v>8.6956521739130432E-2</v>
      </c>
      <c r="J51" s="155">
        <f>IF('AW Schulen'!$I99=0,"x",E51/'AW Schulen'!$I99)</f>
        <v>8.3333333333333329E-2</v>
      </c>
      <c r="K51" s="155">
        <f>IF('AW Schulen'!$L99=0,"x",F51/'AW Schulen'!$L99)</f>
        <v>0.04</v>
      </c>
      <c r="L51" s="156">
        <f>IF('AW Schulen'!$O99=0,"x",G51/'AW Schulen'!$O99)</f>
        <v>0.04</v>
      </c>
    </row>
    <row r="52" spans="1:12" ht="9" customHeight="1">
      <c r="A52" s="21" t="s">
        <v>84</v>
      </c>
      <c r="B52" s="202"/>
      <c r="C52" s="23">
        <f>[21]GtS!$G$56</f>
        <v>0</v>
      </c>
      <c r="D52" s="23">
        <f>[22]GtS!$G$58</f>
        <v>0</v>
      </c>
      <c r="E52" s="23">
        <f>[23]GtS!$G$58</f>
        <v>0</v>
      </c>
      <c r="F52" s="23">
        <f>[24]GtS!$G$58</f>
        <v>0</v>
      </c>
      <c r="G52" s="34">
        <f>[25]GtS!$G$58</f>
        <v>0</v>
      </c>
      <c r="H52" s="155">
        <f>IF('AW Schulen'!$C100=0,"x",C52/'AW Schulen'!$C100)</f>
        <v>0</v>
      </c>
      <c r="I52" s="155">
        <f>IF('AW Schulen'!$F100=0,"x",D52/'AW Schulen'!$F100)</f>
        <v>0</v>
      </c>
      <c r="J52" s="155">
        <f>IF('AW Schulen'!$I100=0,"x",E52/'AW Schulen'!$I100)</f>
        <v>0</v>
      </c>
      <c r="K52" s="155">
        <f>IF('AW Schulen'!$L100=0,"x",F52/'AW Schulen'!$L100)</f>
        <v>0</v>
      </c>
      <c r="L52" s="156">
        <f>IF('AW Schulen'!$O100=0,"x",G52/'AW Schulen'!$O100)</f>
        <v>0</v>
      </c>
    </row>
    <row r="53" spans="1:12" ht="9" customHeight="1">
      <c r="A53" s="21" t="s">
        <v>85</v>
      </c>
      <c r="B53" s="202"/>
      <c r="C53" s="23">
        <f>[26]GtS!$G$56</f>
        <v>0</v>
      </c>
      <c r="D53" s="23">
        <f>[27]GtS!$G$58</f>
        <v>0</v>
      </c>
      <c r="E53" s="23">
        <f>[28]GtS!$G$58</f>
        <v>0</v>
      </c>
      <c r="F53" s="23">
        <f>[29]GtS!$G$58</f>
        <v>0</v>
      </c>
      <c r="G53" s="34">
        <f>[30]GtS!$G$58</f>
        <v>0</v>
      </c>
      <c r="H53" s="155">
        <f>IF('AW Schulen'!$C101=0,"x",C53/'AW Schulen'!$C101)</f>
        <v>0</v>
      </c>
      <c r="I53" s="155">
        <f>IF('AW Schulen'!$F101=0,"x",D53/'AW Schulen'!$F101)</f>
        <v>0</v>
      </c>
      <c r="J53" s="155">
        <f>IF('AW Schulen'!$I101=0,"x",E53/'AW Schulen'!$I101)</f>
        <v>0</v>
      </c>
      <c r="K53" s="155">
        <f>IF('AW Schulen'!$L101=0,"x",F53/'AW Schulen'!$L101)</f>
        <v>0</v>
      </c>
      <c r="L53" s="156">
        <f>IF('AW Schulen'!$O101=0,"x",G53/'AW Schulen'!$O101)</f>
        <v>0</v>
      </c>
    </row>
    <row r="54" spans="1:12" ht="9" customHeight="1">
      <c r="A54" s="21" t="s">
        <v>86</v>
      </c>
      <c r="B54" s="202"/>
      <c r="C54" s="35">
        <f>[66]GtS!$G$56</f>
        <v>0</v>
      </c>
      <c r="D54" s="35">
        <f>[67]GtS!$G$58</f>
        <v>0</v>
      </c>
      <c r="E54" s="35">
        <f>[68]GtS!$G$58</f>
        <v>0</v>
      </c>
      <c r="F54" s="35">
        <f>[69]GtS!$G$58</f>
        <v>0</v>
      </c>
      <c r="G54" s="200">
        <f>[70]GtS!$G$58</f>
        <v>0</v>
      </c>
      <c r="H54" s="35">
        <f>IF('AW Schulen'!$C102=0,"x",C54/'AW Schulen'!$C102)</f>
        <v>0</v>
      </c>
      <c r="I54" s="35">
        <f>IF('AW Schulen'!$C102=0,"x",D54/'AW Schulen'!$C102)</f>
        <v>0</v>
      </c>
      <c r="J54" s="35">
        <f>IF('AW Schulen'!$C102=0,"x",E54/'AW Schulen'!$C102)</f>
        <v>0</v>
      </c>
      <c r="K54" s="35">
        <f>IF('AW Schulen'!$C102=0,"x",F54/'AW Schulen'!$C102)</f>
        <v>0</v>
      </c>
      <c r="L54" s="200">
        <f>IF('AW Schulen'!$C102=0,"x",G54/'AW Schulen'!$C102)</f>
        <v>0</v>
      </c>
    </row>
    <row r="55" spans="1:12" ht="9" customHeight="1">
      <c r="A55" s="21" t="s">
        <v>174</v>
      </c>
      <c r="B55" s="202"/>
      <c r="C55" s="23">
        <f>[31]GtS!$G$56</f>
        <v>1</v>
      </c>
      <c r="D55" s="23">
        <f>[32]GtS!$G$58</f>
        <v>0</v>
      </c>
      <c r="E55" s="23">
        <f>[33]GtS!$G$58</f>
        <v>0</v>
      </c>
      <c r="F55" s="23">
        <f>[34]GtS!$G$58</f>
        <v>1</v>
      </c>
      <c r="G55" s="34">
        <f>[35]GtS!$G$58</f>
        <v>1</v>
      </c>
      <c r="H55" s="155">
        <f>IF('AW Schulen'!$C103=0,"x",C55/'AW Schulen'!$C103)</f>
        <v>8.3333333333333329E-2</v>
      </c>
      <c r="I55" s="155">
        <f>IF('AW Schulen'!$F103=0,"x",D55/'AW Schulen'!$F103)</f>
        <v>0</v>
      </c>
      <c r="J55" s="155">
        <f>IF('AW Schulen'!$I103=0,"x",E55/'AW Schulen'!$I103)</f>
        <v>0</v>
      </c>
      <c r="K55" s="155">
        <f>IF('AW Schulen'!$L103=0,"x",F55/'AW Schulen'!$L103)</f>
        <v>7.1428571428571425E-2</v>
      </c>
      <c r="L55" s="156">
        <f>IF('AW Schulen'!$O103=0,"x",G55/'AW Schulen'!$O103)</f>
        <v>7.1428571428571425E-2</v>
      </c>
    </row>
    <row r="56" spans="1:12" ht="9" customHeight="1">
      <c r="A56" s="21" t="s">
        <v>88</v>
      </c>
      <c r="B56" s="202"/>
      <c r="C56" s="35">
        <f>[71]GtS!$G$56</f>
        <v>0</v>
      </c>
      <c r="D56" s="35">
        <f>[72]GtS!$G$58</f>
        <v>0</v>
      </c>
      <c r="E56" s="35">
        <f>[73]GtS!$G$58</f>
        <v>0</v>
      </c>
      <c r="F56" s="35">
        <f>[74]GtS!$G$58</f>
        <v>0</v>
      </c>
      <c r="G56" s="200">
        <f>[75]GtS!$G$58</f>
        <v>0</v>
      </c>
      <c r="H56" s="35">
        <f>IF('AW Schulen'!$C104=0,"x",C56/'AW Schulen'!$C104)</f>
        <v>0</v>
      </c>
      <c r="I56" s="35">
        <f>IF('AW Schulen'!$F104=0,"x",D56/'AW Schulen'!$F104)</f>
        <v>0</v>
      </c>
      <c r="J56" s="35">
        <f>IF('AW Schulen'!$I104=0,"x",E56/'AW Schulen'!$I104)</f>
        <v>0</v>
      </c>
      <c r="K56" s="35">
        <f>IF('AW Schulen'!$L104=0,"x",F56/'AW Schulen'!$L104)</f>
        <v>0</v>
      </c>
      <c r="L56" s="200">
        <f>IF('AW Schulen'!$O104=0,"x",G56/'AW Schulen'!$O104)</f>
        <v>0</v>
      </c>
    </row>
    <row r="57" spans="1:12" ht="9" customHeight="1">
      <c r="A57" s="21" t="s">
        <v>89</v>
      </c>
      <c r="B57" s="202"/>
      <c r="C57" s="23">
        <f>[36]GtS!$G$56</f>
        <v>0</v>
      </c>
      <c r="D57" s="23">
        <f>[37]GtS!$G$58</f>
        <v>0</v>
      </c>
      <c r="E57" s="23">
        <f>[38]GtS!$G$58</f>
        <v>0</v>
      </c>
      <c r="F57" s="23">
        <f>[39]GtS!$G$58</f>
        <v>0</v>
      </c>
      <c r="G57" s="34">
        <f>[40]GtS!$G$58</f>
        <v>0</v>
      </c>
      <c r="H57" s="155">
        <f>IF('AW Schulen'!$C105=0,"x",C57/'AW Schulen'!$C105)</f>
        <v>0</v>
      </c>
      <c r="I57" s="155">
        <f>IF('AW Schulen'!$F105=0,"x",D57/'AW Schulen'!$F105)</f>
        <v>0</v>
      </c>
      <c r="J57" s="155">
        <f>IF('AW Schulen'!$I105=0,"x",E57/'AW Schulen'!$I105)</f>
        <v>0</v>
      </c>
      <c r="K57" s="155">
        <f>IF('AW Schulen'!$L105=0,"x",F57/'AW Schulen'!$L105)</f>
        <v>0</v>
      </c>
      <c r="L57" s="156">
        <f>IF('AW Schulen'!$O105=0,"x",G57/'AW Schulen'!$O105)</f>
        <v>0</v>
      </c>
    </row>
    <row r="58" spans="1:12" ht="9" customHeight="1">
      <c r="A58" s="21" t="s">
        <v>90</v>
      </c>
      <c r="B58" s="202"/>
      <c r="C58" s="23">
        <f>[41]GtS!$G$56</f>
        <v>7</v>
      </c>
      <c r="D58" s="23">
        <f>[42]GtS!$G$58</f>
        <v>9</v>
      </c>
      <c r="E58" s="23">
        <f>[43]GtS!$G$58</f>
        <v>8</v>
      </c>
      <c r="F58" s="23">
        <f>[44]GtS!$G$58</f>
        <v>7</v>
      </c>
      <c r="G58" s="34">
        <f>[45]GtS!$G$58</f>
        <v>10</v>
      </c>
      <c r="H58" s="155">
        <f>IF('AW Schulen'!$C106=0,"x",C58/'AW Schulen'!$C106)</f>
        <v>0.26923076923076922</v>
      </c>
      <c r="I58" s="155">
        <f>IF('AW Schulen'!$F106=0,"x",D58/'AW Schulen'!$F106)</f>
        <v>0.34615384615384615</v>
      </c>
      <c r="J58" s="155">
        <f>IF('AW Schulen'!$I106=0,"x",E58/'AW Schulen'!$I106)</f>
        <v>0.29629629629629628</v>
      </c>
      <c r="K58" s="155">
        <f>IF('AW Schulen'!$L106=0,"x",F58/'AW Schulen'!$L106)</f>
        <v>0.25</v>
      </c>
      <c r="L58" s="156">
        <f>IF('AW Schulen'!$O106=0,"x",G58/'AW Schulen'!$O106)</f>
        <v>0.35714285714285715</v>
      </c>
    </row>
    <row r="59" spans="1:12" ht="9" customHeight="1">
      <c r="A59" s="21" t="s">
        <v>91</v>
      </c>
      <c r="B59" s="202"/>
      <c r="C59" s="23">
        <f>[46]GtS!$G$56</f>
        <v>0</v>
      </c>
      <c r="D59" s="23">
        <f>[47]GtS!$G$58</f>
        <v>1</v>
      </c>
      <c r="E59" s="23">
        <f>[48]GtS!$G$58</f>
        <v>1</v>
      </c>
      <c r="F59" s="23">
        <f>[49]GtS!$G$58</f>
        <v>1</v>
      </c>
      <c r="G59" s="34">
        <f>[50]GtS!$G$58</f>
        <v>1</v>
      </c>
      <c r="H59" s="155">
        <f>IF('AW Schulen'!$C107=0,"x",C59/'AW Schulen'!$C107)</f>
        <v>0</v>
      </c>
      <c r="I59" s="155">
        <f>IF('AW Schulen'!$F107=0,"x",D59/'AW Schulen'!$F107)</f>
        <v>0.2</v>
      </c>
      <c r="J59" s="155">
        <f>IF('AW Schulen'!$I107=0,"x",E59/'AW Schulen'!$I107)</f>
        <v>0.2</v>
      </c>
      <c r="K59" s="155">
        <f>IF('AW Schulen'!$L107=0,"x",F59/'AW Schulen'!$L107)</f>
        <v>0.2</v>
      </c>
      <c r="L59" s="156">
        <f>IF('AW Schulen'!$O107=0,"x",G59/'AW Schulen'!$O107)</f>
        <v>0.2</v>
      </c>
    </row>
    <row r="60" spans="1:12" ht="9" customHeight="1">
      <c r="A60" s="21" t="s">
        <v>92</v>
      </c>
      <c r="B60" s="202"/>
      <c r="C60" s="23">
        <f>[51]GtS!$G$56</f>
        <v>7</v>
      </c>
      <c r="D60" s="23">
        <f>[52]GtS!$G$58</f>
        <v>7</v>
      </c>
      <c r="E60" s="23">
        <f>[53]GtS!$G$58</f>
        <v>10</v>
      </c>
      <c r="F60" s="23">
        <f>[54]GtS!$G$58</f>
        <v>12</v>
      </c>
      <c r="G60" s="34">
        <f>[55]GtS!$G$58</f>
        <v>13</v>
      </c>
      <c r="H60" s="155">
        <f>IF('AW Schulen'!$C108=0,"x",C60/'AW Schulen'!$C108)</f>
        <v>0.20588235294117646</v>
      </c>
      <c r="I60" s="155">
        <f>IF('AW Schulen'!$F108=0,"x",D60/'AW Schulen'!$F108)</f>
        <v>0.20588235294117646</v>
      </c>
      <c r="J60" s="155">
        <f>IF('AW Schulen'!$I108=0,"x",E60/'AW Schulen'!$I108)</f>
        <v>0.2857142857142857</v>
      </c>
      <c r="K60" s="155">
        <f>IF('AW Schulen'!$L108=0,"x",F60/'AW Schulen'!$L108)</f>
        <v>0.34285714285714286</v>
      </c>
      <c r="L60" s="156">
        <f>IF('AW Schulen'!$O108=0,"x",G60/'AW Schulen'!$O108)</f>
        <v>0.33333333333333331</v>
      </c>
    </row>
    <row r="61" spans="1:12" ht="9" customHeight="1">
      <c r="A61" s="21" t="s">
        <v>93</v>
      </c>
      <c r="B61" s="202"/>
      <c r="C61" s="35">
        <f>[76]GtS!$G$56</f>
        <v>0</v>
      </c>
      <c r="D61" s="35">
        <f>[77]GtS!$G$58</f>
        <v>0</v>
      </c>
      <c r="E61" s="35">
        <f>[78]GtS!$G$58</f>
        <v>0</v>
      </c>
      <c r="F61" s="35">
        <f>[79]GtS!$G$58</f>
        <v>0</v>
      </c>
      <c r="G61" s="200">
        <f>[80]GtS!$G$58</f>
        <v>0</v>
      </c>
      <c r="H61" s="35">
        <v>0</v>
      </c>
      <c r="I61" s="35">
        <v>0</v>
      </c>
      <c r="J61" s="35">
        <v>0</v>
      </c>
      <c r="K61" s="35">
        <v>0</v>
      </c>
      <c r="L61" s="200">
        <v>0</v>
      </c>
    </row>
    <row r="62" spans="1:12" ht="9" customHeight="1">
      <c r="A62" s="21" t="s">
        <v>94</v>
      </c>
      <c r="B62" s="202"/>
      <c r="C62" s="23">
        <f>[56]GtS!$G$56</f>
        <v>0</v>
      </c>
      <c r="D62" s="23">
        <f>[57]GtS!$G$58</f>
        <v>0</v>
      </c>
      <c r="E62" s="23">
        <f>[58]GtS!$G$58</f>
        <v>0</v>
      </c>
      <c r="F62" s="23">
        <f>[59]GtS!$G$58</f>
        <v>0</v>
      </c>
      <c r="G62" s="34">
        <f>[60]GtS!$G$58</f>
        <v>0</v>
      </c>
      <c r="H62" s="155">
        <f>IF('AW Schulen'!$C110=0,"x",C62/'AW Schulen'!$C110)</f>
        <v>0</v>
      </c>
      <c r="I62" s="155">
        <f>IF('AW Schulen'!$F110=0,"x",D62/'AW Schulen'!$F110)</f>
        <v>0</v>
      </c>
      <c r="J62" s="155">
        <f>IF('AW Schulen'!$I110=0,"x",E62/'AW Schulen'!$I110)</f>
        <v>0</v>
      </c>
      <c r="K62" s="155">
        <f>IF('AW Schulen'!$L110=0,"x",F62/'AW Schulen'!$L110)</f>
        <v>0</v>
      </c>
      <c r="L62" s="156">
        <f>IF('AW Schulen'!$O110=0,"x",G62/'AW Schulen'!$O110)</f>
        <v>0</v>
      </c>
    </row>
    <row r="63" spans="1:12" ht="9" customHeight="1">
      <c r="A63" s="21" t="s">
        <v>215</v>
      </c>
      <c r="B63" s="202"/>
      <c r="C63" s="23">
        <f>[61]GtS!$G$56</f>
        <v>0</v>
      </c>
      <c r="D63" s="23">
        <f>[62]GtS!$G$58</f>
        <v>1</v>
      </c>
      <c r="E63" s="23">
        <f>[63]GtS!$G$58</f>
        <v>0</v>
      </c>
      <c r="F63" s="23">
        <f>[64]GtS!$G$58</f>
        <v>0</v>
      </c>
      <c r="G63" s="34">
        <f>[65]GtS!$G$58</f>
        <v>0</v>
      </c>
      <c r="H63" s="155">
        <f>IF('AW Schulen'!$C111=0,"x",C63/'AW Schulen'!$C111)</f>
        <v>0</v>
      </c>
      <c r="I63" s="155">
        <f>IF('AW Schulen'!$F111=0,"x",D63/'AW Schulen'!$F111)</f>
        <v>0.1111111111111111</v>
      </c>
      <c r="J63" s="155">
        <f>IF('AW Schulen'!$I111=0,"x",E63/'AW Schulen'!$I111)</f>
        <v>0</v>
      </c>
      <c r="K63" s="155">
        <f>IF('AW Schulen'!$L111=0,"x",F63/'AW Schulen'!$L111)</f>
        <v>0</v>
      </c>
      <c r="L63" s="156">
        <f>IF('AW Schulen'!$O111=0,"x",G63/'AW Schulen'!$O111)</f>
        <v>0</v>
      </c>
    </row>
    <row r="64" spans="1:12" ht="8.65" customHeight="1">
      <c r="A64" s="21" t="s">
        <v>96</v>
      </c>
      <c r="B64" s="202"/>
      <c r="C64" s="23">
        <f t="shared" ref="C64:E64" si="37">SUM(C48:C63)</f>
        <v>28</v>
      </c>
      <c r="D64" s="23">
        <f t="shared" si="37"/>
        <v>29</v>
      </c>
      <c r="E64" s="23">
        <f t="shared" si="37"/>
        <v>29</v>
      </c>
      <c r="F64" s="23">
        <f t="shared" ref="F64:G64" si="38">SUM(F48:F63)</f>
        <v>35</v>
      </c>
      <c r="G64" s="34">
        <f t="shared" si="38"/>
        <v>41</v>
      </c>
      <c r="H64" s="155">
        <f>IF('AW Schulen'!$C112=0,"x",C64/'AW Schulen'!$C112)</f>
        <v>6.6666666666666666E-2</v>
      </c>
      <c r="I64" s="155">
        <f>IF('AW Schulen'!$F112=0,"x",D64/'AW Schulen'!$F112)</f>
        <v>7.0731707317073164E-2</v>
      </c>
      <c r="J64" s="155">
        <f>IF('AW Schulen'!$I112=0,"x",E64/'AW Schulen'!$I112)</f>
        <v>6.8075117370892016E-2</v>
      </c>
      <c r="K64" s="155">
        <f>IF('AW Schulen'!$L112=0,"x",F64/'AW Schulen'!$L112)</f>
        <v>8.1206496519721574E-2</v>
      </c>
      <c r="L64" s="156">
        <f>IF('AW Schulen'!$O112=0,"x",G64/'AW Schulen'!$O112)</f>
        <v>9.4252873563218389E-2</v>
      </c>
    </row>
    <row r="65" spans="1:12" ht="12.6" customHeight="1">
      <c r="A65" s="402" t="s">
        <v>100</v>
      </c>
      <c r="B65" s="403"/>
      <c r="C65" s="403"/>
      <c r="D65" s="403"/>
      <c r="E65" s="403"/>
      <c r="F65" s="403"/>
      <c r="G65" s="403"/>
      <c r="H65" s="403"/>
      <c r="I65" s="403"/>
      <c r="J65" s="403"/>
      <c r="K65" s="403"/>
      <c r="L65" s="404"/>
    </row>
    <row r="66" spans="1:12" ht="10.15" customHeight="1">
      <c r="A66" s="224" t="s">
        <v>80</v>
      </c>
      <c r="B66" s="202"/>
      <c r="C66" s="23">
        <f>[1]GtS!$H$56</f>
        <v>16</v>
      </c>
      <c r="D66" s="23">
        <f>[2]GtS!$H$58</f>
        <v>17</v>
      </c>
      <c r="E66" s="23">
        <f>[3]GtS!$H$58</f>
        <v>17</v>
      </c>
      <c r="F66" s="23">
        <f>[4]GtS!$H$58</f>
        <v>14</v>
      </c>
      <c r="G66" s="34">
        <f>[5]GtS!$H$58</f>
        <v>15</v>
      </c>
      <c r="H66" s="155">
        <f>IF('AW Schulen'!$C96=0,"x",C66/'AW Schulen'!$C96)</f>
        <v>0.20779220779220781</v>
      </c>
      <c r="I66" s="155">
        <f>IF('AW Schulen'!$F96=0,"x",D66/'AW Schulen'!$F96)</f>
        <v>0.21249999999999999</v>
      </c>
      <c r="J66" s="155">
        <f>IF('AW Schulen'!$I96=0,"x",E66/'AW Schulen'!$I96)</f>
        <v>0.20987654320987653</v>
      </c>
      <c r="K66" s="155">
        <f>IF('AW Schulen'!$L96=0,"x",F66/'AW Schulen'!$L96)</f>
        <v>0.1728395061728395</v>
      </c>
      <c r="L66" s="156">
        <f>IF('AW Schulen'!$O96=0,"x",G66/'AW Schulen'!$O96)</f>
        <v>0.18518518518518517</v>
      </c>
    </row>
    <row r="67" spans="1:12" ht="10.15" customHeight="1">
      <c r="A67" s="224" t="s">
        <v>81</v>
      </c>
      <c r="B67" s="202"/>
      <c r="C67" s="23">
        <f>[6]GtS!$H$56</f>
        <v>37</v>
      </c>
      <c r="D67" s="23">
        <f>[7]GtS!$H$58</f>
        <v>37</v>
      </c>
      <c r="E67" s="23">
        <f>[8]GtS!$H$58</f>
        <v>37</v>
      </c>
      <c r="F67" s="23">
        <f>[9]GtS!$H$58</f>
        <v>35</v>
      </c>
      <c r="G67" s="34">
        <f>[10]GtS!$H$58</f>
        <v>33</v>
      </c>
      <c r="H67" s="155">
        <f>IF('AW Schulen'!$C97=0,"x",C67/'AW Schulen'!$C97)</f>
        <v>0.5</v>
      </c>
      <c r="I67" s="155">
        <f>IF('AW Schulen'!$F97=0,"x",D67/'AW Schulen'!$F97)</f>
        <v>0.5</v>
      </c>
      <c r="J67" s="155">
        <f>IF('AW Schulen'!$I97=0,"x",E67/'AW Schulen'!$I97)</f>
        <v>0.5</v>
      </c>
      <c r="K67" s="155">
        <f>IF('AW Schulen'!$L97=0,"x",F67/'AW Schulen'!$L97)</f>
        <v>0.46666666666666667</v>
      </c>
      <c r="L67" s="156">
        <f>IF('AW Schulen'!$O97=0,"x",G67/'AW Schulen'!$O97)</f>
        <v>0.44594594594594594</v>
      </c>
    </row>
    <row r="68" spans="1:12" ht="10.15" customHeight="1">
      <c r="A68" s="224" t="s">
        <v>82</v>
      </c>
      <c r="B68" s="202"/>
      <c r="C68" s="23">
        <f>[11]GtS!$H$56</f>
        <v>8</v>
      </c>
      <c r="D68" s="23">
        <f>[12]GtS!$H$58</f>
        <v>2</v>
      </c>
      <c r="E68" s="23">
        <f>[13]GtS!$H$58</f>
        <v>2</v>
      </c>
      <c r="F68" s="23">
        <f>[14]GtS!$H$58</f>
        <v>3</v>
      </c>
      <c r="G68" s="34">
        <f>[15]GtS!$H$58</f>
        <v>5</v>
      </c>
      <c r="H68" s="155">
        <f>IF('AW Schulen'!$C98=0,"x",C68/'AW Schulen'!$C98)</f>
        <v>0.34782608695652173</v>
      </c>
      <c r="I68" s="155">
        <f>IF('AW Schulen'!$F98=0,"x",D68/'AW Schulen'!$F98)</f>
        <v>0.2</v>
      </c>
      <c r="J68" s="155">
        <f>IF('AW Schulen'!$I98=0,"x",E68/'AW Schulen'!$I98)</f>
        <v>8.6956521739130432E-2</v>
      </c>
      <c r="K68" s="155">
        <f>IF('AW Schulen'!$L98=0,"x",F68/'AW Schulen'!$L98)</f>
        <v>0.13043478260869565</v>
      </c>
      <c r="L68" s="156">
        <f>IF('AW Schulen'!$O98=0,"x",G68/'AW Schulen'!$O98)</f>
        <v>0.22727272727272727</v>
      </c>
    </row>
    <row r="69" spans="1:12" ht="9" customHeight="1">
      <c r="A69" s="21" t="s">
        <v>83</v>
      </c>
      <c r="B69" s="202"/>
      <c r="C69" s="23">
        <f>[16]GtS!$H$56</f>
        <v>5</v>
      </c>
      <c r="D69" s="23">
        <f>[17]GtS!$H$58</f>
        <v>5</v>
      </c>
      <c r="E69" s="23">
        <f>[18]GtS!$H$58</f>
        <v>6</v>
      </c>
      <c r="F69" s="23">
        <f>[19]GtS!$H$58</f>
        <v>6</v>
      </c>
      <c r="G69" s="34">
        <f>[20]GtS!$H$58</f>
        <v>7</v>
      </c>
      <c r="H69" s="155">
        <f>IF('AW Schulen'!$C99=0,"x",C69/'AW Schulen'!$C99)</f>
        <v>0.21739130434782608</v>
      </c>
      <c r="I69" s="155">
        <f>IF('AW Schulen'!$F99=0,"x",D69/'AW Schulen'!$F99)</f>
        <v>0.21739130434782608</v>
      </c>
      <c r="J69" s="155">
        <f>IF('AW Schulen'!$I99=0,"x",E69/'AW Schulen'!$I99)</f>
        <v>0.25</v>
      </c>
      <c r="K69" s="155">
        <f>IF('AW Schulen'!$L99=0,"x",F69/'AW Schulen'!$L99)</f>
        <v>0.24</v>
      </c>
      <c r="L69" s="156">
        <f>IF('AW Schulen'!$O99=0,"x",G69/'AW Schulen'!$O99)</f>
        <v>0.28000000000000003</v>
      </c>
    </row>
    <row r="70" spans="1:12" ht="9" customHeight="1">
      <c r="A70" s="21" t="s">
        <v>84</v>
      </c>
      <c r="B70" s="202"/>
      <c r="C70" s="23">
        <f>[21]GtS!$H$56</f>
        <v>1</v>
      </c>
      <c r="D70" s="23">
        <f>[22]GtS!$H$58</f>
        <v>1</v>
      </c>
      <c r="E70" s="23">
        <f>[23]GtS!$H$58</f>
        <v>1</v>
      </c>
      <c r="F70" s="23">
        <f>[24]GtS!$H$58</f>
        <v>2</v>
      </c>
      <c r="G70" s="34">
        <f>[25]GtS!$H$58</f>
        <v>0</v>
      </c>
      <c r="H70" s="155">
        <f>IF('AW Schulen'!$C100=0,"x",C70/'AW Schulen'!$C100)</f>
        <v>0.2</v>
      </c>
      <c r="I70" s="155">
        <f>IF('AW Schulen'!$F100=0,"x",D70/'AW Schulen'!$F100)</f>
        <v>0.2</v>
      </c>
      <c r="J70" s="155">
        <f>IF('AW Schulen'!$I100=0,"x",E70/'AW Schulen'!$I100)</f>
        <v>0.2</v>
      </c>
      <c r="K70" s="155">
        <f>IF('AW Schulen'!$L100=0,"x",F70/'AW Schulen'!$L100)</f>
        <v>0.4</v>
      </c>
      <c r="L70" s="156">
        <f>IF('AW Schulen'!$O100=0,"x",G70/'AW Schulen'!$O100)</f>
        <v>0</v>
      </c>
    </row>
    <row r="71" spans="1:12" ht="9" customHeight="1">
      <c r="A71" s="21" t="s">
        <v>85</v>
      </c>
      <c r="B71" s="202"/>
      <c r="C71" s="23">
        <f>[26]GtS!$H$56</f>
        <v>5</v>
      </c>
      <c r="D71" s="23">
        <f>[27]GtS!$H$58</f>
        <v>5</v>
      </c>
      <c r="E71" s="23">
        <f>[28]GtS!$H$58</f>
        <v>5</v>
      </c>
      <c r="F71" s="23">
        <f>[29]GtS!$H$58</f>
        <v>5</v>
      </c>
      <c r="G71" s="34">
        <f>[30]GtS!$H$58</f>
        <v>5</v>
      </c>
      <c r="H71" s="155">
        <f>IF('AW Schulen'!$C101=0,"x",C71/'AW Schulen'!$C101)</f>
        <v>0.45454545454545453</v>
      </c>
      <c r="I71" s="155">
        <f>IF('AW Schulen'!$F101=0,"x",D71/'AW Schulen'!$F101)</f>
        <v>0.45454545454545453</v>
      </c>
      <c r="J71" s="155">
        <f>IF('AW Schulen'!$I101=0,"x",E71/'AW Schulen'!$I101)</f>
        <v>0.45454545454545453</v>
      </c>
      <c r="K71" s="155">
        <f>IF('AW Schulen'!$L101=0,"x",F71/'AW Schulen'!$L101)</f>
        <v>0.45454545454545453</v>
      </c>
      <c r="L71" s="156">
        <f>IF('AW Schulen'!$O101=0,"x",G71/'AW Schulen'!$O101)</f>
        <v>0.45454545454545453</v>
      </c>
    </row>
    <row r="72" spans="1:12" ht="9" customHeight="1">
      <c r="A72" s="21" t="s">
        <v>86</v>
      </c>
      <c r="B72" s="202"/>
      <c r="C72" s="35">
        <f>[66]GtS!$H$56</f>
        <v>0</v>
      </c>
      <c r="D72" s="35">
        <f>[67]GtS!$H$58</f>
        <v>0</v>
      </c>
      <c r="E72" s="35">
        <f>[68]GtS!$H$58</f>
        <v>0</v>
      </c>
      <c r="F72" s="35">
        <f>[69]GtS!$H$58</f>
        <v>0</v>
      </c>
      <c r="G72" s="200">
        <f>[70]GtS!$H$58</f>
        <v>0</v>
      </c>
      <c r="H72" s="35">
        <f>IF('AW Schulen'!$C102=0,"x",C72/'AW Schulen'!$C102)</f>
        <v>0</v>
      </c>
      <c r="I72" s="35">
        <f>IF('AW Schulen'!$C102=0,"x",D72/'AW Schulen'!$C102)</f>
        <v>0</v>
      </c>
      <c r="J72" s="35">
        <f>IF('AW Schulen'!$C102=0,"x",E72/'AW Schulen'!$C102)</f>
        <v>0</v>
      </c>
      <c r="K72" s="35">
        <f>IF('AW Schulen'!$C102=0,"x",F72/'AW Schulen'!$C102)</f>
        <v>0</v>
      </c>
      <c r="L72" s="200">
        <f>IF('AW Schulen'!$C102=0,"x",G72/'AW Schulen'!$C102)</f>
        <v>0</v>
      </c>
    </row>
    <row r="73" spans="1:12" ht="9" customHeight="1">
      <c r="A73" s="21" t="s">
        <v>174</v>
      </c>
      <c r="B73" s="202"/>
      <c r="C73" s="23">
        <f>[31]GtS!$H$56</f>
        <v>1</v>
      </c>
      <c r="D73" s="23">
        <f>[32]GtS!$H$58</f>
        <v>2</v>
      </c>
      <c r="E73" s="23">
        <f>[33]GtS!$H$58</f>
        <v>2</v>
      </c>
      <c r="F73" s="23">
        <f>[34]GtS!$H$58</f>
        <v>2</v>
      </c>
      <c r="G73" s="34">
        <f>[35]GtS!$H$58</f>
        <v>2</v>
      </c>
      <c r="H73" s="155">
        <f>IF('AW Schulen'!$C103=0,"x",C73/'AW Schulen'!$C103)</f>
        <v>8.3333333333333329E-2</v>
      </c>
      <c r="I73" s="155">
        <f>IF('AW Schulen'!$F103=0,"x",D73/'AW Schulen'!$F103)</f>
        <v>0.16666666666666666</v>
      </c>
      <c r="J73" s="155">
        <f>IF('AW Schulen'!$I103=0,"x",E73/'AW Schulen'!$I103)</f>
        <v>0.15384615384615385</v>
      </c>
      <c r="K73" s="155">
        <f>IF('AW Schulen'!$L103=0,"x",F73/'AW Schulen'!$L103)</f>
        <v>0.14285714285714285</v>
      </c>
      <c r="L73" s="156">
        <f>IF('AW Schulen'!$O103=0,"x",G73/'AW Schulen'!$O103)</f>
        <v>0.14285714285714285</v>
      </c>
    </row>
    <row r="74" spans="1:12" ht="9" customHeight="1">
      <c r="A74" s="21" t="s">
        <v>88</v>
      </c>
      <c r="B74" s="202"/>
      <c r="C74" s="35">
        <f>[71]GtS!$H$56</f>
        <v>0</v>
      </c>
      <c r="D74" s="35">
        <f>[72]GtS!$H$58</f>
        <v>0</v>
      </c>
      <c r="E74" s="35">
        <f>[73]GtS!$H$58</f>
        <v>0</v>
      </c>
      <c r="F74" s="35">
        <f>[74]GtS!$H$58</f>
        <v>0</v>
      </c>
      <c r="G74" s="200">
        <f>[75]GtS!$H$58</f>
        <v>0</v>
      </c>
      <c r="H74" s="35">
        <f>IF('AW Schulen'!$C104=0,"x",C74/'AW Schulen'!$C104)</f>
        <v>0</v>
      </c>
      <c r="I74" s="35">
        <f>IF('AW Schulen'!$F104=0,"x",D74/'AW Schulen'!$F104)</f>
        <v>0</v>
      </c>
      <c r="J74" s="35">
        <f>IF('AW Schulen'!$I104=0,"x",E74/'AW Schulen'!$I104)</f>
        <v>0</v>
      </c>
      <c r="K74" s="35">
        <f>IF('AW Schulen'!$L104=0,"x",F74/'AW Schulen'!$L104)</f>
        <v>0</v>
      </c>
      <c r="L74" s="200">
        <f>IF('AW Schulen'!$O104=0,"x",G74/'AW Schulen'!$O104)</f>
        <v>0</v>
      </c>
    </row>
    <row r="75" spans="1:12" ht="9" customHeight="1">
      <c r="A75" s="21" t="s">
        <v>89</v>
      </c>
      <c r="B75" s="202"/>
      <c r="C75" s="23">
        <f>[36]GtS!$H$56</f>
        <v>0</v>
      </c>
      <c r="D75" s="23">
        <f>[37]GtS!$H$58</f>
        <v>0</v>
      </c>
      <c r="E75" s="23">
        <f>[38]GtS!$H$58</f>
        <v>0</v>
      </c>
      <c r="F75" s="23">
        <f>[39]GtS!$H$58</f>
        <v>0</v>
      </c>
      <c r="G75" s="34">
        <f>[40]GtS!$H$58</f>
        <v>0</v>
      </c>
      <c r="H75" s="155">
        <f>IF('AW Schulen'!$C105=0,"x",C75/'AW Schulen'!$C105)</f>
        <v>0</v>
      </c>
      <c r="I75" s="155">
        <f>IF('AW Schulen'!$F105=0,"x",D75/'AW Schulen'!$F105)</f>
        <v>0</v>
      </c>
      <c r="J75" s="155">
        <f>IF('AW Schulen'!$I105=0,"x",E75/'AW Schulen'!$I105)</f>
        <v>0</v>
      </c>
      <c r="K75" s="155">
        <f>IF('AW Schulen'!$L105=0,"x",F75/'AW Schulen'!$L105)</f>
        <v>0</v>
      </c>
      <c r="L75" s="156">
        <f>IF('AW Schulen'!$O105=0,"x",G75/'AW Schulen'!$O105)</f>
        <v>0</v>
      </c>
    </row>
    <row r="76" spans="1:12" ht="9" customHeight="1">
      <c r="A76" s="21" t="s">
        <v>90</v>
      </c>
      <c r="B76" s="202"/>
      <c r="C76" s="23">
        <f>[41]GtS!$H$56</f>
        <v>1</v>
      </c>
      <c r="D76" s="23">
        <f>[42]GtS!$H$58</f>
        <v>1</v>
      </c>
      <c r="E76" s="23">
        <f>[43]GtS!$H$58</f>
        <v>1</v>
      </c>
      <c r="F76" s="23">
        <f>[44]GtS!$H$58</f>
        <v>1</v>
      </c>
      <c r="G76" s="34">
        <f>[45]GtS!$H$58</f>
        <v>1</v>
      </c>
      <c r="H76" s="155">
        <f>IF('AW Schulen'!$C106=0,"x",C76/'AW Schulen'!$C106)</f>
        <v>3.8461538461538464E-2</v>
      </c>
      <c r="I76" s="155">
        <f>IF('AW Schulen'!$F106=0,"x",D76/'AW Schulen'!$F106)</f>
        <v>3.8461538461538464E-2</v>
      </c>
      <c r="J76" s="155">
        <f>IF('AW Schulen'!$I106=0,"x",E76/'AW Schulen'!$I106)</f>
        <v>3.7037037037037035E-2</v>
      </c>
      <c r="K76" s="155">
        <f>IF('AW Schulen'!$L106=0,"x",F76/'AW Schulen'!$L106)</f>
        <v>3.5714285714285712E-2</v>
      </c>
      <c r="L76" s="156">
        <f>IF('AW Schulen'!$O106=0,"x",G76/'AW Schulen'!$O106)</f>
        <v>3.5714285714285712E-2</v>
      </c>
    </row>
    <row r="77" spans="1:12" ht="9" customHeight="1">
      <c r="A77" s="21" t="s">
        <v>91</v>
      </c>
      <c r="B77" s="202"/>
      <c r="C77" s="23">
        <f>[46]GtS!$H$56</f>
        <v>5</v>
      </c>
      <c r="D77" s="23">
        <f>[47]GtS!$H$58</f>
        <v>4</v>
      </c>
      <c r="E77" s="23">
        <f>[48]GtS!$H$58</f>
        <v>4</v>
      </c>
      <c r="F77" s="23">
        <f>[49]GtS!$H$58</f>
        <v>4</v>
      </c>
      <c r="G77" s="34">
        <f>[50]GtS!$H$58</f>
        <v>4</v>
      </c>
      <c r="H77" s="155">
        <f>IF('AW Schulen'!$C107=0,"x",C77/'AW Schulen'!$C107)</f>
        <v>1</v>
      </c>
      <c r="I77" s="155">
        <f>IF('AW Schulen'!$F107=0,"x",D77/'AW Schulen'!$F107)</f>
        <v>0.8</v>
      </c>
      <c r="J77" s="155">
        <f>IF('AW Schulen'!$I107=0,"x",E77/'AW Schulen'!$I107)</f>
        <v>0.8</v>
      </c>
      <c r="K77" s="155">
        <f>IF('AW Schulen'!$L107=0,"x",F77/'AW Schulen'!$L107)</f>
        <v>0.8</v>
      </c>
      <c r="L77" s="156">
        <f>IF('AW Schulen'!$O107=0,"x",G77/'AW Schulen'!$O107)</f>
        <v>0.8</v>
      </c>
    </row>
    <row r="78" spans="1:12" ht="9" customHeight="1">
      <c r="A78" s="21" t="s">
        <v>92</v>
      </c>
      <c r="B78" s="202"/>
      <c r="C78" s="23">
        <f>[51]GtS!$H$56</f>
        <v>15</v>
      </c>
      <c r="D78" s="23">
        <f>[52]GtS!$H$58</f>
        <v>15</v>
      </c>
      <c r="E78" s="23">
        <f>[53]GtS!$H$58</f>
        <v>16</v>
      </c>
      <c r="F78" s="23">
        <f>[54]GtS!$H$58</f>
        <v>15</v>
      </c>
      <c r="G78" s="34">
        <f>[55]GtS!$H$58</f>
        <v>15</v>
      </c>
      <c r="H78" s="155">
        <f>IF('AW Schulen'!$C108=0,"x",C78/'AW Schulen'!$C108)</f>
        <v>0.44117647058823528</v>
      </c>
      <c r="I78" s="155">
        <f>IF('AW Schulen'!$F108=0,"x",D78/'AW Schulen'!$F108)</f>
        <v>0.44117647058823528</v>
      </c>
      <c r="J78" s="155">
        <f>IF('AW Schulen'!$I108=0,"x",E78/'AW Schulen'!$I108)</f>
        <v>0.45714285714285713</v>
      </c>
      <c r="K78" s="155">
        <f>IF('AW Schulen'!$L108=0,"x",F78/'AW Schulen'!$L108)</f>
        <v>0.42857142857142855</v>
      </c>
      <c r="L78" s="156">
        <f>IF('AW Schulen'!$O108=0,"x",G78/'AW Schulen'!$O108)</f>
        <v>0.38461538461538464</v>
      </c>
    </row>
    <row r="79" spans="1:12" ht="9" customHeight="1">
      <c r="A79" s="21" t="s">
        <v>93</v>
      </c>
      <c r="B79" s="202"/>
      <c r="C79" s="35">
        <f>[76]GtS!$H$56</f>
        <v>0</v>
      </c>
      <c r="D79" s="35">
        <f>[77]GtS!$H$58</f>
        <v>0</v>
      </c>
      <c r="E79" s="35">
        <f>[78]GtS!$H$58</f>
        <v>0</v>
      </c>
      <c r="F79" s="35">
        <f>[79]GtS!$H$58</f>
        <v>0</v>
      </c>
      <c r="G79" s="200">
        <f>[80]GtS!$H$58</f>
        <v>0</v>
      </c>
      <c r="H79" s="356">
        <v>0</v>
      </c>
      <c r="I79" s="35">
        <v>0</v>
      </c>
      <c r="J79" s="35">
        <v>0</v>
      </c>
      <c r="K79" s="35">
        <v>0</v>
      </c>
      <c r="L79" s="200">
        <v>0</v>
      </c>
    </row>
    <row r="80" spans="1:12" ht="9" customHeight="1">
      <c r="A80" s="21" t="s">
        <v>94</v>
      </c>
      <c r="B80" s="202"/>
      <c r="C80" s="23">
        <f>[56]GtS!$H$56</f>
        <v>0</v>
      </c>
      <c r="D80" s="23">
        <f>[57]GtS!$H$58</f>
        <v>0</v>
      </c>
      <c r="E80" s="23">
        <f>[58]GtS!$H$58</f>
        <v>0</v>
      </c>
      <c r="F80" s="23">
        <f>[59]GtS!$H$58</f>
        <v>0</v>
      </c>
      <c r="G80" s="34">
        <f>[60]GtS!$H$58</f>
        <v>0</v>
      </c>
      <c r="H80" s="155">
        <f>IF('AW Schulen'!$C110=0,"x",C80/'AW Schulen'!$C110)</f>
        <v>0</v>
      </c>
      <c r="I80" s="155">
        <f>IF('AW Schulen'!$F110=0,"x",D80/'AW Schulen'!$F110)</f>
        <v>0</v>
      </c>
      <c r="J80" s="155">
        <f>IF('AW Schulen'!$I110=0,"x",E80/'AW Schulen'!$I110)</f>
        <v>0</v>
      </c>
      <c r="K80" s="155">
        <f>IF('AW Schulen'!$L110=0,"x",F80/'AW Schulen'!$L110)</f>
        <v>0</v>
      </c>
      <c r="L80" s="156">
        <f>IF('AW Schulen'!$O110=0,"x",G80/'AW Schulen'!$O110)</f>
        <v>0</v>
      </c>
    </row>
    <row r="81" spans="1:12" ht="9" customHeight="1">
      <c r="A81" s="21" t="s">
        <v>215</v>
      </c>
      <c r="B81" s="202"/>
      <c r="C81" s="23">
        <f>[61]GtS!$H$56</f>
        <v>4</v>
      </c>
      <c r="D81" s="23">
        <f>[62]GtS!$H$58</f>
        <v>4</v>
      </c>
      <c r="E81" s="23">
        <f>[63]GtS!$H$58</f>
        <v>4</v>
      </c>
      <c r="F81" s="23">
        <f>[64]GtS!$H$58</f>
        <v>4</v>
      </c>
      <c r="G81" s="34">
        <f>[65]GtS!$H$58</f>
        <v>4</v>
      </c>
      <c r="H81" s="155">
        <f>IF('AW Schulen'!$C111=0,"x",C81/'AW Schulen'!$C111)</f>
        <v>0.44444444444444442</v>
      </c>
      <c r="I81" s="155">
        <f>IF('AW Schulen'!$F111=0,"x",D81/'AW Schulen'!$F111)</f>
        <v>0.44444444444444442</v>
      </c>
      <c r="J81" s="155">
        <f>IF('AW Schulen'!$I111=0,"x",E81/'AW Schulen'!$I111)</f>
        <v>0.44444444444444442</v>
      </c>
      <c r="K81" s="155">
        <f>IF('AW Schulen'!$L111=0,"x",F81/'AW Schulen'!$L111)</f>
        <v>0.44444444444444442</v>
      </c>
      <c r="L81" s="156">
        <f>IF('AW Schulen'!$O111=0,"x",G81/'AW Schulen'!$O111)</f>
        <v>0.36363636363636365</v>
      </c>
    </row>
    <row r="82" spans="1:12" ht="9" customHeight="1">
      <c r="A82" s="24" t="s">
        <v>96</v>
      </c>
      <c r="B82" s="208"/>
      <c r="C82" s="26">
        <f t="shared" ref="C82:E82" si="39">SUM(C66:C81)</f>
        <v>98</v>
      </c>
      <c r="D82" s="26">
        <f t="shared" si="39"/>
        <v>93</v>
      </c>
      <c r="E82" s="26">
        <f t="shared" si="39"/>
        <v>95</v>
      </c>
      <c r="F82" s="26">
        <f t="shared" ref="F82:G82" si="40">SUM(F66:F81)</f>
        <v>91</v>
      </c>
      <c r="G82" s="47">
        <f t="shared" si="40"/>
        <v>91</v>
      </c>
      <c r="H82" s="157">
        <f>IF('AW Schulen'!$C112=0,"x",C82/'AW Schulen'!$C112)</f>
        <v>0.23333333333333334</v>
      </c>
      <c r="I82" s="157">
        <f>IF('AW Schulen'!$F112=0,"x",D82/'AW Schulen'!$F112)</f>
        <v>0.22682926829268293</v>
      </c>
      <c r="J82" s="157">
        <f>IF('AW Schulen'!$I112=0,"x",E82/'AW Schulen'!$I112)</f>
        <v>0.22300469483568075</v>
      </c>
      <c r="K82" s="157">
        <f>IF('AW Schulen'!$L112=0,"x",F82/'AW Schulen'!$L112)</f>
        <v>0.21113689095127611</v>
      </c>
      <c r="L82" s="158">
        <f>IF('AW Schulen'!$O112=0,"x",G82/'AW Schulen'!$O112)</f>
        <v>0.20919540229885059</v>
      </c>
    </row>
    <row r="83" spans="1:12" ht="19.5" customHeight="1">
      <c r="A83" s="396" t="s">
        <v>312</v>
      </c>
      <c r="B83" s="396"/>
      <c r="C83" s="396"/>
      <c r="D83" s="396"/>
      <c r="E83" s="396"/>
      <c r="F83" s="396"/>
      <c r="G83" s="396"/>
      <c r="H83" s="396"/>
      <c r="I83" s="396"/>
      <c r="J83" s="396"/>
      <c r="K83" s="396"/>
      <c r="L83" s="396"/>
    </row>
    <row r="84" spans="1:12" s="214" customFormat="1" ht="10.15" customHeight="1">
      <c r="A84" s="220" t="s">
        <v>166</v>
      </c>
      <c r="B84" s="220"/>
      <c r="C84" s="220"/>
      <c r="D84" s="220"/>
      <c r="E84" s="220"/>
      <c r="F84" s="318"/>
      <c r="G84" s="346"/>
      <c r="I84" s="236"/>
      <c r="J84" s="246"/>
      <c r="K84" s="315"/>
      <c r="L84" s="342"/>
    </row>
    <row r="85" spans="1:12" s="214" customFormat="1" ht="10.15" customHeight="1">
      <c r="A85" s="214" t="s">
        <v>183</v>
      </c>
      <c r="D85" s="236"/>
      <c r="E85" s="246"/>
      <c r="F85" s="315"/>
      <c r="G85" s="342"/>
      <c r="I85" s="236"/>
      <c r="J85" s="246"/>
      <c r="K85" s="315"/>
      <c r="L85" s="342"/>
    </row>
    <row r="86" spans="1:12" s="267" customFormat="1" ht="10.15" customHeight="1">
      <c r="A86" s="220" t="s">
        <v>228</v>
      </c>
      <c r="F86" s="315"/>
      <c r="G86" s="342"/>
      <c r="K86" s="315"/>
      <c r="L86" s="342"/>
    </row>
    <row r="87" spans="1:12" ht="9.4" customHeight="1">
      <c r="A87" s="306" t="s">
        <v>283</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41"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6"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P89"/>
  <sheetViews>
    <sheetView view="pageBreakPreview" topLeftCell="A58" zoomScale="170" zoomScaleNormal="130" zoomScaleSheetLayoutView="170" workbookViewId="0">
      <selection activeCell="N23" sqref="N23:N24"/>
    </sheetView>
  </sheetViews>
  <sheetFormatPr baseColWidth="10" defaultColWidth="11.42578125" defaultRowHeight="9"/>
  <cols>
    <col min="1" max="1" width="9" style="2" customWidth="1"/>
    <col min="2" max="2" width="1.28515625" style="2" customWidth="1"/>
    <col min="3" max="12" width="6.7109375" style="2" customWidth="1"/>
    <col min="13" max="16384" width="11.42578125" style="2"/>
  </cols>
  <sheetData>
    <row r="1" spans="1:13" ht="12.75" customHeight="1">
      <c r="A1" s="383">
        <f>'2.3.6'!A1:E1+1</f>
        <v>30</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4.1" customHeight="1">
      <c r="A5" s="13" t="s">
        <v>35</v>
      </c>
      <c r="B5" s="39" t="s">
        <v>188</v>
      </c>
      <c r="C5" s="14"/>
      <c r="D5" s="14"/>
      <c r="E5" s="14"/>
      <c r="F5" s="14"/>
      <c r="G5" s="14"/>
    </row>
    <row r="6" spans="1:13" s="3" customFormat="1" ht="12" customHeight="1">
      <c r="A6" s="13"/>
      <c r="B6" s="48"/>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198">
        <f t="shared" ref="C12:D28" si="0">SUM(C30+C48+C66)</f>
        <v>2</v>
      </c>
      <c r="D12" s="198">
        <f t="shared" si="0"/>
        <v>5</v>
      </c>
      <c r="E12" s="198">
        <f t="shared" ref="E12:F12" si="1">SUM(E30+E48+E66)</f>
        <v>10</v>
      </c>
      <c r="F12" s="198">
        <f t="shared" si="1"/>
        <v>14</v>
      </c>
      <c r="G12" s="199">
        <f t="shared" ref="G12" si="2">SUM(G30+G48+G66)</f>
        <v>17</v>
      </c>
      <c r="H12" s="153">
        <f>IF('AW Schulen'!$C114=0,"x",C12/'AW Schulen'!$C114)</f>
        <v>1</v>
      </c>
      <c r="I12" s="153">
        <f>IF('AW Schulen'!$F114=0,"x",D12/'AW Schulen'!$F114)</f>
        <v>0.83333333333333337</v>
      </c>
      <c r="J12" s="153">
        <f>IF('AW Schulen'!$I114=0,"x",E12/'AW Schulen'!$I114)</f>
        <v>1</v>
      </c>
      <c r="K12" s="153">
        <f>IF('AW Schulen'!$L114=0,"x",F12/'AW Schulen'!$L114)</f>
        <v>0.93333333333333335</v>
      </c>
      <c r="L12" s="154">
        <f>IF('AW Schulen'!$O114=0,"x",G12/'AW Schulen'!$O114)</f>
        <v>0.89473684210526316</v>
      </c>
    </row>
    <row r="13" spans="1:13" ht="9" customHeight="1">
      <c r="A13" s="21" t="s">
        <v>81</v>
      </c>
      <c r="B13" s="120"/>
      <c r="C13" s="198">
        <f t="shared" si="0"/>
        <v>0</v>
      </c>
      <c r="D13" s="198">
        <f t="shared" si="0"/>
        <v>0</v>
      </c>
      <c r="E13" s="198">
        <f t="shared" ref="E13:F13" si="3">SUM(E31+E49+E67)</f>
        <v>0</v>
      </c>
      <c r="F13" s="198" t="e">
        <f t="shared" si="3"/>
        <v>#VALUE!</v>
      </c>
      <c r="G13" s="199">
        <f t="shared" ref="G13" si="4">SUM(G31+G49+G67)</f>
        <v>0</v>
      </c>
      <c r="H13" s="198" t="str">
        <f>IF('AW Schulen'!$C115=0,"x",C13/'AW Schulen'!$C115)</f>
        <v>x</v>
      </c>
      <c r="I13" s="198" t="str">
        <f>IF('AW Schulen'!$F115=0,"x",D13/'AW Schulen'!$F115)</f>
        <v>x</v>
      </c>
      <c r="J13" s="198" t="str">
        <f>IF('AW Schulen'!$I115=0,"x",E13/'AW Schulen'!$I115)</f>
        <v>x</v>
      </c>
      <c r="K13" s="198" t="e">
        <f>IF('AW Schulen'!$L115=0,"x",F13/'AW Schulen'!$L115)</f>
        <v>#VALUE!</v>
      </c>
      <c r="L13" s="199" t="str">
        <f>IF('AW Schulen'!$O115=0,"x",G13/'AW Schulen'!$O115)</f>
        <v>x</v>
      </c>
    </row>
    <row r="14" spans="1:13" ht="9" customHeight="1">
      <c r="A14" s="21" t="s">
        <v>82</v>
      </c>
      <c r="B14" s="120"/>
      <c r="C14" s="42">
        <f t="shared" si="0"/>
        <v>26</v>
      </c>
      <c r="D14" s="42">
        <f t="shared" si="0"/>
        <v>23</v>
      </c>
      <c r="E14" s="42">
        <f t="shared" ref="E14:F14" si="5">SUM(E32+E50+E68)</f>
        <v>23</v>
      </c>
      <c r="F14" s="42">
        <f t="shared" si="5"/>
        <v>28</v>
      </c>
      <c r="G14" s="44">
        <f t="shared" ref="G14" si="6">SUM(G32+G50+G68)</f>
        <v>20</v>
      </c>
      <c r="H14" s="153">
        <f>IF('AW Schulen'!$C116=0,"x",C14/'AW Schulen'!$C116)</f>
        <v>0.9285714285714286</v>
      </c>
      <c r="I14" s="153">
        <f>IF('AW Schulen'!$F116=0,"x",D14/'AW Schulen'!$F116)</f>
        <v>0.88461538461538458</v>
      </c>
      <c r="J14" s="153">
        <f>IF('AW Schulen'!$I116=0,"x",E14/'AW Schulen'!$I116)</f>
        <v>0.65714285714285714</v>
      </c>
      <c r="K14" s="153">
        <f>IF('AW Schulen'!$L116=0,"x",F14/'AW Schulen'!$L116)</f>
        <v>0.73684210526315785</v>
      </c>
      <c r="L14" s="154">
        <f>IF('AW Schulen'!$O116=0,"x",G14/'AW Schulen'!$O116)</f>
        <v>0.47619047619047616</v>
      </c>
    </row>
    <row r="15" spans="1:13" ht="9" customHeight="1">
      <c r="A15" s="21" t="s">
        <v>83</v>
      </c>
      <c r="B15" s="120"/>
      <c r="C15" s="42">
        <f t="shared" si="0"/>
        <v>3</v>
      </c>
      <c r="D15" s="42">
        <f t="shared" si="0"/>
        <v>4</v>
      </c>
      <c r="E15" s="42">
        <f t="shared" ref="E15:F15" si="7">SUM(E33+E51+E69)</f>
        <v>6</v>
      </c>
      <c r="F15" s="42">
        <f t="shared" si="7"/>
        <v>10</v>
      </c>
      <c r="G15" s="44">
        <f t="shared" ref="G15" si="8">SUM(G33+G51+G69)</f>
        <v>9</v>
      </c>
      <c r="H15" s="153">
        <f>IF('AW Schulen'!$C117=0,"x",C15/'AW Schulen'!$C117)</f>
        <v>0.75</v>
      </c>
      <c r="I15" s="153">
        <f>IF('AW Schulen'!$F117=0,"x",D15/'AW Schulen'!$F117)</f>
        <v>0.66666666666666663</v>
      </c>
      <c r="J15" s="153">
        <f>IF('AW Schulen'!$I117=0,"x",E15/'AW Schulen'!$I117)</f>
        <v>0.66666666666666663</v>
      </c>
      <c r="K15" s="153">
        <f>IF('AW Schulen'!$L117=0,"x",F15/'AW Schulen'!$L117)</f>
        <v>0.83333333333333337</v>
      </c>
      <c r="L15" s="154">
        <f>IF('AW Schulen'!$O117=0,"x",G15/'AW Schulen'!$O117)</f>
        <v>0.81818181818181823</v>
      </c>
    </row>
    <row r="16" spans="1:13" ht="9" customHeight="1">
      <c r="A16" s="21" t="s">
        <v>84</v>
      </c>
      <c r="B16" s="120"/>
      <c r="C16" s="42">
        <f t="shared" si="0"/>
        <v>2</v>
      </c>
      <c r="D16" s="42">
        <f t="shared" si="0"/>
        <v>2</v>
      </c>
      <c r="E16" s="42">
        <f t="shared" ref="E16:F16" si="9">SUM(E34+E52+E70)</f>
        <v>2</v>
      </c>
      <c r="F16" s="42">
        <f t="shared" si="9"/>
        <v>2</v>
      </c>
      <c r="G16" s="44">
        <f t="shared" ref="G16" si="10">SUM(G34+G52+G70)</f>
        <v>1</v>
      </c>
      <c r="H16" s="153">
        <f>IF('AW Schulen'!$C118=0,"x",C16/'AW Schulen'!$C118)</f>
        <v>0.66666666666666663</v>
      </c>
      <c r="I16" s="153">
        <f>IF('AW Schulen'!$F118=0,"x",D16/'AW Schulen'!$F118)</f>
        <v>0.66666666666666663</v>
      </c>
      <c r="J16" s="153">
        <f>IF('AW Schulen'!$I118=0,"x",E16/'AW Schulen'!$I118)</f>
        <v>0.5</v>
      </c>
      <c r="K16" s="153">
        <f>IF('AW Schulen'!$L118=0,"x",F16/'AW Schulen'!$L118)</f>
        <v>0.33333333333333331</v>
      </c>
      <c r="L16" s="154">
        <f>IF('AW Schulen'!$O118=0,"x",G16/'AW Schulen'!$O118)</f>
        <v>0.16666666666666666</v>
      </c>
    </row>
    <row r="17" spans="1:16" ht="9" customHeight="1">
      <c r="A17" s="21" t="s">
        <v>85</v>
      </c>
      <c r="B17" s="120"/>
      <c r="C17" s="42">
        <f t="shared" si="0"/>
        <v>14</v>
      </c>
      <c r="D17" s="42">
        <f t="shared" si="0"/>
        <v>14</v>
      </c>
      <c r="E17" s="42">
        <f t="shared" ref="E17:F17" si="11">SUM(E35+E53+E71)</f>
        <v>15</v>
      </c>
      <c r="F17" s="42">
        <f t="shared" si="11"/>
        <v>14</v>
      </c>
      <c r="G17" s="44">
        <f t="shared" ref="G17" si="12">SUM(G35+G53+G71)</f>
        <v>15</v>
      </c>
      <c r="H17" s="153">
        <f>IF('AW Schulen'!$C119=0,"x",C17/'AW Schulen'!$C119)</f>
        <v>0.48275862068965519</v>
      </c>
      <c r="I17" s="153">
        <f>IF('AW Schulen'!$F119=0,"x",D17/'AW Schulen'!$F119)</f>
        <v>0.66666666666666663</v>
      </c>
      <c r="J17" s="153">
        <f>IF('AW Schulen'!$I119=0,"x",E17/'AW Schulen'!$I119)</f>
        <v>0.7142857142857143</v>
      </c>
      <c r="K17" s="153">
        <f>IF('AW Schulen'!$L119=0,"x",F17/'AW Schulen'!$L119)</f>
        <v>0.66666666666666663</v>
      </c>
      <c r="L17" s="154">
        <f>IF('AW Schulen'!$O119=0,"x",G17/'AW Schulen'!$O119)</f>
        <v>0.88235294117647056</v>
      </c>
    </row>
    <row r="18" spans="1:16" ht="9" customHeight="1">
      <c r="A18" s="21" t="s">
        <v>86</v>
      </c>
      <c r="B18" s="120"/>
      <c r="C18" s="55">
        <f t="shared" si="0"/>
        <v>0</v>
      </c>
      <c r="D18" s="55">
        <f t="shared" si="0"/>
        <v>0</v>
      </c>
      <c r="E18" s="55">
        <f t="shared" ref="E18:F18" si="13">SUM(E36+E54+E72)</f>
        <v>0</v>
      </c>
      <c r="F18" s="55">
        <f t="shared" si="13"/>
        <v>0</v>
      </c>
      <c r="G18" s="56">
        <f t="shared" ref="G18" si="14">SUM(G36+G54+G72)</f>
        <v>0</v>
      </c>
      <c r="H18" s="55">
        <f>IF('AW Schulen'!$C120=0,"x",C18/'AW Schulen'!$C120)</f>
        <v>0</v>
      </c>
      <c r="I18" s="55">
        <f>IF('AW Schulen'!$C120=0,"x",D18/'AW Schulen'!$C120)</f>
        <v>0</v>
      </c>
      <c r="J18" s="55">
        <f>IF('AW Schulen'!$C120=0,"x",E18/'AW Schulen'!$C120)</f>
        <v>0</v>
      </c>
      <c r="K18" s="55">
        <f>IF('AW Schulen'!$C120=0,"x",F18/'AW Schulen'!$C120)</f>
        <v>0</v>
      </c>
      <c r="L18" s="56">
        <f>IF('AW Schulen'!$C120=0,"x",G18/'AW Schulen'!$C120)</f>
        <v>0</v>
      </c>
    </row>
    <row r="19" spans="1:16" ht="9" customHeight="1">
      <c r="A19" s="21" t="s">
        <v>223</v>
      </c>
      <c r="B19" s="120"/>
      <c r="C19" s="42">
        <f t="shared" si="0"/>
        <v>9</v>
      </c>
      <c r="D19" s="42">
        <f t="shared" si="0"/>
        <v>10</v>
      </c>
      <c r="E19" s="42">
        <f t="shared" ref="E19:F19" si="15">SUM(E37+E55+E73)</f>
        <v>10</v>
      </c>
      <c r="F19" s="42">
        <f t="shared" si="15"/>
        <v>11</v>
      </c>
      <c r="G19" s="44">
        <f t="shared" ref="G19" si="16">SUM(G37+G55+G73)</f>
        <v>12</v>
      </c>
      <c r="H19" s="153">
        <f>IF('AW Schulen'!$C121=0,"x",C19/'AW Schulen'!$C121)</f>
        <v>0.9</v>
      </c>
      <c r="I19" s="153">
        <f>IF('AW Schulen'!$F121=0,"x",D19/'AW Schulen'!$F121)</f>
        <v>0.90909090909090906</v>
      </c>
      <c r="J19" s="153">
        <f>IF('AW Schulen'!$I121=0,"x",E19/'AW Schulen'!$I121)</f>
        <v>0.90909090909090906</v>
      </c>
      <c r="K19" s="153">
        <f>IF('AW Schulen'!$L121=0,"x",F19/'AW Schulen'!$L121)</f>
        <v>1</v>
      </c>
      <c r="L19" s="154">
        <f>IF('AW Schulen'!$O121=0,"x",G19/'AW Schulen'!$O121)</f>
        <v>1</v>
      </c>
    </row>
    <row r="20" spans="1:16" ht="9" customHeight="1">
      <c r="A20" s="21" t="s">
        <v>88</v>
      </c>
      <c r="B20" s="120"/>
      <c r="C20" s="55">
        <f t="shared" si="0"/>
        <v>0</v>
      </c>
      <c r="D20" s="55">
        <f t="shared" si="0"/>
        <v>0</v>
      </c>
      <c r="E20" s="55">
        <f t="shared" ref="E20:F20" si="17">SUM(E38+E56+E74)</f>
        <v>0</v>
      </c>
      <c r="F20" s="55">
        <f t="shared" si="17"/>
        <v>0</v>
      </c>
      <c r="G20" s="56">
        <f t="shared" ref="G20" si="18">SUM(G38+G56+G74)</f>
        <v>0</v>
      </c>
      <c r="H20" s="55">
        <f>IF('AW Schulen'!$C122=0,"x",C20/'AW Schulen'!$C122)</f>
        <v>0</v>
      </c>
      <c r="I20" s="55">
        <f>IF('AW Schulen'!$F122=0,"x",D20/'AW Schulen'!$F122)</f>
        <v>0</v>
      </c>
      <c r="J20" s="55">
        <f>IF('AW Schulen'!$I122=0,"x",E20/'AW Schulen'!$I122)</f>
        <v>0</v>
      </c>
      <c r="K20" s="55">
        <f>IF('AW Schulen'!$L122=0,"x",F20/'AW Schulen'!$L122)</f>
        <v>0</v>
      </c>
      <c r="L20" s="56">
        <f>IF('AW Schulen'!$O122=0,"x",G20/'AW Schulen'!$O122)</f>
        <v>0</v>
      </c>
      <c r="P20" s="201"/>
    </row>
    <row r="21" spans="1:16" ht="9" customHeight="1">
      <c r="A21" s="21" t="s">
        <v>89</v>
      </c>
      <c r="B21" s="120"/>
      <c r="C21" s="42">
        <f t="shared" si="0"/>
        <v>14</v>
      </c>
      <c r="D21" s="42">
        <f t="shared" si="0"/>
        <v>15</v>
      </c>
      <c r="E21" s="42">
        <f t="shared" ref="E21:F21" si="19">SUM(E39+E57+E75)</f>
        <v>20</v>
      </c>
      <c r="F21" s="42">
        <f t="shared" si="19"/>
        <v>20</v>
      </c>
      <c r="G21" s="44">
        <f t="shared" ref="G21" si="20">SUM(G39+G57+G75)</f>
        <v>22</v>
      </c>
      <c r="H21" s="153">
        <f>IF('AW Schulen'!$C123=0,"x",C21/'AW Schulen'!$C123)</f>
        <v>0.7</v>
      </c>
      <c r="I21" s="153">
        <f>IF('AW Schulen'!$F123=0,"x",D21/'AW Schulen'!$F123)</f>
        <v>0.68181818181818177</v>
      </c>
      <c r="J21" s="153">
        <f>IF('AW Schulen'!$I123=0,"x",E21/'AW Schulen'!$I123)</f>
        <v>0.7407407407407407</v>
      </c>
      <c r="K21" s="153">
        <f>IF('AW Schulen'!$L123=0,"x",F21/'AW Schulen'!$L123)</f>
        <v>0.7407407407407407</v>
      </c>
      <c r="L21" s="154">
        <f>IF('AW Schulen'!$O123=0,"x",G21/'AW Schulen'!$O123)</f>
        <v>0.70967741935483875</v>
      </c>
    </row>
    <row r="22" spans="1:16" ht="9" customHeight="1">
      <c r="A22" s="21" t="s">
        <v>90</v>
      </c>
      <c r="B22" s="120"/>
      <c r="C22" s="42">
        <f t="shared" si="0"/>
        <v>1</v>
      </c>
      <c r="D22" s="42">
        <f t="shared" si="0"/>
        <v>1</v>
      </c>
      <c r="E22" s="42">
        <f t="shared" ref="E22:F22" si="21">SUM(E40+E58+E76)</f>
        <v>1</v>
      </c>
      <c r="F22" s="42">
        <f t="shared" si="21"/>
        <v>1</v>
      </c>
      <c r="G22" s="44">
        <f t="shared" ref="G22" si="22">SUM(G40+G58+G76)</f>
        <v>1</v>
      </c>
      <c r="H22" s="153">
        <f>IF('AW Schulen'!$C124=0,"x",C22/'AW Schulen'!$C124)</f>
        <v>1</v>
      </c>
      <c r="I22" s="153">
        <f>IF('AW Schulen'!$F124=0,"x",D22/'AW Schulen'!$F124)</f>
        <v>1</v>
      </c>
      <c r="J22" s="153">
        <f>IF('AW Schulen'!$I124=0,"x",E22/'AW Schulen'!$I124)</f>
        <v>1</v>
      </c>
      <c r="K22" s="153">
        <f>IF('AW Schulen'!$L124=0,"x",F22/'AW Schulen'!$L124)</f>
        <v>1</v>
      </c>
      <c r="L22" s="154">
        <f>IF('AW Schulen'!$O124=0,"x",G22/'AW Schulen'!$O124)</f>
        <v>1</v>
      </c>
    </row>
    <row r="23" spans="1:16" ht="9" customHeight="1">
      <c r="A23" s="21" t="s">
        <v>91</v>
      </c>
      <c r="B23" s="120"/>
      <c r="C23" s="42">
        <f t="shared" si="0"/>
        <v>1</v>
      </c>
      <c r="D23" s="42">
        <f t="shared" si="0"/>
        <v>1</v>
      </c>
      <c r="E23" s="42">
        <f t="shared" ref="E23:F23" si="23">SUM(E41+E59+E77)</f>
        <v>1</v>
      </c>
      <c r="F23" s="42">
        <f t="shared" si="23"/>
        <v>1</v>
      </c>
      <c r="G23" s="44">
        <f t="shared" ref="G23" si="24">SUM(G41+G59+G77)</f>
        <v>3</v>
      </c>
      <c r="H23" s="153">
        <f>IF('AW Schulen'!$C125=0,"x",C23/'AW Schulen'!$C125)</f>
        <v>1</v>
      </c>
      <c r="I23" s="153">
        <f>IF('AW Schulen'!$F125=0,"x",D23/'AW Schulen'!$F125)</f>
        <v>1</v>
      </c>
      <c r="J23" s="153">
        <f>IF('AW Schulen'!$I125=0,"x",E23/'AW Schulen'!$I125)</f>
        <v>1</v>
      </c>
      <c r="K23" s="153">
        <f>IF('AW Schulen'!$L125=0,"x",F23/'AW Schulen'!$L125)</f>
        <v>1</v>
      </c>
      <c r="L23" s="154">
        <f>IF('AW Schulen'!$O125=0,"x",G23/'AW Schulen'!$O125)</f>
        <v>1</v>
      </c>
    </row>
    <row r="24" spans="1:16" ht="9" customHeight="1">
      <c r="A24" s="21" t="s">
        <v>92</v>
      </c>
      <c r="B24" s="120"/>
      <c r="C24" s="198">
        <f t="shared" si="0"/>
        <v>0</v>
      </c>
      <c r="D24" s="198">
        <f t="shared" si="0"/>
        <v>0</v>
      </c>
      <c r="E24" s="198">
        <f t="shared" ref="E24:F24" si="25">SUM(E42+E60+E78)</f>
        <v>0</v>
      </c>
      <c r="F24" s="198">
        <f t="shared" si="25"/>
        <v>0</v>
      </c>
      <c r="G24" s="199">
        <f t="shared" ref="G24" si="26">SUM(G42+G60+G78)</f>
        <v>0</v>
      </c>
      <c r="H24" s="198" t="str">
        <f>IF('AW Schulen'!$C126=0,"x",C24/'AW Schulen'!$C126)</f>
        <v>x</v>
      </c>
      <c r="I24" s="198" t="str">
        <f>IF('AW Schulen'!$F126=0,"x",D24/'AW Schulen'!$F126)</f>
        <v>x</v>
      </c>
      <c r="J24" s="198" t="str">
        <f>IF('AW Schulen'!$I126=0,"x",E24/'AW Schulen'!$I126)</f>
        <v>x</v>
      </c>
      <c r="K24" s="198" t="str">
        <f>IF('AW Schulen'!$L126=0,"x",F24/'AW Schulen'!$L126)</f>
        <v>x</v>
      </c>
      <c r="L24" s="199" t="str">
        <f>IF('AW Schulen'!$O126=0,"x",G24/'AW Schulen'!$O126)</f>
        <v>x</v>
      </c>
    </row>
    <row r="25" spans="1:16" ht="9" customHeight="1">
      <c r="A25" s="21" t="s">
        <v>93</v>
      </c>
      <c r="B25" s="120"/>
      <c r="C25" s="55">
        <f t="shared" si="0"/>
        <v>0</v>
      </c>
      <c r="D25" s="55">
        <f t="shared" si="0"/>
        <v>0</v>
      </c>
      <c r="E25" s="55">
        <f t="shared" ref="E25:F25" si="27">SUM(E43+E61+E79)</f>
        <v>0</v>
      </c>
      <c r="F25" s="55">
        <f t="shared" si="27"/>
        <v>0</v>
      </c>
      <c r="G25" s="56">
        <f t="shared" ref="G25" si="28">SUM(G43+G61+G79)</f>
        <v>0</v>
      </c>
      <c r="H25" s="55">
        <v>0</v>
      </c>
      <c r="I25" s="55">
        <v>0</v>
      </c>
      <c r="J25" s="55">
        <v>0</v>
      </c>
      <c r="K25" s="55">
        <v>0</v>
      </c>
      <c r="L25" s="56">
        <v>0</v>
      </c>
    </row>
    <row r="26" spans="1:16" ht="10.5" customHeight="1">
      <c r="A26" s="21" t="s">
        <v>226</v>
      </c>
      <c r="B26" s="120"/>
      <c r="C26" s="42">
        <f t="shared" si="0"/>
        <v>6</v>
      </c>
      <c r="D26" s="42">
        <f t="shared" si="0"/>
        <v>5</v>
      </c>
      <c r="E26" s="42">
        <f t="shared" ref="E26:F26" si="29">SUM(E44+E62+E80)</f>
        <v>12</v>
      </c>
      <c r="F26" s="42">
        <f t="shared" si="29"/>
        <v>12</v>
      </c>
      <c r="G26" s="44">
        <f t="shared" ref="G26" si="30">SUM(G44+G62+G80)</f>
        <v>15</v>
      </c>
      <c r="H26" s="153">
        <f>IF('AW Schulen'!$C128=0,"x",C26/'AW Schulen'!$C128)</f>
        <v>0.11764705882352941</v>
      </c>
      <c r="I26" s="153">
        <f>IF('AW Schulen'!$F128=0,"x",D26/'AW Schulen'!$F128)</f>
        <v>9.6153846153846159E-2</v>
      </c>
      <c r="J26" s="153">
        <f>IF('AW Schulen'!$I128=0,"x",E26/'AW Schulen'!$I128)</f>
        <v>0.21818181818181817</v>
      </c>
      <c r="K26" s="153">
        <f>IF('AW Schulen'!$L128=0,"x",F26/'AW Schulen'!$L128)</f>
        <v>0.21428571428571427</v>
      </c>
      <c r="L26" s="154">
        <f>IF('AW Schulen'!$O128=0,"x",G26/'AW Schulen'!$O128)</f>
        <v>0.26315789473684209</v>
      </c>
    </row>
    <row r="27" spans="1:16" ht="9" customHeight="1">
      <c r="A27" s="21" t="s">
        <v>95</v>
      </c>
      <c r="B27" s="120"/>
      <c r="C27" s="42">
        <f t="shared" si="0"/>
        <v>12</v>
      </c>
      <c r="D27" s="42">
        <f t="shared" si="0"/>
        <v>14</v>
      </c>
      <c r="E27" s="42">
        <f t="shared" ref="E27:F27" si="31">SUM(E45+E63+E81)</f>
        <v>20</v>
      </c>
      <c r="F27" s="42">
        <f t="shared" si="31"/>
        <v>20</v>
      </c>
      <c r="G27" s="44">
        <f t="shared" ref="G27" si="32">SUM(G45+G63+G81)</f>
        <v>21</v>
      </c>
      <c r="H27" s="153">
        <f>IF('AW Schulen'!$C129=0,"x",C27/'AW Schulen'!$C129)</f>
        <v>1</v>
      </c>
      <c r="I27" s="153">
        <f>IF('AW Schulen'!$F129=0,"x",D27/'AW Schulen'!$F129)</f>
        <v>1</v>
      </c>
      <c r="J27" s="153">
        <f>IF('AW Schulen'!$I129=0,"x",E27/'AW Schulen'!$I129)</f>
        <v>1</v>
      </c>
      <c r="K27" s="153">
        <f>IF('AW Schulen'!$L129=0,"x",F27/'AW Schulen'!$L129)</f>
        <v>1</v>
      </c>
      <c r="L27" s="154">
        <f>IF('AW Schulen'!$O129=0,"x",G27/'AW Schulen'!$O129)</f>
        <v>0.95454545454545459</v>
      </c>
    </row>
    <row r="28" spans="1:16" ht="9" customHeight="1">
      <c r="A28" s="21" t="s">
        <v>96</v>
      </c>
      <c r="B28" s="120"/>
      <c r="C28" s="42">
        <f t="shared" si="0"/>
        <v>90</v>
      </c>
      <c r="D28" s="42">
        <f t="shared" si="0"/>
        <v>94</v>
      </c>
      <c r="E28" s="42">
        <f t="shared" ref="E28:F28" si="33">SUM(E46+E64+E82)</f>
        <v>120</v>
      </c>
      <c r="F28" s="42">
        <f t="shared" si="33"/>
        <v>133</v>
      </c>
      <c r="G28" s="44">
        <f t="shared" ref="G28" si="34">SUM(G46+G64+G82)</f>
        <v>136</v>
      </c>
      <c r="H28" s="153">
        <f>IF('AW Schulen'!$C130=0,"x",C28/'AW Schulen'!$C130)</f>
        <v>0.55900621118012417</v>
      </c>
      <c r="I28" s="153">
        <f>IF('AW Schulen'!$F130=0,"x",D28/'AW Schulen'!$F130)</f>
        <v>0.57668711656441718</v>
      </c>
      <c r="J28" s="153">
        <f>IF('AW Schulen'!$I130=0,"x",E28/'AW Schulen'!$I130)</f>
        <v>0.61855670103092786</v>
      </c>
      <c r="K28" s="153">
        <f>IF('AW Schulen'!$L130=0,"x",F28/'AW Schulen'!$L130)</f>
        <v>0.63942307692307687</v>
      </c>
      <c r="L28" s="154">
        <f>IF('AW Schulen'!$O130=0,"x",G28/'AW Schulen'!$O130)</f>
        <v>0.61538461538461542</v>
      </c>
    </row>
    <row r="29" spans="1:16" ht="12.75" customHeight="1">
      <c r="A29" s="391" t="s">
        <v>98</v>
      </c>
      <c r="B29" s="392"/>
      <c r="C29" s="392"/>
      <c r="D29" s="392"/>
      <c r="E29" s="392"/>
      <c r="F29" s="392"/>
      <c r="G29" s="392"/>
      <c r="H29" s="392"/>
      <c r="I29" s="392"/>
      <c r="J29" s="392"/>
      <c r="K29" s="392"/>
      <c r="L29" s="393"/>
    </row>
    <row r="30" spans="1:16" ht="9" customHeight="1">
      <c r="A30" s="21" t="s">
        <v>173</v>
      </c>
      <c r="B30" s="120"/>
      <c r="C30" s="193">
        <f>[1]GtS!$F$57</f>
        <v>2</v>
      </c>
      <c r="D30" s="193">
        <f>[2]GtS!$F$59</f>
        <v>4</v>
      </c>
      <c r="E30" s="193">
        <f>[3]GtS!$F$59</f>
        <v>8</v>
      </c>
      <c r="F30" s="193">
        <f>[4]GtS!$F$59</f>
        <v>13</v>
      </c>
      <c r="G30" s="194">
        <f>[5]GtS!$F$59</f>
        <v>16</v>
      </c>
      <c r="H30" s="155">
        <f>IF('AW Schulen'!$C114=0,"x",C30/'AW Schulen'!$C114)</f>
        <v>1</v>
      </c>
      <c r="I30" s="155">
        <f>IF('AW Schulen'!$F114=0,"x",D30/'AW Schulen'!$F114)</f>
        <v>0.66666666666666663</v>
      </c>
      <c r="J30" s="155">
        <f>IF('AW Schulen'!$I114=0,"x",E30/'AW Schulen'!$I114)</f>
        <v>0.8</v>
      </c>
      <c r="K30" s="155">
        <f>IF('AW Schulen'!$L114=0,"x",F30/'AW Schulen'!$L114)</f>
        <v>0.8666666666666667</v>
      </c>
      <c r="L30" s="156">
        <f>IF('AW Schulen'!$O114=0,"x",G30/'AW Schulen'!$O114)</f>
        <v>0.84210526315789469</v>
      </c>
    </row>
    <row r="31" spans="1:16" ht="9" customHeight="1">
      <c r="A31" s="21" t="s">
        <v>81</v>
      </c>
      <c r="B31" s="120"/>
      <c r="C31" s="193">
        <f>[6]GtS!$F$57</f>
        <v>0</v>
      </c>
      <c r="D31" s="193">
        <f>[7]GtS!$F$59</f>
        <v>0</v>
      </c>
      <c r="E31" s="193">
        <f>[8]GtS!$F$59</f>
        <v>0</v>
      </c>
      <c r="F31" s="193" t="str">
        <f>[9]GtS!$F$59</f>
        <v xml:space="preserve">                                      -   </v>
      </c>
      <c r="G31" s="194">
        <f>[10]GtS!$F$59</f>
        <v>0</v>
      </c>
      <c r="H31" s="193" t="str">
        <f>IF('AW Schulen'!$C115=0,"x",C31/'AW Schulen'!$C115)</f>
        <v>x</v>
      </c>
      <c r="I31" s="193" t="str">
        <f>IF('AW Schulen'!$F115=0,"x",D31/'AW Schulen'!$F115)</f>
        <v>x</v>
      </c>
      <c r="J31" s="193" t="str">
        <f>IF('AW Schulen'!$I115=0,"x",E31/'AW Schulen'!$I115)</f>
        <v>x</v>
      </c>
      <c r="K31" s="193" t="e">
        <f>IF('AW Schulen'!$L115=0,"x",F31/'AW Schulen'!$L115)</f>
        <v>#VALUE!</v>
      </c>
      <c r="L31" s="194" t="str">
        <f>IF('AW Schulen'!$O115=0,"x",G31/'AW Schulen'!$O115)</f>
        <v>x</v>
      </c>
    </row>
    <row r="32" spans="1:16" ht="9" customHeight="1">
      <c r="A32" s="21" t="s">
        <v>82</v>
      </c>
      <c r="B32" s="120"/>
      <c r="C32" s="23">
        <f>[11]GtS!$F$57</f>
        <v>5</v>
      </c>
      <c r="D32" s="23">
        <f>[12]GtS!$F$59</f>
        <v>4</v>
      </c>
      <c r="E32" s="23">
        <f>[13]GtS!$F$59</f>
        <v>5</v>
      </c>
      <c r="F32" s="23">
        <f>[14]GtS!$F$59</f>
        <v>7</v>
      </c>
      <c r="G32" s="34">
        <f>[15]GtS!$F$59</f>
        <v>8</v>
      </c>
      <c r="H32" s="155">
        <f>IF('AW Schulen'!$C116=0,"x",C32/'AW Schulen'!$C116)</f>
        <v>0.17857142857142858</v>
      </c>
      <c r="I32" s="155">
        <f>IF('AW Schulen'!$F116=0,"x",D32/'AW Schulen'!$F116)</f>
        <v>0.15384615384615385</v>
      </c>
      <c r="J32" s="155">
        <f>IF('AW Schulen'!$I116=0,"x",E32/'AW Schulen'!$I116)</f>
        <v>0.14285714285714285</v>
      </c>
      <c r="K32" s="155">
        <f>IF('AW Schulen'!$L116=0,"x",F32/'AW Schulen'!$L116)</f>
        <v>0.18421052631578946</v>
      </c>
      <c r="L32" s="156">
        <f>IF('AW Schulen'!$O116=0,"x",G32/'AW Schulen'!$O116)</f>
        <v>0.19047619047619047</v>
      </c>
    </row>
    <row r="33" spans="1:12" ht="9" customHeight="1">
      <c r="A33" s="21" t="s">
        <v>83</v>
      </c>
      <c r="B33" s="120"/>
      <c r="C33" s="23">
        <f>[16]GtS!$F$57</f>
        <v>3</v>
      </c>
      <c r="D33" s="23">
        <f>[17]GtS!$F$59</f>
        <v>3</v>
      </c>
      <c r="E33" s="23">
        <f>[18]GtS!$F$59</f>
        <v>5</v>
      </c>
      <c r="F33" s="23">
        <f>[19]GtS!$F$59</f>
        <v>8</v>
      </c>
      <c r="G33" s="34">
        <f>[20]GtS!$F$59</f>
        <v>7</v>
      </c>
      <c r="H33" s="155">
        <f>IF('AW Schulen'!$C117=0,"x",C33/'AW Schulen'!$C117)</f>
        <v>0.75</v>
      </c>
      <c r="I33" s="155">
        <f>IF('AW Schulen'!$F117=0,"x",D33/'AW Schulen'!$F117)</f>
        <v>0.5</v>
      </c>
      <c r="J33" s="155">
        <f>IF('AW Schulen'!$I117=0,"x",E33/'AW Schulen'!$I117)</f>
        <v>0.55555555555555558</v>
      </c>
      <c r="K33" s="155">
        <f>IF('AW Schulen'!$L117=0,"x",F33/'AW Schulen'!$L117)</f>
        <v>0.66666666666666663</v>
      </c>
      <c r="L33" s="156">
        <f>IF('AW Schulen'!$O117=0,"x",G33/'AW Schulen'!$O117)</f>
        <v>0.63636363636363635</v>
      </c>
    </row>
    <row r="34" spans="1:12" ht="9" customHeight="1">
      <c r="A34" s="21" t="s">
        <v>84</v>
      </c>
      <c r="B34" s="120"/>
      <c r="C34" s="23">
        <f>[21]GtS!$F$57</f>
        <v>1</v>
      </c>
      <c r="D34" s="23">
        <f>[22]GtS!$F$59</f>
        <v>1</v>
      </c>
      <c r="E34" s="23">
        <f>[23]GtS!$F$59</f>
        <v>1</v>
      </c>
      <c r="F34" s="23">
        <f>[24]GtS!$F$59</f>
        <v>1</v>
      </c>
      <c r="G34" s="34">
        <f>[25]GtS!$F$59</f>
        <v>1</v>
      </c>
      <c r="H34" s="155">
        <f>IF('AW Schulen'!$C118=0,"x",C34/'AW Schulen'!$C118)</f>
        <v>0.33333333333333331</v>
      </c>
      <c r="I34" s="155">
        <f>IF('AW Schulen'!$F118=0,"x",D34/'AW Schulen'!$F118)</f>
        <v>0.33333333333333331</v>
      </c>
      <c r="J34" s="155">
        <f>IF('AW Schulen'!$I118=0,"x",E34/'AW Schulen'!$I118)</f>
        <v>0.25</v>
      </c>
      <c r="K34" s="155">
        <f>IF('AW Schulen'!$L118=0,"x",F34/'AW Schulen'!$L118)</f>
        <v>0.16666666666666666</v>
      </c>
      <c r="L34" s="156">
        <f>IF('AW Schulen'!$O118=0,"x",G34/'AW Schulen'!$O118)</f>
        <v>0.16666666666666666</v>
      </c>
    </row>
    <row r="35" spans="1:12" ht="9" customHeight="1">
      <c r="A35" s="21" t="s">
        <v>85</v>
      </c>
      <c r="B35" s="120"/>
      <c r="C35" s="23">
        <f>[26]GtS!$F$57</f>
        <v>4</v>
      </c>
      <c r="D35" s="23">
        <f>[27]GtS!$F$59</f>
        <v>5</v>
      </c>
      <c r="E35" s="23">
        <f>[28]GtS!$F$59</f>
        <v>5</v>
      </c>
      <c r="F35" s="23">
        <f>[29]GtS!$F$59</f>
        <v>5</v>
      </c>
      <c r="G35" s="34">
        <f>[30]GtS!$F$59</f>
        <v>5</v>
      </c>
      <c r="H35" s="155">
        <f>IF('AW Schulen'!$C119=0,"x",C35/'AW Schulen'!$C119)</f>
        <v>0.13793103448275862</v>
      </c>
      <c r="I35" s="155">
        <f>IF('AW Schulen'!$F119=0,"x",D35/'AW Schulen'!$F119)</f>
        <v>0.23809523809523808</v>
      </c>
      <c r="J35" s="155">
        <f>IF('AW Schulen'!$I119=0,"x",E35/'AW Schulen'!$I119)</f>
        <v>0.23809523809523808</v>
      </c>
      <c r="K35" s="155">
        <f>IF('AW Schulen'!$L119=0,"x",F35/'AW Schulen'!$L119)</f>
        <v>0.23809523809523808</v>
      </c>
      <c r="L35" s="156">
        <f>IF('AW Schulen'!$O119=0,"x",G35/'AW Schulen'!$O119)</f>
        <v>0.29411764705882354</v>
      </c>
    </row>
    <row r="36" spans="1:12" ht="9" customHeight="1">
      <c r="A36" s="21" t="s">
        <v>86</v>
      </c>
      <c r="B36" s="120"/>
      <c r="C36" s="36">
        <f>[66]GtS!$F$57</f>
        <v>0</v>
      </c>
      <c r="D36" s="36">
        <f>[67]GtS!$F$59</f>
        <v>0</v>
      </c>
      <c r="E36" s="36">
        <f>[68]GtS!$F$59</f>
        <v>0</v>
      </c>
      <c r="F36" s="36">
        <f>[69]GtS!$F$59</f>
        <v>0</v>
      </c>
      <c r="G36" s="37">
        <f>[70]GtS!$F$59</f>
        <v>0</v>
      </c>
      <c r="H36" s="36">
        <f>IF('AW Schulen'!$C120=0,"x",C36/'AW Schulen'!$C120)</f>
        <v>0</v>
      </c>
      <c r="I36" s="36">
        <f>IF('AW Schulen'!$C120=0,"x",D36/'AW Schulen'!$C120)</f>
        <v>0</v>
      </c>
      <c r="J36" s="36">
        <f>IF('AW Schulen'!$C120=0,"x",E36/'AW Schulen'!$C120)</f>
        <v>0</v>
      </c>
      <c r="K36" s="36">
        <f>IF('AW Schulen'!$C120=0,"x",F36/'AW Schulen'!$C120)</f>
        <v>0</v>
      </c>
      <c r="L36" s="37">
        <f>IF('AW Schulen'!$C120=0,"x",G36/'AW Schulen'!$C120)</f>
        <v>0</v>
      </c>
    </row>
    <row r="37" spans="1:12" ht="9" customHeight="1">
      <c r="A37" s="21" t="s">
        <v>223</v>
      </c>
      <c r="B37" s="120"/>
      <c r="C37" s="23">
        <f>[31]GtS!$F$57</f>
        <v>7</v>
      </c>
      <c r="D37" s="23">
        <f>[32]GtS!$F$59</f>
        <v>8</v>
      </c>
      <c r="E37" s="23">
        <f>[33]GtS!$F$59</f>
        <v>8</v>
      </c>
      <c r="F37" s="23">
        <f>[34]GtS!$F$59</f>
        <v>8</v>
      </c>
      <c r="G37" s="34">
        <f>[35]GtS!$F$59</f>
        <v>9</v>
      </c>
      <c r="H37" s="155">
        <f>IF('AW Schulen'!$C121=0,"x",C37/'AW Schulen'!$C121)</f>
        <v>0.7</v>
      </c>
      <c r="I37" s="155">
        <f>IF('AW Schulen'!$F121=0,"x",D37/'AW Schulen'!$F121)</f>
        <v>0.72727272727272729</v>
      </c>
      <c r="J37" s="155">
        <f>IF('AW Schulen'!$I121=0,"x",E37/'AW Schulen'!$I121)</f>
        <v>0.72727272727272729</v>
      </c>
      <c r="K37" s="155">
        <f>IF('AW Schulen'!$L121=0,"x",F37/'AW Schulen'!$L121)</f>
        <v>0.72727272727272729</v>
      </c>
      <c r="L37" s="156">
        <f>IF('AW Schulen'!$O121=0,"x",G37/'AW Schulen'!$O121)</f>
        <v>0.75</v>
      </c>
    </row>
    <row r="38" spans="1:12" ht="9" customHeight="1">
      <c r="A38" s="21" t="s">
        <v>88</v>
      </c>
      <c r="B38" s="120"/>
      <c r="C38" s="36">
        <f>[71]GtS!$F$57</f>
        <v>0</v>
      </c>
      <c r="D38" s="36">
        <f>[72]GtS!$F$59</f>
        <v>0</v>
      </c>
      <c r="E38" s="36">
        <f>[73]GtS!$F$59</f>
        <v>0</v>
      </c>
      <c r="F38" s="36">
        <f>[74]GtS!$F$59</f>
        <v>0</v>
      </c>
      <c r="G38" s="37">
        <f>[75]GtS!$F$59</f>
        <v>0</v>
      </c>
      <c r="H38" s="36">
        <f>IF('AW Schulen'!$C122=0,"x",C38/'AW Schulen'!$C122)</f>
        <v>0</v>
      </c>
      <c r="I38" s="36">
        <f>IF('AW Schulen'!$F122=0,"x",D38/'AW Schulen'!$F122)</f>
        <v>0</v>
      </c>
      <c r="J38" s="36">
        <f>IF('AW Schulen'!$I122=0,"x",E38/'AW Schulen'!$I122)</f>
        <v>0</v>
      </c>
      <c r="K38" s="36">
        <f>IF('AW Schulen'!$L122=0,"x",F38/'AW Schulen'!$L122)</f>
        <v>0</v>
      </c>
      <c r="L38" s="37">
        <f>IF('AW Schulen'!$O122=0,"x",G38/'AW Schulen'!$O122)</f>
        <v>0</v>
      </c>
    </row>
    <row r="39" spans="1:12" ht="9" customHeight="1">
      <c r="A39" s="21" t="s">
        <v>89</v>
      </c>
      <c r="B39" s="120"/>
      <c r="C39" s="23">
        <f>[36]GtS!$F$57</f>
        <v>14</v>
      </c>
      <c r="D39" s="23">
        <f>[37]GtS!$F$59</f>
        <v>15</v>
      </c>
      <c r="E39" s="23">
        <f>[38]GtS!$F$59</f>
        <v>20</v>
      </c>
      <c r="F39" s="23">
        <f>[39]GtS!$F$59</f>
        <v>20</v>
      </c>
      <c r="G39" s="34">
        <f>[40]GtS!$F$59</f>
        <v>22</v>
      </c>
      <c r="H39" s="155">
        <f>IF('AW Schulen'!$C123=0,"x",C39/'AW Schulen'!$C123)</f>
        <v>0.7</v>
      </c>
      <c r="I39" s="155">
        <f>IF('AW Schulen'!$F123=0,"x",D39/'AW Schulen'!$F123)</f>
        <v>0.68181818181818177</v>
      </c>
      <c r="J39" s="155">
        <f>IF('AW Schulen'!$I123=0,"x",E39/'AW Schulen'!$I123)</f>
        <v>0.7407407407407407</v>
      </c>
      <c r="K39" s="155">
        <f>IF('AW Schulen'!$L123=0,"x",F39/'AW Schulen'!$L123)</f>
        <v>0.7407407407407407</v>
      </c>
      <c r="L39" s="156">
        <f>IF('AW Schulen'!$O123=0,"x",G39/'AW Schulen'!$O123)</f>
        <v>0.70967741935483875</v>
      </c>
    </row>
    <row r="40" spans="1:12" ht="9" customHeight="1">
      <c r="A40" s="21" t="s">
        <v>90</v>
      </c>
      <c r="B40" s="120"/>
      <c r="C40" s="23">
        <f>[41]GtS!$F$57</f>
        <v>1</v>
      </c>
      <c r="D40" s="23">
        <f>[42]GtS!$F$59</f>
        <v>1</v>
      </c>
      <c r="E40" s="23">
        <f>[43]GtS!$F$59</f>
        <v>1</v>
      </c>
      <c r="F40" s="23">
        <f>[44]GtS!$F$59</f>
        <v>1</v>
      </c>
      <c r="G40" s="34">
        <f>[45]GtS!$F$59</f>
        <v>1</v>
      </c>
      <c r="H40" s="155">
        <f>IF('AW Schulen'!$C124=0,"x",C40/'AW Schulen'!$C124)</f>
        <v>1</v>
      </c>
      <c r="I40" s="155">
        <f>IF('AW Schulen'!$F124=0,"x",D40/'AW Schulen'!$F124)</f>
        <v>1</v>
      </c>
      <c r="J40" s="155">
        <f>IF('AW Schulen'!$I124=0,"x",E40/'AW Schulen'!$I124)</f>
        <v>1</v>
      </c>
      <c r="K40" s="155">
        <f>IF('AW Schulen'!$L124=0,"x",F40/'AW Schulen'!$L124)</f>
        <v>1</v>
      </c>
      <c r="L40" s="156">
        <f>IF('AW Schulen'!$O124=0,"x",G40/'AW Schulen'!$O124)</f>
        <v>1</v>
      </c>
    </row>
    <row r="41" spans="1:12" ht="9" customHeight="1">
      <c r="A41" s="21" t="s">
        <v>91</v>
      </c>
      <c r="B41" s="120"/>
      <c r="C41" s="23">
        <f>[46]GtS!$F$57</f>
        <v>0</v>
      </c>
      <c r="D41" s="23">
        <f>[47]GtS!$F$59</f>
        <v>0</v>
      </c>
      <c r="E41" s="23">
        <f>[48]GtS!$F$59</f>
        <v>0</v>
      </c>
      <c r="F41" s="23">
        <f>[49]GtS!$F$59</f>
        <v>0</v>
      </c>
      <c r="G41" s="34">
        <f>[50]GtS!$F$59</f>
        <v>0</v>
      </c>
      <c r="H41" s="155">
        <f>IF('AW Schulen'!$C125=0,"x",C41/'AW Schulen'!$C125)</f>
        <v>0</v>
      </c>
      <c r="I41" s="155">
        <f>IF('AW Schulen'!$F125=0,"x",D41/'AW Schulen'!$F125)</f>
        <v>0</v>
      </c>
      <c r="J41" s="155">
        <f>IF('AW Schulen'!$I125=0,"x",E41/'AW Schulen'!$I125)</f>
        <v>0</v>
      </c>
      <c r="K41" s="155">
        <f>IF('AW Schulen'!$L125=0,"x",F41/'AW Schulen'!$L125)</f>
        <v>0</v>
      </c>
      <c r="L41" s="156">
        <f>IF('AW Schulen'!$O125=0,"x",G41/'AW Schulen'!$O125)</f>
        <v>0</v>
      </c>
    </row>
    <row r="42" spans="1:12" ht="9" customHeight="1">
      <c r="A42" s="21" t="s">
        <v>92</v>
      </c>
      <c r="B42" s="120"/>
      <c r="C42" s="193">
        <f>[51]GtS!$F$57</f>
        <v>0</v>
      </c>
      <c r="D42" s="193">
        <f>[52]GtS!$F$59</f>
        <v>0</v>
      </c>
      <c r="E42" s="193">
        <f>[53]GtS!$F$59</f>
        <v>0</v>
      </c>
      <c r="F42" s="193">
        <f>[54]GtS!$F$59</f>
        <v>0</v>
      </c>
      <c r="G42" s="194">
        <f>[55]GtS!$F$59</f>
        <v>0</v>
      </c>
      <c r="H42" s="193" t="str">
        <f>IF('AW Schulen'!$C126=0,"x",C42/'AW Schulen'!$C126)</f>
        <v>x</v>
      </c>
      <c r="I42" s="193" t="str">
        <f>IF('AW Schulen'!$F126=0,"x",D42/'AW Schulen'!$F126)</f>
        <v>x</v>
      </c>
      <c r="J42" s="193" t="str">
        <f>IF('AW Schulen'!$I126=0,"x",E42/'AW Schulen'!$I126)</f>
        <v>x</v>
      </c>
      <c r="K42" s="193" t="str">
        <f>IF('AW Schulen'!$L126=0,"x",F42/'AW Schulen'!$L126)</f>
        <v>x</v>
      </c>
      <c r="L42" s="194" t="str">
        <f>IF('AW Schulen'!$O126=0,"x",G42/'AW Schulen'!$O126)</f>
        <v>x</v>
      </c>
    </row>
    <row r="43" spans="1:12" ht="9" customHeight="1">
      <c r="A43" s="21" t="s">
        <v>93</v>
      </c>
      <c r="B43" s="120"/>
      <c r="C43" s="36">
        <f>[76]GtS!$F$57</f>
        <v>0</v>
      </c>
      <c r="D43" s="36">
        <f>[77]GtS!$F$59</f>
        <v>0</v>
      </c>
      <c r="E43" s="36">
        <f>[78]GtS!$F$59</f>
        <v>0</v>
      </c>
      <c r="F43" s="36">
        <f>[79]GtS!$F$59</f>
        <v>0</v>
      </c>
      <c r="G43" s="37">
        <f>[80]GtS!$F$59</f>
        <v>0</v>
      </c>
      <c r="H43" s="36">
        <v>0</v>
      </c>
      <c r="I43" s="36">
        <v>0</v>
      </c>
      <c r="J43" s="36">
        <v>0</v>
      </c>
      <c r="K43" s="36">
        <v>0</v>
      </c>
      <c r="L43" s="37">
        <v>1</v>
      </c>
    </row>
    <row r="44" spans="1:12" ht="10.5" customHeight="1">
      <c r="A44" s="21" t="s">
        <v>226</v>
      </c>
      <c r="B44" s="120"/>
      <c r="C44" s="23">
        <f>[56]GtS!$F$57</f>
        <v>0</v>
      </c>
      <c r="D44" s="23">
        <f>[57]GtS!$F$59</f>
        <v>0</v>
      </c>
      <c r="E44" s="23">
        <f>[58]GtS!$F$59</f>
        <v>0</v>
      </c>
      <c r="F44" s="23">
        <f>[59]GtS!$F$59</f>
        <v>0</v>
      </c>
      <c r="G44" s="34">
        <f>[60]GtS!$F$59</f>
        <v>0</v>
      </c>
      <c r="H44" s="155">
        <f>IF('AW Schulen'!$C128=0,"x",C44/'AW Schulen'!$C128)</f>
        <v>0</v>
      </c>
      <c r="I44" s="155">
        <f>IF('AW Schulen'!$F128=0,"x",D44/'AW Schulen'!$F128)</f>
        <v>0</v>
      </c>
      <c r="J44" s="155">
        <f>IF('AW Schulen'!$I128=0,"x",E44/'AW Schulen'!$I128)</f>
        <v>0</v>
      </c>
      <c r="K44" s="155">
        <f>IF('AW Schulen'!$L128=0,"x",F44/'AW Schulen'!$L128)</f>
        <v>0</v>
      </c>
      <c r="L44" s="156">
        <f>IF('AW Schulen'!$O128=0,"x",G44/'AW Schulen'!$O128)</f>
        <v>0</v>
      </c>
    </row>
    <row r="45" spans="1:12" ht="9" customHeight="1">
      <c r="A45" s="21" t="s">
        <v>95</v>
      </c>
      <c r="B45" s="120"/>
      <c r="C45" s="23">
        <f>[61]GtS!$F$57</f>
        <v>12</v>
      </c>
      <c r="D45" s="23">
        <f>[62]GtS!$F$59</f>
        <v>13</v>
      </c>
      <c r="E45" s="23">
        <f>[63]GtS!$F$59</f>
        <v>18</v>
      </c>
      <c r="F45" s="23">
        <f>[64]GtS!$F$59</f>
        <v>17</v>
      </c>
      <c r="G45" s="34">
        <f>[65]GtS!$F$59</f>
        <v>19</v>
      </c>
      <c r="H45" s="155">
        <f>IF('AW Schulen'!$C129=0,"x",C45/'AW Schulen'!$C129)</f>
        <v>1</v>
      </c>
      <c r="I45" s="155">
        <f>IF('AW Schulen'!$F129=0,"x",D45/'AW Schulen'!$F129)</f>
        <v>0.9285714285714286</v>
      </c>
      <c r="J45" s="155">
        <f>IF('AW Schulen'!$I129=0,"x",E45/'AW Schulen'!$I129)</f>
        <v>0.9</v>
      </c>
      <c r="K45" s="155">
        <f>IF('AW Schulen'!$L129=0,"x",F45/'AW Schulen'!$L129)</f>
        <v>0.85</v>
      </c>
      <c r="L45" s="156">
        <f>IF('AW Schulen'!$O129=0,"x",G45/'AW Schulen'!$O129)</f>
        <v>0.86363636363636365</v>
      </c>
    </row>
    <row r="46" spans="1:12" ht="9" customHeight="1">
      <c r="A46" s="21" t="s">
        <v>96</v>
      </c>
      <c r="B46" s="120"/>
      <c r="C46" s="23">
        <f t="shared" ref="C46:E46" si="35">SUM(C30:C45)</f>
        <v>49</v>
      </c>
      <c r="D46" s="23">
        <f t="shared" si="35"/>
        <v>54</v>
      </c>
      <c r="E46" s="23">
        <f t="shared" si="35"/>
        <v>71</v>
      </c>
      <c r="F46" s="23">
        <f t="shared" ref="F46:G46" si="36">SUM(F30:F45)</f>
        <v>80</v>
      </c>
      <c r="G46" s="34">
        <f t="shared" si="36"/>
        <v>88</v>
      </c>
      <c r="H46" s="155">
        <f>IF('AW Schulen'!$C130=0,"x",C46/'AW Schulen'!$C130)</f>
        <v>0.30434782608695654</v>
      </c>
      <c r="I46" s="155">
        <f>IF('AW Schulen'!$F130=0,"x",D46/'AW Schulen'!$F130)</f>
        <v>0.33128834355828218</v>
      </c>
      <c r="J46" s="155">
        <f>IF('AW Schulen'!$I130=0,"x",E46/'AW Schulen'!$I130)</f>
        <v>0.36597938144329895</v>
      </c>
      <c r="K46" s="155">
        <f>IF('AW Schulen'!$L130=0,"x",F46/'AW Schulen'!$L130)</f>
        <v>0.38461538461538464</v>
      </c>
      <c r="L46" s="156">
        <f>IF('AW Schulen'!$O130=0,"x",G46/'AW Schulen'!$O130)</f>
        <v>0.39819004524886875</v>
      </c>
    </row>
    <row r="47" spans="1:12" ht="12.75" customHeight="1">
      <c r="A47" s="391" t="s">
        <v>99</v>
      </c>
      <c r="B47" s="392"/>
      <c r="C47" s="392"/>
      <c r="D47" s="392"/>
      <c r="E47" s="392"/>
      <c r="F47" s="392"/>
      <c r="G47" s="392"/>
      <c r="H47" s="392"/>
      <c r="I47" s="392"/>
      <c r="J47" s="392"/>
      <c r="K47" s="392"/>
      <c r="L47" s="393"/>
    </row>
    <row r="48" spans="1:12" ht="9" customHeight="1">
      <c r="A48" s="21" t="s">
        <v>173</v>
      </c>
      <c r="B48" s="120"/>
      <c r="C48" s="23">
        <f>[1]GtS!$G$57</f>
        <v>0</v>
      </c>
      <c r="D48" s="23">
        <f>[2]GtS!$G$59</f>
        <v>0</v>
      </c>
      <c r="E48" s="23">
        <f>[3]GtS!$G$59</f>
        <v>1</v>
      </c>
      <c r="F48" s="23">
        <f>[4]GtS!$G$59</f>
        <v>1</v>
      </c>
      <c r="G48" s="34">
        <f>[5]GtS!$G$59</f>
        <v>1</v>
      </c>
      <c r="H48" s="155">
        <f>IF('AW Schulen'!$C114=0,"x",C48/'AW Schulen'!$C114)</f>
        <v>0</v>
      </c>
      <c r="I48" s="155">
        <f>IF('AW Schulen'!$F114=0,"x",D48/'AW Schulen'!$F114)</f>
        <v>0</v>
      </c>
      <c r="J48" s="155">
        <f>IF('AW Schulen'!$I114=0,"x",E48/'AW Schulen'!$I114)</f>
        <v>0.1</v>
      </c>
      <c r="K48" s="155">
        <f>IF('AW Schulen'!$L114=0,"x",F48/'AW Schulen'!$L114)</f>
        <v>6.6666666666666666E-2</v>
      </c>
      <c r="L48" s="156">
        <f>IF('AW Schulen'!$O114=0,"x",G48/'AW Schulen'!$O114)</f>
        <v>5.2631578947368418E-2</v>
      </c>
    </row>
    <row r="49" spans="1:12" ht="9" customHeight="1">
      <c r="A49" s="21" t="s">
        <v>81</v>
      </c>
      <c r="B49" s="120"/>
      <c r="C49" s="193">
        <f>[6]GtS!$G$57</f>
        <v>0</v>
      </c>
      <c r="D49" s="193">
        <f>[7]GtS!$G$59</f>
        <v>0</v>
      </c>
      <c r="E49" s="193">
        <f>[8]GtS!$G$59</f>
        <v>0</v>
      </c>
      <c r="F49" s="193" t="str">
        <f>[9]GtS!$G$59</f>
        <v xml:space="preserve">                                      -   </v>
      </c>
      <c r="G49" s="194">
        <f>[10]GtS!$G$59</f>
        <v>0</v>
      </c>
      <c r="H49" s="193" t="str">
        <f>IF('AW Schulen'!$C115=0,"x",C49/'AW Schulen'!$C115)</f>
        <v>x</v>
      </c>
      <c r="I49" s="193" t="str">
        <f>IF('AW Schulen'!$F115=0,"x",D49/'AW Schulen'!$F115)</f>
        <v>x</v>
      </c>
      <c r="J49" s="193" t="str">
        <f>IF('AW Schulen'!$I115=0,"x",E49/'AW Schulen'!$I115)</f>
        <v>x</v>
      </c>
      <c r="K49" s="193" t="e">
        <f>IF('AW Schulen'!$L115=0,"x",F49/'AW Schulen'!$L115)</f>
        <v>#VALUE!</v>
      </c>
      <c r="L49" s="194" t="str">
        <f>IF('AW Schulen'!$O115=0,"x",G49/'AW Schulen'!$O115)</f>
        <v>x</v>
      </c>
    </row>
    <row r="50" spans="1:12" ht="9" customHeight="1">
      <c r="A50" s="21" t="s">
        <v>82</v>
      </c>
      <c r="B50" s="120"/>
      <c r="C50" s="23">
        <f>[11]GtS!$G$57</f>
        <v>7</v>
      </c>
      <c r="D50" s="23">
        <f>[12]GtS!$G$59</f>
        <v>2</v>
      </c>
      <c r="E50" s="23">
        <f>[13]GtS!$G$59</f>
        <v>3</v>
      </c>
      <c r="F50" s="23">
        <f>[14]GtS!$G$59</f>
        <v>0</v>
      </c>
      <c r="G50" s="34">
        <f>[15]GtS!$G$59</f>
        <v>0</v>
      </c>
      <c r="H50" s="155">
        <f>IF('AW Schulen'!$C116=0,"x",C50/'AW Schulen'!$C116)</f>
        <v>0.25</v>
      </c>
      <c r="I50" s="155">
        <f>IF('AW Schulen'!$F116=0,"x",D50/'AW Schulen'!$F116)</f>
        <v>7.6923076923076927E-2</v>
      </c>
      <c r="J50" s="155">
        <f>IF('AW Schulen'!$I116=0,"x",E50/'AW Schulen'!$I116)</f>
        <v>8.5714285714285715E-2</v>
      </c>
      <c r="K50" s="155">
        <f>IF('AW Schulen'!$L116=0,"x",F50/'AW Schulen'!$L116)</f>
        <v>0</v>
      </c>
      <c r="L50" s="156">
        <f>IF('AW Schulen'!$O116=0,"x",G50/'AW Schulen'!$O116)</f>
        <v>0</v>
      </c>
    </row>
    <row r="51" spans="1:12" ht="9" customHeight="1">
      <c r="A51" s="21" t="s">
        <v>83</v>
      </c>
      <c r="B51" s="120"/>
      <c r="C51" s="23">
        <f>[16]GtS!$G$57</f>
        <v>0</v>
      </c>
      <c r="D51" s="23">
        <f>[17]GtS!$G$59</f>
        <v>0</v>
      </c>
      <c r="E51" s="23">
        <f>[18]GtS!$G$59</f>
        <v>0</v>
      </c>
      <c r="F51" s="23">
        <f>[19]GtS!$G$59</f>
        <v>1</v>
      </c>
      <c r="G51" s="34">
        <f>[20]GtS!$G$59</f>
        <v>1</v>
      </c>
      <c r="H51" s="155">
        <f>IF('AW Schulen'!$C117=0,"x",C51/'AW Schulen'!$C117)</f>
        <v>0</v>
      </c>
      <c r="I51" s="155">
        <f>IF('AW Schulen'!$F117=0,"x",D51/'AW Schulen'!$F117)</f>
        <v>0</v>
      </c>
      <c r="J51" s="155">
        <f>IF('AW Schulen'!$I117=0,"x",E51/'AW Schulen'!$I117)</f>
        <v>0</v>
      </c>
      <c r="K51" s="155">
        <f>IF('AW Schulen'!$L117=0,"x",F51/'AW Schulen'!$L117)</f>
        <v>8.3333333333333329E-2</v>
      </c>
      <c r="L51" s="156">
        <f>IF('AW Schulen'!$O117=0,"x",G51/'AW Schulen'!$O117)</f>
        <v>9.0909090909090912E-2</v>
      </c>
    </row>
    <row r="52" spans="1:12" ht="9" customHeight="1">
      <c r="A52" s="21" t="s">
        <v>84</v>
      </c>
      <c r="B52" s="120"/>
      <c r="C52" s="23">
        <f>[21]GtS!$G$57</f>
        <v>0</v>
      </c>
      <c r="D52" s="23">
        <f>[22]GtS!$G$59</f>
        <v>0</v>
      </c>
      <c r="E52" s="23">
        <f>[23]GtS!$G$59</f>
        <v>0</v>
      </c>
      <c r="F52" s="23">
        <f>[24]GtS!$G$59</f>
        <v>0</v>
      </c>
      <c r="G52" s="34">
        <f>[25]GtS!$G$59</f>
        <v>0</v>
      </c>
      <c r="H52" s="155">
        <f>IF('AW Schulen'!$C118=0,"x",C52/'AW Schulen'!$C118)</f>
        <v>0</v>
      </c>
      <c r="I52" s="155">
        <f>IF('AW Schulen'!$F118=0,"x",D52/'AW Schulen'!$F118)</f>
        <v>0</v>
      </c>
      <c r="J52" s="155">
        <f>IF('AW Schulen'!$I118=0,"x",E52/'AW Schulen'!$I118)</f>
        <v>0</v>
      </c>
      <c r="K52" s="155">
        <f>IF('AW Schulen'!$L118=0,"x",F52/'AW Schulen'!$L118)</f>
        <v>0</v>
      </c>
      <c r="L52" s="156">
        <f>IF('AW Schulen'!$O118=0,"x",G52/'AW Schulen'!$O118)</f>
        <v>0</v>
      </c>
    </row>
    <row r="53" spans="1:12" ht="9" customHeight="1">
      <c r="A53" s="21" t="s">
        <v>85</v>
      </c>
      <c r="B53" s="120"/>
      <c r="C53" s="23">
        <f>[26]GtS!$G$57</f>
        <v>1</v>
      </c>
      <c r="D53" s="23">
        <f>[27]GtS!$G$59</f>
        <v>2</v>
      </c>
      <c r="E53" s="23">
        <f>[28]GtS!$G$59</f>
        <v>2</v>
      </c>
      <c r="F53" s="23">
        <f>[29]GtS!$G$59</f>
        <v>2</v>
      </c>
      <c r="G53" s="34">
        <f>[30]GtS!$G$59</f>
        <v>1</v>
      </c>
      <c r="H53" s="155">
        <f>IF('AW Schulen'!$C119=0,"x",C53/'AW Schulen'!$C119)</f>
        <v>3.4482758620689655E-2</v>
      </c>
      <c r="I53" s="155">
        <f>IF('AW Schulen'!$F119=0,"x",D53/'AW Schulen'!$F119)</f>
        <v>9.5238095238095233E-2</v>
      </c>
      <c r="J53" s="155">
        <f>IF('AW Schulen'!$I119=0,"x",E53/'AW Schulen'!$I119)</f>
        <v>9.5238095238095233E-2</v>
      </c>
      <c r="K53" s="155">
        <f>IF('AW Schulen'!$L119=0,"x",F53/'AW Schulen'!$L119)</f>
        <v>9.5238095238095233E-2</v>
      </c>
      <c r="L53" s="156">
        <f>IF('AW Schulen'!$O119=0,"x",G53/'AW Schulen'!$O119)</f>
        <v>5.8823529411764705E-2</v>
      </c>
    </row>
    <row r="54" spans="1:12" ht="9" customHeight="1">
      <c r="A54" s="21" t="s">
        <v>86</v>
      </c>
      <c r="B54" s="120"/>
      <c r="C54" s="36">
        <f>[66]GtS!$G$57</f>
        <v>0</v>
      </c>
      <c r="D54" s="36">
        <f>[67]GtS!$G$59</f>
        <v>0</v>
      </c>
      <c r="E54" s="36">
        <f>[68]GtS!$G$59</f>
        <v>0</v>
      </c>
      <c r="F54" s="36">
        <f>[69]GtS!$G$59</f>
        <v>0</v>
      </c>
      <c r="G54" s="37">
        <f>[70]GtS!$G$59</f>
        <v>0</v>
      </c>
      <c r="H54" s="36">
        <v>0</v>
      </c>
      <c r="I54" s="36">
        <v>0</v>
      </c>
      <c r="J54" s="36">
        <v>0</v>
      </c>
      <c r="K54" s="36">
        <v>0</v>
      </c>
      <c r="L54" s="37">
        <v>0</v>
      </c>
    </row>
    <row r="55" spans="1:12" ht="9" customHeight="1">
      <c r="A55" s="21" t="s">
        <v>223</v>
      </c>
      <c r="B55" s="120"/>
      <c r="C55" s="23">
        <f>[31]GtS!$G$57</f>
        <v>1</v>
      </c>
      <c r="D55" s="23">
        <f>[32]GtS!$G$59</f>
        <v>0</v>
      </c>
      <c r="E55" s="23">
        <f>[33]GtS!$G$59</f>
        <v>0</v>
      </c>
      <c r="F55" s="23">
        <f>[34]GtS!$G$59</f>
        <v>2</v>
      </c>
      <c r="G55" s="34">
        <f>[35]GtS!$G$59</f>
        <v>2</v>
      </c>
      <c r="H55" s="155">
        <f>IF('AW Schulen'!$C121=0,"x",C55/'AW Schulen'!$C121)</f>
        <v>0.1</v>
      </c>
      <c r="I55" s="155">
        <f>IF('AW Schulen'!$F121=0,"x",D55/'AW Schulen'!$F121)</f>
        <v>0</v>
      </c>
      <c r="J55" s="155">
        <f>IF('AW Schulen'!$I121=0,"x",E55/'AW Schulen'!$I121)</f>
        <v>0</v>
      </c>
      <c r="K55" s="155">
        <f>IF('AW Schulen'!$L121=0,"x",F55/'AW Schulen'!$L121)</f>
        <v>0.18181818181818182</v>
      </c>
      <c r="L55" s="156">
        <f>IF('AW Schulen'!$O121=0,"x",G55/'AW Schulen'!$O121)</f>
        <v>0.16666666666666666</v>
      </c>
    </row>
    <row r="56" spans="1:12" ht="9" customHeight="1">
      <c r="A56" s="21" t="s">
        <v>88</v>
      </c>
      <c r="B56" s="120"/>
      <c r="C56" s="36">
        <f>[71]GtS!$G$57</f>
        <v>0</v>
      </c>
      <c r="D56" s="36">
        <f>[72]GtS!$G$59</f>
        <v>0</v>
      </c>
      <c r="E56" s="36">
        <f>[73]GtS!$G$59</f>
        <v>0</v>
      </c>
      <c r="F56" s="36">
        <f>[74]GtS!$G$59</f>
        <v>0</v>
      </c>
      <c r="G56" s="37">
        <f>[75]GtS!$G$59</f>
        <v>0</v>
      </c>
      <c r="H56" s="36">
        <f>IF('AW Schulen'!$C122=0,"x",C56/'AW Schulen'!$C122)</f>
        <v>0</v>
      </c>
      <c r="I56" s="36">
        <f>IF('AW Schulen'!$F122=0,"x",D56/'AW Schulen'!$F122)</f>
        <v>0</v>
      </c>
      <c r="J56" s="36">
        <f>IF('AW Schulen'!$I122=0,"x",E56/'AW Schulen'!$I122)</f>
        <v>0</v>
      </c>
      <c r="K56" s="36">
        <f>IF('AW Schulen'!$L122=0,"x",F56/'AW Schulen'!$L122)</f>
        <v>0</v>
      </c>
      <c r="L56" s="37">
        <f>IF('AW Schulen'!$O122=0,"x",G56/'AW Schulen'!$O122)</f>
        <v>0</v>
      </c>
    </row>
    <row r="57" spans="1:12" ht="9" customHeight="1">
      <c r="A57" s="21" t="s">
        <v>89</v>
      </c>
      <c r="B57" s="120"/>
      <c r="C57" s="23">
        <f>[36]GtS!$G$57</f>
        <v>0</v>
      </c>
      <c r="D57" s="23">
        <f>[37]GtS!$G$59</f>
        <v>0</v>
      </c>
      <c r="E57" s="23">
        <f>[38]GtS!$G$59</f>
        <v>0</v>
      </c>
      <c r="F57" s="23">
        <f>[39]GtS!$G$59</f>
        <v>0</v>
      </c>
      <c r="G57" s="34">
        <f>[40]GtS!$G$59</f>
        <v>0</v>
      </c>
      <c r="H57" s="155">
        <f>IF('AW Schulen'!$C123=0,"x",C57/'AW Schulen'!$C123)</f>
        <v>0</v>
      </c>
      <c r="I57" s="155">
        <f>IF('AW Schulen'!$F123=0,"x",D57/'AW Schulen'!$F123)</f>
        <v>0</v>
      </c>
      <c r="J57" s="155">
        <f>IF('AW Schulen'!$I123=0,"x",E57/'AW Schulen'!$I123)</f>
        <v>0</v>
      </c>
      <c r="K57" s="155">
        <f>IF('AW Schulen'!$L123=0,"x",F57/'AW Schulen'!$L123)</f>
        <v>0</v>
      </c>
      <c r="L57" s="156">
        <f>IF('AW Schulen'!$O123=0,"x",G57/'AW Schulen'!$O123)</f>
        <v>0</v>
      </c>
    </row>
    <row r="58" spans="1:12" ht="9" customHeight="1">
      <c r="A58" s="21" t="s">
        <v>90</v>
      </c>
      <c r="B58" s="120"/>
      <c r="C58" s="23">
        <f>[41]GtS!$G$57</f>
        <v>0</v>
      </c>
      <c r="D58" s="23">
        <f>[42]GtS!$G$59</f>
        <v>0</v>
      </c>
      <c r="E58" s="23">
        <f>[43]GtS!$G$59</f>
        <v>0</v>
      </c>
      <c r="F58" s="23">
        <f>[44]GtS!$G$59</f>
        <v>0</v>
      </c>
      <c r="G58" s="34">
        <f>[45]GtS!$G$59</f>
        <v>0</v>
      </c>
      <c r="H58" s="155">
        <f>IF('AW Schulen'!$C124=0,"x",C58/'AW Schulen'!$C124)</f>
        <v>0</v>
      </c>
      <c r="I58" s="155">
        <f>IF('AW Schulen'!$F124=0,"x",D58/'AW Schulen'!$F124)</f>
        <v>0</v>
      </c>
      <c r="J58" s="155">
        <f>IF('AW Schulen'!$I124=0,"x",E58/'AW Schulen'!$I124)</f>
        <v>0</v>
      </c>
      <c r="K58" s="155">
        <f>IF('AW Schulen'!$L124=0,"x",F58/'AW Schulen'!$L124)</f>
        <v>0</v>
      </c>
      <c r="L58" s="156">
        <f>IF('AW Schulen'!$O124=0,"x",G58/'AW Schulen'!$O124)</f>
        <v>0</v>
      </c>
    </row>
    <row r="59" spans="1:12" ht="9" customHeight="1">
      <c r="A59" s="21" t="s">
        <v>91</v>
      </c>
      <c r="B59" s="120"/>
      <c r="C59" s="23">
        <f>[46]GtS!$G$57</f>
        <v>1</v>
      </c>
      <c r="D59" s="23">
        <f>[47]GtS!$G$59</f>
        <v>1</v>
      </c>
      <c r="E59" s="23">
        <f>[48]GtS!$G$59</f>
        <v>1</v>
      </c>
      <c r="F59" s="23">
        <f>[49]GtS!$G$59</f>
        <v>1</v>
      </c>
      <c r="G59" s="34">
        <f>[50]GtS!$G$59</f>
        <v>1</v>
      </c>
      <c r="H59" s="155">
        <f>IF('AW Schulen'!$C125=0,"x",C59/'AW Schulen'!$C125)</f>
        <v>1</v>
      </c>
      <c r="I59" s="155">
        <f>IF('AW Schulen'!$F125=0,"x",D59/'AW Schulen'!$F125)</f>
        <v>1</v>
      </c>
      <c r="J59" s="155">
        <f>IF('AW Schulen'!$I125=0,"x",E59/'AW Schulen'!$I125)</f>
        <v>1</v>
      </c>
      <c r="K59" s="155">
        <f>IF('AW Schulen'!$L125=0,"x",F59/'AW Schulen'!$L125)</f>
        <v>1</v>
      </c>
      <c r="L59" s="156">
        <f>IF('AW Schulen'!$O125=0,"x",G59/'AW Schulen'!$O125)</f>
        <v>0.33333333333333331</v>
      </c>
    </row>
    <row r="60" spans="1:12" ht="9" customHeight="1">
      <c r="A60" s="21" t="s">
        <v>92</v>
      </c>
      <c r="B60" s="120"/>
      <c r="C60" s="193">
        <f>[51]GtS!$G$57</f>
        <v>0</v>
      </c>
      <c r="D60" s="193">
        <f>[52]GtS!$G$59</f>
        <v>0</v>
      </c>
      <c r="E60" s="193">
        <f>[53]GtS!$G$59</f>
        <v>0</v>
      </c>
      <c r="F60" s="193">
        <f>[54]GtS!$G$59</f>
        <v>0</v>
      </c>
      <c r="G60" s="194">
        <f>[55]GtS!$G$59</f>
        <v>0</v>
      </c>
      <c r="H60" s="193" t="str">
        <f>IF('AW Schulen'!$C126=0,"x",C60/'AW Schulen'!$C126)</f>
        <v>x</v>
      </c>
      <c r="I60" s="193" t="str">
        <f>IF('AW Schulen'!$F126=0,"x",D60/'AW Schulen'!$F126)</f>
        <v>x</v>
      </c>
      <c r="J60" s="193" t="str">
        <f>IF('AW Schulen'!$I126=0,"x",E60/'AW Schulen'!$I126)</f>
        <v>x</v>
      </c>
      <c r="K60" s="193" t="str">
        <f>IF('AW Schulen'!$L126=0,"x",F60/'AW Schulen'!$L126)</f>
        <v>x</v>
      </c>
      <c r="L60" s="194" t="str">
        <f>IF('AW Schulen'!$O126=0,"x",G60/'AW Schulen'!$O126)</f>
        <v>x</v>
      </c>
    </row>
    <row r="61" spans="1:12" ht="9" customHeight="1">
      <c r="A61" s="21" t="s">
        <v>93</v>
      </c>
      <c r="B61" s="120"/>
      <c r="C61" s="36">
        <f>[76]GtS!$G$57</f>
        <v>0</v>
      </c>
      <c r="D61" s="36">
        <f>[77]GtS!$G$59</f>
        <v>0</v>
      </c>
      <c r="E61" s="36">
        <f>[78]GtS!$G$59</f>
        <v>0</v>
      </c>
      <c r="F61" s="36">
        <f>[79]GtS!$G$59</f>
        <v>0</v>
      </c>
      <c r="G61" s="37">
        <f>[80]GtS!$G$59</f>
        <v>0</v>
      </c>
      <c r="H61" s="36">
        <v>0</v>
      </c>
      <c r="I61" s="36">
        <v>0</v>
      </c>
      <c r="J61" s="36">
        <v>0</v>
      </c>
      <c r="K61" s="36">
        <v>0</v>
      </c>
      <c r="L61" s="37">
        <v>0</v>
      </c>
    </row>
    <row r="62" spans="1:12" ht="10.5" customHeight="1">
      <c r="A62" s="21" t="s">
        <v>226</v>
      </c>
      <c r="B62" s="120"/>
      <c r="C62" s="23">
        <f>[56]GtS!$G$57</f>
        <v>0</v>
      </c>
      <c r="D62" s="23">
        <f>[57]GtS!$G$59</f>
        <v>0</v>
      </c>
      <c r="E62" s="23">
        <f>[58]GtS!$G$59</f>
        <v>0</v>
      </c>
      <c r="F62" s="23">
        <f>[59]GtS!$G$59</f>
        <v>0</v>
      </c>
      <c r="G62" s="34">
        <f>[60]GtS!$G$59</f>
        <v>0</v>
      </c>
      <c r="H62" s="155">
        <f>IF('AW Schulen'!$C128=0,"x",C62/'AW Schulen'!$C128)</f>
        <v>0</v>
      </c>
      <c r="I62" s="155">
        <f>IF('AW Schulen'!$F128=0,"x",D62/'AW Schulen'!$F128)</f>
        <v>0</v>
      </c>
      <c r="J62" s="155">
        <f>IF('AW Schulen'!$I128=0,"x",E62/'AW Schulen'!$I128)</f>
        <v>0</v>
      </c>
      <c r="K62" s="155">
        <f>IF('AW Schulen'!$L128=0,"x",F62/'AW Schulen'!$L128)</f>
        <v>0</v>
      </c>
      <c r="L62" s="156">
        <f>IF('AW Schulen'!$O128=0,"x",G62/'AW Schulen'!$O128)</f>
        <v>0</v>
      </c>
    </row>
    <row r="63" spans="1:12" ht="9" customHeight="1">
      <c r="A63" s="21" t="s">
        <v>95</v>
      </c>
      <c r="B63" s="120"/>
      <c r="C63" s="23">
        <f>[61]GtS!$G$57</f>
        <v>0</v>
      </c>
      <c r="D63" s="23">
        <f>[62]GtS!$G$59</f>
        <v>1</v>
      </c>
      <c r="E63" s="23">
        <f>[63]GtS!$G$59</f>
        <v>0</v>
      </c>
      <c r="F63" s="23">
        <f>[64]GtS!$G$59</f>
        <v>1</v>
      </c>
      <c r="G63" s="34">
        <f>[65]GtS!$G$59</f>
        <v>0</v>
      </c>
      <c r="H63" s="155">
        <f>IF('AW Schulen'!$C129=0,"x",C63/'AW Schulen'!$C129)</f>
        <v>0</v>
      </c>
      <c r="I63" s="155">
        <f>IF('AW Schulen'!$F129=0,"x",D63/'AW Schulen'!$F129)</f>
        <v>7.1428571428571425E-2</v>
      </c>
      <c r="J63" s="155">
        <f>IF('AW Schulen'!$I129=0,"x",E63/'AW Schulen'!$I129)</f>
        <v>0</v>
      </c>
      <c r="K63" s="155">
        <f>IF('AW Schulen'!$L129=0,"x",F63/'AW Schulen'!$L129)</f>
        <v>0.05</v>
      </c>
      <c r="L63" s="156">
        <f>IF('AW Schulen'!$O129=0,"x",G63/'AW Schulen'!$O129)</f>
        <v>0</v>
      </c>
    </row>
    <row r="64" spans="1:12" ht="8.65" customHeight="1">
      <c r="A64" s="21" t="s">
        <v>96</v>
      </c>
      <c r="B64" s="120"/>
      <c r="C64" s="23">
        <f t="shared" ref="C64:E64" si="37">SUM(C48:C63)</f>
        <v>10</v>
      </c>
      <c r="D64" s="23">
        <f t="shared" si="37"/>
        <v>6</v>
      </c>
      <c r="E64" s="23">
        <f t="shared" si="37"/>
        <v>7</v>
      </c>
      <c r="F64" s="23">
        <f t="shared" ref="F64:G64" si="38">SUM(F48:F63)</f>
        <v>8</v>
      </c>
      <c r="G64" s="34">
        <f t="shared" si="38"/>
        <v>6</v>
      </c>
      <c r="H64" s="155">
        <f>IF('AW Schulen'!$C130=0,"x",C64/'AW Schulen'!$C130)</f>
        <v>6.2111801242236024E-2</v>
      </c>
      <c r="I64" s="155">
        <f>IF('AW Schulen'!$F130=0,"x",D64/'AW Schulen'!$F130)</f>
        <v>3.6809815950920248E-2</v>
      </c>
      <c r="J64" s="155">
        <f>IF('AW Schulen'!$I130=0,"x",E64/'AW Schulen'!$I130)</f>
        <v>3.608247422680412E-2</v>
      </c>
      <c r="K64" s="155">
        <f>IF('AW Schulen'!$L130=0,"x",F64/'AW Schulen'!$L130)</f>
        <v>3.8461538461538464E-2</v>
      </c>
      <c r="L64" s="156">
        <f>IF('AW Schulen'!$O130=0,"x",G64/'AW Schulen'!$O130)</f>
        <v>2.7149321266968326E-2</v>
      </c>
    </row>
    <row r="65" spans="1:12" ht="12.6" customHeight="1">
      <c r="A65" s="391" t="s">
        <v>100</v>
      </c>
      <c r="B65" s="392"/>
      <c r="C65" s="392"/>
      <c r="D65" s="392"/>
      <c r="E65" s="392"/>
      <c r="F65" s="392"/>
      <c r="G65" s="392"/>
      <c r="H65" s="392"/>
      <c r="I65" s="392"/>
      <c r="J65" s="392"/>
      <c r="K65" s="392"/>
      <c r="L65" s="393"/>
    </row>
    <row r="66" spans="1:12" ht="10.15" customHeight="1">
      <c r="A66" s="224" t="s">
        <v>173</v>
      </c>
      <c r="B66" s="120"/>
      <c r="C66" s="23">
        <f>[1]GtS!$H$57</f>
        <v>0</v>
      </c>
      <c r="D66" s="23">
        <f>[2]GtS!$H$59</f>
        <v>1</v>
      </c>
      <c r="E66" s="23">
        <f>[3]GtS!$H$59</f>
        <v>1</v>
      </c>
      <c r="F66" s="23">
        <f>[4]GtS!$H$59</f>
        <v>0</v>
      </c>
      <c r="G66" s="34">
        <f>[5]GtS!$H$59</f>
        <v>0</v>
      </c>
      <c r="H66" s="155">
        <f>IF('AW Schulen'!$C114=0,"x",C66/'AW Schulen'!$C114)</f>
        <v>0</v>
      </c>
      <c r="I66" s="155">
        <f>IF('AW Schulen'!$F114=0,"x",D66/'AW Schulen'!$F114)</f>
        <v>0.16666666666666666</v>
      </c>
      <c r="J66" s="155">
        <f>IF('AW Schulen'!$I114=0,"x",E66/'AW Schulen'!$I114)</f>
        <v>0.1</v>
      </c>
      <c r="K66" s="155">
        <f>IF('AW Schulen'!$L114=0,"x",F66/'AW Schulen'!$L114)</f>
        <v>0</v>
      </c>
      <c r="L66" s="156">
        <f>IF('AW Schulen'!$O114=0,"x",G66/'AW Schulen'!$O114)</f>
        <v>0</v>
      </c>
    </row>
    <row r="67" spans="1:12" ht="10.15" customHeight="1">
      <c r="A67" s="224" t="s">
        <v>81</v>
      </c>
      <c r="B67" s="120"/>
      <c r="C67" s="193">
        <f>[6]GtS!$H$57</f>
        <v>0</v>
      </c>
      <c r="D67" s="193">
        <f>[7]GtS!$H$59</f>
        <v>0</v>
      </c>
      <c r="E67" s="193">
        <f>[8]GtS!$H$59</f>
        <v>0</v>
      </c>
      <c r="F67" s="193" t="str">
        <f>[9]GtS!$H$59</f>
        <v xml:space="preserve">                                      -   </v>
      </c>
      <c r="G67" s="194">
        <f>[10]GtS!$H$59</f>
        <v>0</v>
      </c>
      <c r="H67" s="193" t="str">
        <f>IF('AW Schulen'!$C115=0,"x",C67/'AW Schulen'!$C115)</f>
        <v>x</v>
      </c>
      <c r="I67" s="193" t="str">
        <f>IF('AW Schulen'!$F115=0,"x",D67/'AW Schulen'!$F115)</f>
        <v>x</v>
      </c>
      <c r="J67" s="193" t="str">
        <f>IF('AW Schulen'!$I115=0,"x",E67/'AW Schulen'!$I115)</f>
        <v>x</v>
      </c>
      <c r="K67" s="193" t="e">
        <f>IF('AW Schulen'!$L115=0,"x",F67/'AW Schulen'!$L115)</f>
        <v>#VALUE!</v>
      </c>
      <c r="L67" s="194" t="str">
        <f>IF('AW Schulen'!$O115=0,"x",G67/'AW Schulen'!$O115)</f>
        <v>x</v>
      </c>
    </row>
    <row r="68" spans="1:12" ht="10.15" customHeight="1">
      <c r="A68" s="224" t="s">
        <v>82</v>
      </c>
      <c r="B68" s="120"/>
      <c r="C68" s="23">
        <f>[11]GtS!$H$57</f>
        <v>14</v>
      </c>
      <c r="D68" s="23">
        <f>[12]GtS!$H$59</f>
        <v>17</v>
      </c>
      <c r="E68" s="23">
        <f>[13]GtS!$H$59</f>
        <v>15</v>
      </c>
      <c r="F68" s="23">
        <f>[14]GtS!$H$59</f>
        <v>21</v>
      </c>
      <c r="G68" s="34">
        <f>[15]GtS!$H$59</f>
        <v>12</v>
      </c>
      <c r="H68" s="155">
        <f>IF('AW Schulen'!$C116=0,"x",C68/'AW Schulen'!$C116)</f>
        <v>0.5</v>
      </c>
      <c r="I68" s="155">
        <f>IF('AW Schulen'!$F116=0,"x",D68/'AW Schulen'!$F116)</f>
        <v>0.65384615384615385</v>
      </c>
      <c r="J68" s="155">
        <f>IF('AW Schulen'!$I116=0,"x",E68/'AW Schulen'!$I116)</f>
        <v>0.42857142857142855</v>
      </c>
      <c r="K68" s="155">
        <f>IF('AW Schulen'!$L116=0,"x",F68/'AW Schulen'!$L116)</f>
        <v>0.55263157894736847</v>
      </c>
      <c r="L68" s="156">
        <f>IF('AW Schulen'!$O116=0,"x",G68/'AW Schulen'!$O116)</f>
        <v>0.2857142857142857</v>
      </c>
    </row>
    <row r="69" spans="1:12" ht="9" customHeight="1">
      <c r="A69" s="21" t="s">
        <v>83</v>
      </c>
      <c r="B69" s="120"/>
      <c r="C69" s="23">
        <f>[16]GtS!$H$57</f>
        <v>0</v>
      </c>
      <c r="D69" s="23">
        <f>[17]GtS!$H$59</f>
        <v>1</v>
      </c>
      <c r="E69" s="23">
        <f>[18]GtS!$H$59</f>
        <v>1</v>
      </c>
      <c r="F69" s="23">
        <f>[19]GtS!$H$59</f>
        <v>1</v>
      </c>
      <c r="G69" s="34">
        <f>[20]GtS!$H$59</f>
        <v>1</v>
      </c>
      <c r="H69" s="155">
        <f>IF('AW Schulen'!$C117=0,"x",C69/'AW Schulen'!$C117)</f>
        <v>0</v>
      </c>
      <c r="I69" s="155">
        <f>IF('AW Schulen'!$F117=0,"x",D69/'AW Schulen'!$F117)</f>
        <v>0.16666666666666666</v>
      </c>
      <c r="J69" s="155">
        <f>IF('AW Schulen'!$I117=0,"x",E69/'AW Schulen'!$I117)</f>
        <v>0.1111111111111111</v>
      </c>
      <c r="K69" s="155">
        <f>IF('AW Schulen'!$L117=0,"x",F69/'AW Schulen'!$L117)</f>
        <v>8.3333333333333329E-2</v>
      </c>
      <c r="L69" s="156">
        <f>IF('AW Schulen'!$O117=0,"x",G69/'AW Schulen'!$O117)</f>
        <v>9.0909090909090912E-2</v>
      </c>
    </row>
    <row r="70" spans="1:12" ht="9" customHeight="1">
      <c r="A70" s="21" t="s">
        <v>84</v>
      </c>
      <c r="B70" s="120"/>
      <c r="C70" s="23">
        <f>[21]GtS!$H$57</f>
        <v>1</v>
      </c>
      <c r="D70" s="23">
        <f>[22]GtS!$H$59</f>
        <v>1</v>
      </c>
      <c r="E70" s="23">
        <f>[23]GtS!$H$59</f>
        <v>1</v>
      </c>
      <c r="F70" s="23">
        <f>[24]GtS!$H$59</f>
        <v>1</v>
      </c>
      <c r="G70" s="34">
        <f>[25]GtS!$H$59</f>
        <v>0</v>
      </c>
      <c r="H70" s="155">
        <f>IF('AW Schulen'!$C118=0,"x",C70/'AW Schulen'!$C118)</f>
        <v>0.33333333333333331</v>
      </c>
      <c r="I70" s="155">
        <f>IF('AW Schulen'!$F118=0,"x",D70/'AW Schulen'!$F118)</f>
        <v>0.33333333333333331</v>
      </c>
      <c r="J70" s="155">
        <f>IF('AW Schulen'!$I118=0,"x",E70/'AW Schulen'!$I118)</f>
        <v>0.25</v>
      </c>
      <c r="K70" s="155">
        <f>IF('AW Schulen'!$L118=0,"x",F70/'AW Schulen'!$L118)</f>
        <v>0.16666666666666666</v>
      </c>
      <c r="L70" s="156">
        <f>IF('AW Schulen'!$O118=0,"x",G70/'AW Schulen'!$O118)</f>
        <v>0</v>
      </c>
    </row>
    <row r="71" spans="1:12" ht="9" customHeight="1">
      <c r="A71" s="21" t="s">
        <v>85</v>
      </c>
      <c r="B71" s="120"/>
      <c r="C71" s="23">
        <f>[26]GtS!$H$57</f>
        <v>9</v>
      </c>
      <c r="D71" s="23">
        <f>[27]GtS!$H$59</f>
        <v>7</v>
      </c>
      <c r="E71" s="23">
        <f>[28]GtS!$H$59</f>
        <v>8</v>
      </c>
      <c r="F71" s="23">
        <f>[29]GtS!$H$59</f>
        <v>7</v>
      </c>
      <c r="G71" s="34">
        <f>[30]GtS!$H$59</f>
        <v>9</v>
      </c>
      <c r="H71" s="155">
        <f>IF('AW Schulen'!$C119=0,"x",C71/'AW Schulen'!$C119)</f>
        <v>0.31034482758620691</v>
      </c>
      <c r="I71" s="155">
        <f>IF('AW Schulen'!$F119=0,"x",D71/'AW Schulen'!$F119)</f>
        <v>0.33333333333333331</v>
      </c>
      <c r="J71" s="155">
        <f>IF('AW Schulen'!$I119=0,"x",E71/'AW Schulen'!$I119)</f>
        <v>0.38095238095238093</v>
      </c>
      <c r="K71" s="155">
        <f>IF('AW Schulen'!$L119=0,"x",F71/'AW Schulen'!$L119)</f>
        <v>0.33333333333333331</v>
      </c>
      <c r="L71" s="156">
        <f>IF('AW Schulen'!$O119=0,"x",G71/'AW Schulen'!$O119)</f>
        <v>0.52941176470588236</v>
      </c>
    </row>
    <row r="72" spans="1:12" ht="9" customHeight="1">
      <c r="A72" s="21" t="s">
        <v>86</v>
      </c>
      <c r="B72" s="120"/>
      <c r="C72" s="36">
        <f>[66]GtS!$H$57</f>
        <v>0</v>
      </c>
      <c r="D72" s="36">
        <f>[67]GtS!$H$59</f>
        <v>0</v>
      </c>
      <c r="E72" s="36">
        <f>[68]GtS!$H$59</f>
        <v>0</v>
      </c>
      <c r="F72" s="36">
        <f>[69]GtS!$H$59</f>
        <v>0</v>
      </c>
      <c r="G72" s="37">
        <f>[70]GtS!$H$59</f>
        <v>0</v>
      </c>
      <c r="H72" s="36">
        <f>IF('AW Schulen'!$C120=0,"x",C72/'AW Schulen'!$C120)</f>
        <v>0</v>
      </c>
      <c r="I72" s="36">
        <f>IF('AW Schulen'!$C120=0,"x",D72/'AW Schulen'!$C120)</f>
        <v>0</v>
      </c>
      <c r="J72" s="36">
        <f>IF('AW Schulen'!$C120=0,"x",E72/'AW Schulen'!$C120)</f>
        <v>0</v>
      </c>
      <c r="K72" s="36">
        <f>IF('AW Schulen'!$C120=0,"x",F72/'AW Schulen'!$C120)</f>
        <v>0</v>
      </c>
      <c r="L72" s="37">
        <f>IF('AW Schulen'!$C120=0,"x",G72/'AW Schulen'!$C120)</f>
        <v>0</v>
      </c>
    </row>
    <row r="73" spans="1:12" ht="9" customHeight="1">
      <c r="A73" s="21" t="s">
        <v>223</v>
      </c>
      <c r="B73" s="120"/>
      <c r="C73" s="23">
        <f>[31]GtS!$H$57</f>
        <v>1</v>
      </c>
      <c r="D73" s="23">
        <f>[32]GtS!$H$59</f>
        <v>2</v>
      </c>
      <c r="E73" s="23">
        <f>[33]GtS!$H$59</f>
        <v>2</v>
      </c>
      <c r="F73" s="23">
        <f>[34]GtS!$H$59</f>
        <v>1</v>
      </c>
      <c r="G73" s="34">
        <f>[35]GtS!$H$59</f>
        <v>1</v>
      </c>
      <c r="H73" s="155">
        <f>IF('AW Schulen'!$C121=0,"x",C73/'AW Schulen'!$C121)</f>
        <v>0.1</v>
      </c>
      <c r="I73" s="155">
        <f>IF('AW Schulen'!$F121=0,"x",D73/'AW Schulen'!$F121)</f>
        <v>0.18181818181818182</v>
      </c>
      <c r="J73" s="155">
        <f>IF('AW Schulen'!$I121=0,"x",E73/'AW Schulen'!$I121)</f>
        <v>0.18181818181818182</v>
      </c>
      <c r="K73" s="155">
        <f>IF('AW Schulen'!$L121=0,"x",F73/'AW Schulen'!$L121)</f>
        <v>9.0909090909090912E-2</v>
      </c>
      <c r="L73" s="156">
        <f>IF('AW Schulen'!$O121=0,"x",G73/'AW Schulen'!$O121)</f>
        <v>8.3333333333333329E-2</v>
      </c>
    </row>
    <row r="74" spans="1:12" ht="9" customHeight="1">
      <c r="A74" s="21" t="s">
        <v>88</v>
      </c>
      <c r="B74" s="120"/>
      <c r="C74" s="36">
        <f>[71]GtS!$H$57</f>
        <v>0</v>
      </c>
      <c r="D74" s="36">
        <f>[72]GtS!$H$59</f>
        <v>0</v>
      </c>
      <c r="E74" s="36">
        <f>[73]GtS!$H$59</f>
        <v>0</v>
      </c>
      <c r="F74" s="36">
        <f>[74]GtS!$H$59</f>
        <v>0</v>
      </c>
      <c r="G74" s="37">
        <f>[75]GtS!$H$59</f>
        <v>0</v>
      </c>
      <c r="H74" s="36">
        <f>IF('AW Schulen'!$C122=0,"x",C74/'AW Schulen'!$C122)</f>
        <v>0</v>
      </c>
      <c r="I74" s="36">
        <f>IF('AW Schulen'!$F122=0,"x",D74/'AW Schulen'!$F122)</f>
        <v>0</v>
      </c>
      <c r="J74" s="36">
        <f>IF('AW Schulen'!$I122=0,"x",E74/'AW Schulen'!$I122)</f>
        <v>0</v>
      </c>
      <c r="K74" s="36">
        <f>IF('AW Schulen'!$L122=0,"x",F74/'AW Schulen'!$L122)</f>
        <v>0</v>
      </c>
      <c r="L74" s="37">
        <f>IF('AW Schulen'!$O122=0,"x",G74/'AW Schulen'!$O122)</f>
        <v>0</v>
      </c>
    </row>
    <row r="75" spans="1:12" ht="9" customHeight="1">
      <c r="A75" s="21" t="s">
        <v>89</v>
      </c>
      <c r="B75" s="120"/>
      <c r="C75" s="23">
        <f>[36]GtS!$H$57</f>
        <v>0</v>
      </c>
      <c r="D75" s="23">
        <f>[37]GtS!$H$59</f>
        <v>0</v>
      </c>
      <c r="E75" s="23">
        <f>[38]GtS!$H$59</f>
        <v>0</v>
      </c>
      <c r="F75" s="23">
        <f>[39]GtS!$H$59</f>
        <v>0</v>
      </c>
      <c r="G75" s="34">
        <f>[40]GtS!$H$59</f>
        <v>0</v>
      </c>
      <c r="H75" s="155">
        <f>IF('AW Schulen'!$C123=0,"x",C75/'AW Schulen'!$C123)</f>
        <v>0</v>
      </c>
      <c r="I75" s="155">
        <f>IF('AW Schulen'!$F123=0,"x",D75/'AW Schulen'!$F123)</f>
        <v>0</v>
      </c>
      <c r="J75" s="155">
        <f>IF('AW Schulen'!$I123=0,"x",E75/'AW Schulen'!$I123)</f>
        <v>0</v>
      </c>
      <c r="K75" s="155">
        <f>IF('AW Schulen'!$L123=0,"x",F75/'AW Schulen'!$L123)</f>
        <v>0</v>
      </c>
      <c r="L75" s="156">
        <f>IF('AW Schulen'!$O123=0,"x",G75/'AW Schulen'!$O123)</f>
        <v>0</v>
      </c>
    </row>
    <row r="76" spans="1:12" ht="9" customHeight="1">
      <c r="A76" s="21" t="s">
        <v>90</v>
      </c>
      <c r="B76" s="120"/>
      <c r="C76" s="23">
        <f>[41]GtS!$H$57</f>
        <v>0</v>
      </c>
      <c r="D76" s="23">
        <f>[42]GtS!$H$59</f>
        <v>0</v>
      </c>
      <c r="E76" s="23">
        <f>[43]GtS!$H$59</f>
        <v>0</v>
      </c>
      <c r="F76" s="23">
        <f>[44]GtS!$H$59</f>
        <v>0</v>
      </c>
      <c r="G76" s="34">
        <f>[45]GtS!$H$59</f>
        <v>0</v>
      </c>
      <c r="H76" s="155">
        <f>IF('AW Schulen'!$C124=0,"x",C76/'AW Schulen'!$C124)</f>
        <v>0</v>
      </c>
      <c r="I76" s="155">
        <f>IF('AW Schulen'!$F124=0,"x",D76/'AW Schulen'!$F124)</f>
        <v>0</v>
      </c>
      <c r="J76" s="155">
        <f>IF('AW Schulen'!$I124=0,"x",E76/'AW Schulen'!$I124)</f>
        <v>0</v>
      </c>
      <c r="K76" s="155">
        <f>IF('AW Schulen'!$L124=0,"x",F76/'AW Schulen'!$L124)</f>
        <v>0</v>
      </c>
      <c r="L76" s="156">
        <f>IF('AW Schulen'!$O124=0,"x",G76/'AW Schulen'!$O124)</f>
        <v>0</v>
      </c>
    </row>
    <row r="77" spans="1:12" ht="9" customHeight="1">
      <c r="A77" s="21" t="s">
        <v>91</v>
      </c>
      <c r="B77" s="120"/>
      <c r="C77" s="23">
        <f>[46]GtS!$H$57</f>
        <v>0</v>
      </c>
      <c r="D77" s="23">
        <f>[47]GtS!$H$59</f>
        <v>0</v>
      </c>
      <c r="E77" s="23">
        <f>[48]GtS!$H$59</f>
        <v>0</v>
      </c>
      <c r="F77" s="23">
        <f>[49]GtS!$H$59</f>
        <v>0</v>
      </c>
      <c r="G77" s="34">
        <f>[50]GtS!$H$59</f>
        <v>2</v>
      </c>
      <c r="H77" s="155">
        <f>IF('AW Schulen'!$C125=0,"x",C77/'AW Schulen'!$C125)</f>
        <v>0</v>
      </c>
      <c r="I77" s="155">
        <f>IF('AW Schulen'!$F125=0,"x",D77/'AW Schulen'!$F125)</f>
        <v>0</v>
      </c>
      <c r="J77" s="155">
        <f>IF('AW Schulen'!$I125=0,"x",E77/'AW Schulen'!$I125)</f>
        <v>0</v>
      </c>
      <c r="K77" s="155">
        <f>IF('AW Schulen'!$L125=0,"x",F77/'AW Schulen'!$L125)</f>
        <v>0</v>
      </c>
      <c r="L77" s="156">
        <f>IF('AW Schulen'!$O125=0,"x",G77/'AW Schulen'!$O125)</f>
        <v>0.66666666666666663</v>
      </c>
    </row>
    <row r="78" spans="1:12" ht="9" customHeight="1">
      <c r="A78" s="21" t="s">
        <v>92</v>
      </c>
      <c r="B78" s="120"/>
      <c r="C78" s="193">
        <f>[51]GtS!$H$57</f>
        <v>0</v>
      </c>
      <c r="D78" s="193">
        <f>[52]GtS!$H$59</f>
        <v>0</v>
      </c>
      <c r="E78" s="193">
        <f>[53]GtS!$H$59</f>
        <v>0</v>
      </c>
      <c r="F78" s="193">
        <f>[54]GtS!$H$59</f>
        <v>0</v>
      </c>
      <c r="G78" s="194">
        <f>[55]GtS!$H$59</f>
        <v>0</v>
      </c>
      <c r="H78" s="193" t="str">
        <f>IF('AW Schulen'!$C126=0,"x",C78/'AW Schulen'!$C126)</f>
        <v>x</v>
      </c>
      <c r="I78" s="193" t="str">
        <f>IF('AW Schulen'!$F126=0,"x",D78/'AW Schulen'!$F126)</f>
        <v>x</v>
      </c>
      <c r="J78" s="193" t="str">
        <f>IF('AW Schulen'!$I126=0,"x",E78/'AW Schulen'!$I126)</f>
        <v>x</v>
      </c>
      <c r="K78" s="193" t="str">
        <f>IF('AW Schulen'!$L126=0,"x",F78/'AW Schulen'!$L126)</f>
        <v>x</v>
      </c>
      <c r="L78" s="194" t="str">
        <f>IF('AW Schulen'!$O126=0,"x",G78/'AW Schulen'!$O126)</f>
        <v>x</v>
      </c>
    </row>
    <row r="79" spans="1:12" ht="9" customHeight="1">
      <c r="A79" s="21" t="s">
        <v>93</v>
      </c>
      <c r="B79" s="120"/>
      <c r="C79" s="36">
        <f>[76]GtS!$H$57</f>
        <v>0</v>
      </c>
      <c r="D79" s="36">
        <f>[77]GtS!$H$59</f>
        <v>0</v>
      </c>
      <c r="E79" s="36">
        <f>[78]GtS!$H$59</f>
        <v>0</v>
      </c>
      <c r="F79" s="36">
        <f>[79]GtS!$H$59</f>
        <v>0</v>
      </c>
      <c r="G79" s="37">
        <f>[80]GtS!$H$59</f>
        <v>0</v>
      </c>
      <c r="H79" s="36">
        <v>0</v>
      </c>
      <c r="I79" s="36">
        <v>0</v>
      </c>
      <c r="J79" s="36">
        <v>0</v>
      </c>
      <c r="K79" s="36">
        <v>0</v>
      </c>
      <c r="L79" s="37">
        <v>0</v>
      </c>
    </row>
    <row r="80" spans="1:12" ht="10.5" customHeight="1">
      <c r="A80" s="21" t="s">
        <v>226</v>
      </c>
      <c r="B80" s="120"/>
      <c r="C80" s="23">
        <f>[56]GtS!$H$57</f>
        <v>6</v>
      </c>
      <c r="D80" s="23">
        <f>[57]GtS!$H$59</f>
        <v>5</v>
      </c>
      <c r="E80" s="23">
        <f>[58]GtS!$H$59</f>
        <v>12</v>
      </c>
      <c r="F80" s="23">
        <f>[59]GtS!$H$59</f>
        <v>12</v>
      </c>
      <c r="G80" s="34">
        <f>[60]GtS!$H$59</f>
        <v>15</v>
      </c>
      <c r="H80" s="155">
        <f>IF('AW Schulen'!$C128=0,"x",C80/'AW Schulen'!$C128)</f>
        <v>0.11764705882352941</v>
      </c>
      <c r="I80" s="155">
        <f>IF('AW Schulen'!$F128=0,"x",D80/'AW Schulen'!$F128)</f>
        <v>9.6153846153846159E-2</v>
      </c>
      <c r="J80" s="155">
        <f>IF('AW Schulen'!$I128=0,"x",E80/'AW Schulen'!$I128)</f>
        <v>0.21818181818181817</v>
      </c>
      <c r="K80" s="155">
        <f>IF('AW Schulen'!$L128=0,"x",F80/'AW Schulen'!$L128)</f>
        <v>0.21428571428571427</v>
      </c>
      <c r="L80" s="156">
        <f>IF('AW Schulen'!$O128=0,"x",G80/'AW Schulen'!$O128)</f>
        <v>0.26315789473684209</v>
      </c>
    </row>
    <row r="81" spans="1:12" ht="9" customHeight="1">
      <c r="A81" s="21" t="s">
        <v>95</v>
      </c>
      <c r="B81" s="120"/>
      <c r="C81" s="23">
        <f>[61]GtS!$H$57</f>
        <v>0</v>
      </c>
      <c r="D81" s="23">
        <f>[62]GtS!$H$59</f>
        <v>0</v>
      </c>
      <c r="E81" s="23">
        <f>[63]GtS!$H$59</f>
        <v>2</v>
      </c>
      <c r="F81" s="23">
        <f>[64]GtS!$H$59</f>
        <v>2</v>
      </c>
      <c r="G81" s="34">
        <f>[65]GtS!$H$59</f>
        <v>2</v>
      </c>
      <c r="H81" s="155">
        <f>IF('AW Schulen'!$C129=0,"x",C81/'AW Schulen'!$C129)</f>
        <v>0</v>
      </c>
      <c r="I81" s="155">
        <f>IF('AW Schulen'!$F129=0,"x",D81/'AW Schulen'!$F129)</f>
        <v>0</v>
      </c>
      <c r="J81" s="155">
        <f>IF('AW Schulen'!$I129=0,"x",E81/'AW Schulen'!$I129)</f>
        <v>0.1</v>
      </c>
      <c r="K81" s="155">
        <f>IF('AW Schulen'!$L129=0,"x",F81/'AW Schulen'!$L129)</f>
        <v>0.1</v>
      </c>
      <c r="L81" s="156">
        <f>IF('AW Schulen'!$O129=0,"x",G81/'AW Schulen'!$O129)</f>
        <v>9.0909090909090912E-2</v>
      </c>
    </row>
    <row r="82" spans="1:12" ht="9" customHeight="1">
      <c r="A82" s="24" t="s">
        <v>96</v>
      </c>
      <c r="B82" s="121"/>
      <c r="C82" s="26">
        <f t="shared" ref="C82:E82" si="39">SUM(C66:C81)</f>
        <v>31</v>
      </c>
      <c r="D82" s="26">
        <f t="shared" si="39"/>
        <v>34</v>
      </c>
      <c r="E82" s="26">
        <f t="shared" si="39"/>
        <v>42</v>
      </c>
      <c r="F82" s="26">
        <f t="shared" ref="F82:G82" si="40">SUM(F66:F81)</f>
        <v>45</v>
      </c>
      <c r="G82" s="47">
        <f t="shared" si="40"/>
        <v>42</v>
      </c>
      <c r="H82" s="157">
        <f>IF('AW Schulen'!$C130=0,"x",C82/'AW Schulen'!$C130)</f>
        <v>0.19254658385093168</v>
      </c>
      <c r="I82" s="157">
        <f>IF('AW Schulen'!$F130=0,"x",D82/'AW Schulen'!$F130)</f>
        <v>0.20858895705521471</v>
      </c>
      <c r="J82" s="157">
        <f>IF('AW Schulen'!$I130=0,"x",E82/'AW Schulen'!$I130)</f>
        <v>0.21649484536082475</v>
      </c>
      <c r="K82" s="157">
        <f>IF('AW Schulen'!$L130=0,"x",F82/'AW Schulen'!$L130)</f>
        <v>0.21634615384615385</v>
      </c>
      <c r="L82" s="158">
        <f>IF('AW Schulen'!$O130=0,"x",G82/'AW Schulen'!$O130)</f>
        <v>0.19004524886877827</v>
      </c>
    </row>
    <row r="83" spans="1:12" ht="19.5" customHeight="1">
      <c r="A83" s="396" t="s">
        <v>312</v>
      </c>
      <c r="B83" s="396"/>
      <c r="C83" s="396"/>
      <c r="D83" s="396"/>
      <c r="E83" s="396"/>
      <c r="F83" s="396"/>
      <c r="G83" s="396"/>
      <c r="H83" s="396"/>
      <c r="I83" s="396"/>
      <c r="J83" s="396"/>
      <c r="K83" s="396"/>
      <c r="L83" s="396"/>
    </row>
    <row r="84" spans="1:12" s="285" customFormat="1" ht="10.15" customHeight="1">
      <c r="A84" s="220" t="s">
        <v>166</v>
      </c>
      <c r="B84" s="220"/>
      <c r="C84" s="220"/>
      <c r="D84" s="220"/>
      <c r="E84" s="220"/>
      <c r="F84" s="318"/>
      <c r="G84" s="346"/>
      <c r="K84" s="315"/>
      <c r="L84" s="342"/>
    </row>
    <row r="85" spans="1:12" s="285" customFormat="1" ht="10.5" customHeight="1">
      <c r="A85" s="285" t="s">
        <v>183</v>
      </c>
      <c r="F85" s="315"/>
      <c r="G85" s="342"/>
      <c r="K85" s="315"/>
      <c r="L85" s="342"/>
    </row>
    <row r="86" spans="1:12" s="285" customFormat="1" ht="17.25" customHeight="1">
      <c r="A86" s="387" t="s">
        <v>276</v>
      </c>
      <c r="B86" s="387"/>
      <c r="C86" s="387"/>
      <c r="D86" s="387"/>
      <c r="E86" s="387"/>
      <c r="F86" s="387"/>
      <c r="G86" s="387"/>
      <c r="H86" s="387"/>
      <c r="I86" s="387"/>
      <c r="J86" s="387"/>
      <c r="K86" s="394"/>
      <c r="L86" s="394"/>
    </row>
    <row r="87" spans="1:12" s="285" customFormat="1" ht="10.5" customHeight="1">
      <c r="A87" s="220" t="s">
        <v>229</v>
      </c>
      <c r="B87" s="284"/>
      <c r="C87" s="284"/>
      <c r="D87" s="284"/>
      <c r="E87" s="284"/>
      <c r="F87" s="284"/>
      <c r="G87" s="345"/>
      <c r="H87" s="284"/>
      <c r="I87" s="283"/>
      <c r="J87" s="283"/>
      <c r="K87" s="311"/>
      <c r="L87" s="322"/>
    </row>
    <row r="88" spans="1:12" s="285" customFormat="1" ht="10.15" customHeight="1">
      <c r="A88" s="285" t="s">
        <v>225</v>
      </c>
      <c r="F88" s="315"/>
      <c r="G88" s="342"/>
      <c r="K88" s="315"/>
      <c r="L88" s="342"/>
    </row>
    <row r="89" spans="1:12" s="285" customFormat="1" ht="10.15" customHeight="1">
      <c r="A89" s="285" t="s">
        <v>101</v>
      </c>
      <c r="F89" s="315"/>
      <c r="G89" s="342"/>
      <c r="K89" s="315"/>
      <c r="L89" s="342"/>
    </row>
  </sheetData>
  <mergeCells count="9">
    <mergeCell ref="A1:L1"/>
    <mergeCell ref="A47:L47"/>
    <mergeCell ref="A65:L65"/>
    <mergeCell ref="A86:L86"/>
    <mergeCell ref="C9:G9"/>
    <mergeCell ref="H9:L9"/>
    <mergeCell ref="A11:L11"/>
    <mergeCell ref="A29:L29"/>
    <mergeCell ref="A83:L83"/>
  </mergeCells>
  <phoneticPr fontId="18" type="noConversion"/>
  <conditionalFormatting sqref="M25">
    <cfRule type="cellIs" dxfId="40"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view="pageBreakPreview" topLeftCell="A67" zoomScale="170" zoomScaleNormal="130" zoomScaleSheetLayoutView="170" workbookViewId="0">
      <selection activeCell="N23" sqref="N23:N24"/>
    </sheetView>
  </sheetViews>
  <sheetFormatPr baseColWidth="10" defaultColWidth="11.42578125" defaultRowHeight="9"/>
  <cols>
    <col min="1" max="1" width="9" style="2" customWidth="1"/>
    <col min="2" max="2" width="1.28515625" style="2" customWidth="1"/>
    <col min="3" max="12" width="6.7109375" style="2" customWidth="1"/>
    <col min="13" max="16384" width="11.42578125" style="2"/>
  </cols>
  <sheetData>
    <row r="1" spans="1:13" ht="12.75" customHeight="1">
      <c r="A1" s="383">
        <f>'2.3.7'!A1:J1+1</f>
        <v>31</v>
      </c>
      <c r="B1" s="383"/>
      <c r="C1" s="383"/>
      <c r="D1" s="383"/>
      <c r="E1" s="383"/>
      <c r="F1" s="383"/>
      <c r="G1" s="383"/>
      <c r="H1" s="383"/>
      <c r="I1" s="383"/>
      <c r="J1" s="383"/>
      <c r="K1" s="383"/>
      <c r="L1" s="383"/>
      <c r="M1" s="58" t="s">
        <v>108</v>
      </c>
    </row>
    <row r="2" spans="1:13" ht="3.75"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4.1" customHeight="1">
      <c r="A5" s="13" t="s">
        <v>35</v>
      </c>
      <c r="B5" s="39" t="s">
        <v>74</v>
      </c>
      <c r="C5" s="14"/>
      <c r="D5" s="14"/>
      <c r="E5" s="14"/>
      <c r="F5" s="14"/>
      <c r="G5" s="14"/>
    </row>
    <row r="6" spans="1:13" s="3" customFormat="1" ht="12" customHeight="1">
      <c r="A6" s="291" t="s">
        <v>240</v>
      </c>
      <c r="B6" s="39" t="s">
        <v>277</v>
      </c>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182">
        <f t="shared" ref="C12:E27" si="0">SUM(C30+C48+C66)</f>
        <v>0</v>
      </c>
      <c r="D12" s="45">
        <f t="shared" si="0"/>
        <v>2</v>
      </c>
      <c r="E12" s="45">
        <f t="shared" si="0"/>
        <v>4</v>
      </c>
      <c r="F12" s="45">
        <f t="shared" ref="F12:G12" si="1">SUM(F30+F48+F66)</f>
        <v>5</v>
      </c>
      <c r="G12" s="259">
        <f t="shared" si="1"/>
        <v>5</v>
      </c>
      <c r="H12" s="182">
        <v>0</v>
      </c>
      <c r="I12" s="297">
        <f>IF('AW Schulen'!$F114=0,"x",(IF('AW Schulen'!$F132=0,"-",D12/'AW Schulen'!$F132)))</f>
        <v>0.66666666666666663</v>
      </c>
      <c r="J12" s="297">
        <f>IF('AW Schulen'!$I114=0,"x",(IF('AW Schulen'!$I132=0,"-",E12/'AW Schulen'!$I132)))</f>
        <v>1</v>
      </c>
      <c r="K12" s="297">
        <f>IF('AW Schulen'!$L114=0,"x",(IF('AW Schulen'!$L132=0,"-",F12/'AW Schulen'!$L132)))</f>
        <v>0.83333333333333337</v>
      </c>
      <c r="L12" s="298">
        <f>IF('AW Schulen'!$O114=0,"x",(IF('AW Schulen'!$O132=0,"-",G12/'AW Schulen'!$O132)))</f>
        <v>0.7142857142857143</v>
      </c>
    </row>
    <row r="13" spans="1:13" ht="9" customHeight="1">
      <c r="A13" s="21" t="s">
        <v>81</v>
      </c>
      <c r="B13" s="120"/>
      <c r="C13" s="182">
        <f t="shared" si="0"/>
        <v>0</v>
      </c>
      <c r="D13" s="198">
        <f t="shared" si="0"/>
        <v>0</v>
      </c>
      <c r="E13" s="198">
        <f t="shared" ref="E13:F13" si="2">SUM(E31+E49+E67)</f>
        <v>0</v>
      </c>
      <c r="F13" s="198" t="e">
        <f t="shared" si="2"/>
        <v>#VALUE!</v>
      </c>
      <c r="G13" s="199">
        <f t="shared" ref="G13" si="3">SUM(G31+G49+G67)</f>
        <v>0</v>
      </c>
      <c r="H13" s="182">
        <v>0</v>
      </c>
      <c r="I13" s="297" t="str">
        <f>IF('AW Schulen'!$F115=0,"x",(IF('AW Schulen'!$F133=0,"-",D13/'AW Schulen'!$F133)))</f>
        <v>x</v>
      </c>
      <c r="J13" s="297" t="str">
        <f>IF('AW Schulen'!$I115=0,"x",(IF('AW Schulen'!$I133=0,"-",E13/'AW Schulen'!$I133)))</f>
        <v>x</v>
      </c>
      <c r="K13" s="297" t="e">
        <f>IF('AW Schulen'!$L115=0,"x",(IF('AW Schulen'!$L133=0,"-",F13/'AW Schulen'!$L133)))</f>
        <v>#VALUE!</v>
      </c>
      <c r="L13" s="298" t="str">
        <f>IF('AW Schulen'!$O115=0,"x",(IF('AW Schulen'!$O133=0,"-",G13/'AW Schulen'!$O133)))</f>
        <v>x</v>
      </c>
    </row>
    <row r="14" spans="1:13" ht="9" customHeight="1">
      <c r="A14" s="21" t="s">
        <v>82</v>
      </c>
      <c r="B14" s="120"/>
      <c r="C14" s="182">
        <f t="shared" si="0"/>
        <v>0</v>
      </c>
      <c r="D14" s="42">
        <f t="shared" si="0"/>
        <v>23</v>
      </c>
      <c r="E14" s="42">
        <f t="shared" ref="E14:F14" si="4">SUM(E32+E50+E68)</f>
        <v>14</v>
      </c>
      <c r="F14" s="42">
        <f t="shared" si="4"/>
        <v>21</v>
      </c>
      <c r="G14" s="44">
        <f t="shared" ref="G14" si="5">SUM(G32+G50+G68)</f>
        <v>24</v>
      </c>
      <c r="H14" s="182">
        <v>0</v>
      </c>
      <c r="I14" s="297">
        <f>IF('AW Schulen'!$F116=0,"x",(IF('AW Schulen'!$F134=0,"-",D14/'AW Schulen'!$F134)))</f>
        <v>0.88461538461538458</v>
      </c>
      <c r="J14" s="297">
        <f>IF('AW Schulen'!$I116=0,"x",(IF('AW Schulen'!$I134=0,"-",E14/'AW Schulen'!$I134)))</f>
        <v>0.73684210526315785</v>
      </c>
      <c r="K14" s="297">
        <f>IF('AW Schulen'!$L116=0,"x",(IF('AW Schulen'!$L134=0,"-",F14/'AW Schulen'!$L134)))</f>
        <v>1</v>
      </c>
      <c r="L14" s="298">
        <f>IF('AW Schulen'!$O116=0,"x",(IF('AW Schulen'!$O134=0,"-",G14/'AW Schulen'!$O134)))</f>
        <v>1</v>
      </c>
    </row>
    <row r="15" spans="1:13" ht="9" customHeight="1">
      <c r="A15" s="21" t="s">
        <v>83</v>
      </c>
      <c r="B15" s="120"/>
      <c r="C15" s="182">
        <f t="shared" si="0"/>
        <v>0</v>
      </c>
      <c r="D15" s="45">
        <f t="shared" si="0"/>
        <v>0</v>
      </c>
      <c r="E15" s="45">
        <f t="shared" ref="E15:F15" si="6">SUM(E33+E51+E69)</f>
        <v>0</v>
      </c>
      <c r="F15" s="45">
        <f t="shared" si="6"/>
        <v>1</v>
      </c>
      <c r="G15" s="259">
        <f t="shared" ref="G15" si="7">SUM(G33+G51+G69)</f>
        <v>0</v>
      </c>
      <c r="H15" s="182">
        <v>0</v>
      </c>
      <c r="I15" s="297" t="str">
        <f>IF('AW Schulen'!$F117=0,"x",(IF('AW Schulen'!$F135=0,"-",D15/'AW Schulen'!$F135)))</f>
        <v>-</v>
      </c>
      <c r="J15" s="297" t="str">
        <f>IF('AW Schulen'!$I117=0,"x",(IF('AW Schulen'!$I135=0,"-",E15/'AW Schulen'!$I135)))</f>
        <v>-</v>
      </c>
      <c r="K15" s="297">
        <f>IF('AW Schulen'!$L117=0,"x",(IF('AW Schulen'!$L135=0,"-",F15/'AW Schulen'!$L135)))</f>
        <v>1</v>
      </c>
      <c r="L15" s="298" t="str">
        <f>IF('AW Schulen'!$O117=0,"x",(IF('AW Schulen'!$O135=0,"-",G15/'AW Schulen'!$O135)))</f>
        <v>-</v>
      </c>
    </row>
    <row r="16" spans="1:13" ht="9" customHeight="1">
      <c r="A16" s="21" t="s">
        <v>84</v>
      </c>
      <c r="B16" s="120"/>
      <c r="C16" s="182">
        <f t="shared" si="0"/>
        <v>0</v>
      </c>
      <c r="D16" s="45">
        <f t="shared" si="0"/>
        <v>0</v>
      </c>
      <c r="E16" s="45">
        <f t="shared" ref="E16:F16" si="8">SUM(E34+E52+E70)</f>
        <v>0</v>
      </c>
      <c r="F16" s="45">
        <f t="shared" si="8"/>
        <v>0</v>
      </c>
      <c r="G16" s="259">
        <f t="shared" ref="G16" si="9">SUM(G34+G52+G70)</f>
        <v>0</v>
      </c>
      <c r="H16" s="182">
        <v>0</v>
      </c>
      <c r="I16" s="297" t="str">
        <f>IF('AW Schulen'!$F118=0,"x",(IF('AW Schulen'!$F136=0,"-",D16/'AW Schulen'!$F136)))</f>
        <v>-</v>
      </c>
      <c r="J16" s="297" t="str">
        <f>IF('AW Schulen'!$I118=0,"x",(IF('AW Schulen'!$I136=0,"-",E16/'AW Schulen'!$I136)))</f>
        <v>-</v>
      </c>
      <c r="K16" s="297" t="str">
        <f>IF('AW Schulen'!$L118=0,"x",(IF('AW Schulen'!$L136=0,"-",F16/'AW Schulen'!$L136)))</f>
        <v>-</v>
      </c>
      <c r="L16" s="298" t="str">
        <f>IF('AW Schulen'!$O118=0,"x",(IF('AW Schulen'!$O136=0,"-",G16/'AW Schulen'!$O136)))</f>
        <v>-</v>
      </c>
    </row>
    <row r="17" spans="1:16" ht="9" customHeight="1">
      <c r="A17" s="21" t="s">
        <v>85</v>
      </c>
      <c r="B17" s="120"/>
      <c r="C17" s="182">
        <f t="shared" si="0"/>
        <v>0</v>
      </c>
      <c r="D17" s="42">
        <f t="shared" si="0"/>
        <v>6</v>
      </c>
      <c r="E17" s="42">
        <f t="shared" ref="E17:F17" si="10">SUM(E35+E53+E71)</f>
        <v>6</v>
      </c>
      <c r="F17" s="42">
        <f t="shared" si="10"/>
        <v>6</v>
      </c>
      <c r="G17" s="44">
        <f t="shared" ref="G17" si="11">SUM(G35+G53+G71)</f>
        <v>6</v>
      </c>
      <c r="H17" s="182">
        <v>0</v>
      </c>
      <c r="I17" s="297">
        <f>IF('AW Schulen'!$F119=0,"x",(IF('AW Schulen'!$F137=0,"-",D17/'AW Schulen'!$F137)))</f>
        <v>1</v>
      </c>
      <c r="J17" s="297">
        <f>IF('AW Schulen'!$I119=0,"x",(IF('AW Schulen'!$I137=0,"-",E17/'AW Schulen'!$I137)))</f>
        <v>0.5</v>
      </c>
      <c r="K17" s="297">
        <f>IF('AW Schulen'!$L119=0,"x",(IF('AW Schulen'!$L137=0,"-",F17/'AW Schulen'!$L137)))</f>
        <v>0.5</v>
      </c>
      <c r="L17" s="298">
        <f>IF('AW Schulen'!$O119=0,"x",(IF('AW Schulen'!$O137=0,"-",G17/'AW Schulen'!$O137)))</f>
        <v>1</v>
      </c>
    </row>
    <row r="18" spans="1:16" ht="9" customHeight="1">
      <c r="A18" s="21" t="s">
        <v>86</v>
      </c>
      <c r="B18" s="120"/>
      <c r="C18" s="182">
        <f t="shared" si="0"/>
        <v>0</v>
      </c>
      <c r="D18" s="42">
        <f t="shared" si="0"/>
        <v>0</v>
      </c>
      <c r="E18" s="42">
        <f t="shared" ref="E18:F18" si="12">SUM(E36+E54+E72)</f>
        <v>0</v>
      </c>
      <c r="F18" s="42">
        <f t="shared" si="12"/>
        <v>0</v>
      </c>
      <c r="G18" s="44">
        <f t="shared" ref="G18" si="13">SUM(G36+G54+G72)</f>
        <v>0</v>
      </c>
      <c r="H18" s="182">
        <v>0</v>
      </c>
      <c r="I18" s="182">
        <v>0</v>
      </c>
      <c r="J18" s="182">
        <v>0</v>
      </c>
      <c r="K18" s="182">
        <v>0</v>
      </c>
      <c r="L18" s="196">
        <v>0</v>
      </c>
    </row>
    <row r="19" spans="1:16" ht="9" customHeight="1">
      <c r="A19" s="21" t="s">
        <v>223</v>
      </c>
      <c r="B19" s="120"/>
      <c r="C19" s="182">
        <f t="shared" si="0"/>
        <v>0</v>
      </c>
      <c r="D19" s="45">
        <f t="shared" si="0"/>
        <v>0</v>
      </c>
      <c r="E19" s="45">
        <f t="shared" ref="E19:F19" si="14">SUM(E37+E55+E73)</f>
        <v>0</v>
      </c>
      <c r="F19" s="45">
        <f t="shared" si="14"/>
        <v>0</v>
      </c>
      <c r="G19" s="259">
        <f t="shared" ref="G19" si="15">SUM(G37+G55+G73)</f>
        <v>0</v>
      </c>
      <c r="H19" s="182">
        <v>0</v>
      </c>
      <c r="I19" s="297" t="str">
        <f>IF('AW Schulen'!$F121=0,"x",(IF('AW Schulen'!$F139=0,"-",D19/'AW Schulen'!$F139)))</f>
        <v>-</v>
      </c>
      <c r="J19" s="297" t="str">
        <f>IF('AW Schulen'!$I121=0,"x",(IF('AW Schulen'!$I139=0,"-",E19/'AW Schulen'!$I139)))</f>
        <v>-</v>
      </c>
      <c r="K19" s="297" t="str">
        <f>IF('AW Schulen'!$L121=0,"x",(IF('AW Schulen'!$L139=0,"-",F19/'AW Schulen'!$L139)))</f>
        <v>-</v>
      </c>
      <c r="L19" s="298" t="str">
        <f>IF('AW Schulen'!$O121=0,"x",(IF('AW Schulen'!$O139=0,"-",G19/'AW Schulen'!$O139)))</f>
        <v>-</v>
      </c>
    </row>
    <row r="20" spans="1:16" ht="9" customHeight="1">
      <c r="A20" s="21" t="s">
        <v>88</v>
      </c>
      <c r="B20" s="120"/>
      <c r="C20" s="182">
        <f t="shared" si="0"/>
        <v>0</v>
      </c>
      <c r="D20" s="42">
        <f t="shared" si="0"/>
        <v>0</v>
      </c>
      <c r="E20" s="42">
        <f t="shared" ref="E20:F20" si="16">SUM(E38+E56+E74)</f>
        <v>0</v>
      </c>
      <c r="F20" s="42">
        <f t="shared" si="16"/>
        <v>0</v>
      </c>
      <c r="G20" s="44">
        <f t="shared" ref="G20" si="17">SUM(G38+G56+G74)</f>
        <v>0</v>
      </c>
      <c r="H20" s="182">
        <v>0</v>
      </c>
      <c r="I20" s="182">
        <v>0</v>
      </c>
      <c r="J20" s="182">
        <v>0</v>
      </c>
      <c r="K20" s="182">
        <v>0</v>
      </c>
      <c r="L20" s="196">
        <v>0</v>
      </c>
      <c r="P20" s="201"/>
    </row>
    <row r="21" spans="1:16" ht="9" customHeight="1">
      <c r="A21" s="21" t="s">
        <v>89</v>
      </c>
      <c r="B21" s="120"/>
      <c r="C21" s="182">
        <f t="shared" si="0"/>
        <v>0</v>
      </c>
      <c r="D21" s="42">
        <f t="shared" si="0"/>
        <v>0</v>
      </c>
      <c r="E21" s="42">
        <f t="shared" ref="E21:F21" si="18">SUM(E39+E57+E75)</f>
        <v>0</v>
      </c>
      <c r="F21" s="42">
        <f t="shared" si="18"/>
        <v>0</v>
      </c>
      <c r="G21" s="44">
        <f t="shared" ref="G21" si="19">SUM(G39+G57+G75)</f>
        <v>0</v>
      </c>
      <c r="H21" s="182">
        <v>0</v>
      </c>
      <c r="I21" s="297">
        <f>IF('AW Schulen'!$F123=0,"x",(IF('AW Schulen'!$F141=0,"-",D21/'AW Schulen'!$F141)))</f>
        <v>0</v>
      </c>
      <c r="J21" s="297" t="str">
        <f>IF('AW Schulen'!$I123=0,"x",(IF('AW Schulen'!$I141=0,"-",E21/'AW Schulen'!$I141)))</f>
        <v>-</v>
      </c>
      <c r="K21" s="297" t="str">
        <f>IF('AW Schulen'!$L123=0,"x",(IF('AW Schulen'!$L141=0,"-",F21/'AW Schulen'!$L141)))</f>
        <v>-</v>
      </c>
      <c r="L21" s="298" t="str">
        <f>IF('AW Schulen'!$O123=0,"x",(IF('AW Schulen'!$O141=0,"-",G21/'AW Schulen'!$O141)))</f>
        <v>-</v>
      </c>
    </row>
    <row r="22" spans="1:16" ht="9" customHeight="1">
      <c r="A22" s="21" t="s">
        <v>90</v>
      </c>
      <c r="B22" s="120"/>
      <c r="C22" s="182">
        <f t="shared" si="0"/>
        <v>0</v>
      </c>
      <c r="D22" s="45">
        <f t="shared" si="0"/>
        <v>0</v>
      </c>
      <c r="E22" s="45">
        <f t="shared" ref="E22:F22" si="20">SUM(E40+E58+E76)</f>
        <v>0</v>
      </c>
      <c r="F22" s="45">
        <f t="shared" si="20"/>
        <v>0</v>
      </c>
      <c r="G22" s="259">
        <f t="shared" ref="G22" si="21">SUM(G40+G58+G76)</f>
        <v>0</v>
      </c>
      <c r="H22" s="182">
        <v>0</v>
      </c>
      <c r="I22" s="297" t="str">
        <f>IF('AW Schulen'!$F124=0,"x",(IF('AW Schulen'!$F142=0,"-",D22/'AW Schulen'!$F142)))</f>
        <v>-</v>
      </c>
      <c r="J22" s="297" t="str">
        <f>IF('AW Schulen'!$I124=0,"x",(IF('AW Schulen'!$I142=0,"-",E22/'AW Schulen'!$I142)))</f>
        <v>-</v>
      </c>
      <c r="K22" s="297" t="str">
        <f>IF('AW Schulen'!$L124=0,"x",(IF('AW Schulen'!$L142=0,"-",F22/'AW Schulen'!$L142)))</f>
        <v>-</v>
      </c>
      <c r="L22" s="298" t="str">
        <f>IF('AW Schulen'!$O124=0,"x",(IF('AW Schulen'!$O142=0,"-",G22/'AW Schulen'!$O142)))</f>
        <v>-</v>
      </c>
    </row>
    <row r="23" spans="1:16" ht="9" customHeight="1">
      <c r="A23" s="21" t="s">
        <v>91</v>
      </c>
      <c r="B23" s="120"/>
      <c r="C23" s="182">
        <f t="shared" si="0"/>
        <v>0</v>
      </c>
      <c r="D23" s="45">
        <f t="shared" si="0"/>
        <v>0</v>
      </c>
      <c r="E23" s="45">
        <f t="shared" ref="E23:F23" si="22">SUM(E41+E59+E77)</f>
        <v>0</v>
      </c>
      <c r="F23" s="45">
        <f t="shared" si="22"/>
        <v>0</v>
      </c>
      <c r="G23" s="259">
        <f t="shared" ref="G23" si="23">SUM(G41+G59+G77)</f>
        <v>0</v>
      </c>
      <c r="H23" s="182">
        <v>0</v>
      </c>
      <c r="I23" s="297" t="str">
        <f>IF('AW Schulen'!$F125=0,"x",(IF('AW Schulen'!$F143=0,"-",D23/'AW Schulen'!$F143)))</f>
        <v>-</v>
      </c>
      <c r="J23" s="297" t="str">
        <f>IF('AW Schulen'!$I125=0,"x",(IF('AW Schulen'!$I143=0,"-",E23/'AW Schulen'!$I143)))</f>
        <v>-</v>
      </c>
      <c r="K23" s="297" t="str">
        <f>IF('AW Schulen'!$L125=0,"x",(IF('AW Schulen'!$L143=0,"-",F23/'AW Schulen'!$L143)))</f>
        <v>-</v>
      </c>
      <c r="L23" s="298" t="str">
        <f>IF('AW Schulen'!$O125=0,"x",(IF('AW Schulen'!$O143=0,"-",G23/'AW Schulen'!$O143)))</f>
        <v>-</v>
      </c>
    </row>
    <row r="24" spans="1:16" ht="9" customHeight="1">
      <c r="A24" s="21" t="s">
        <v>92</v>
      </c>
      <c r="B24" s="120"/>
      <c r="C24" s="182">
        <f t="shared" si="0"/>
        <v>0</v>
      </c>
      <c r="D24" s="198">
        <f t="shared" si="0"/>
        <v>0</v>
      </c>
      <c r="E24" s="198">
        <f t="shared" ref="E24:F24" si="24">SUM(E42+E60+E78)</f>
        <v>0</v>
      </c>
      <c r="F24" s="198">
        <f t="shared" si="24"/>
        <v>0</v>
      </c>
      <c r="G24" s="199">
        <f t="shared" ref="G24" si="25">SUM(G42+G60+G78)</f>
        <v>0</v>
      </c>
      <c r="H24" s="182">
        <v>0</v>
      </c>
      <c r="I24" s="297" t="str">
        <f>IF('AW Schulen'!$F126=0,"x",(IF('AW Schulen'!$F144=0,"-",D24/'AW Schulen'!$F144)))</f>
        <v>x</v>
      </c>
      <c r="J24" s="297" t="str">
        <f>IF('AW Schulen'!$I126=0,"x",(IF('AW Schulen'!$I144=0,"-",E24/'AW Schulen'!$I144)))</f>
        <v>x</v>
      </c>
      <c r="K24" s="297" t="str">
        <f>IF('AW Schulen'!$L126=0,"x",(IF('AW Schulen'!$L144=0,"-",F24/'AW Schulen'!$L144)))</f>
        <v>x</v>
      </c>
      <c r="L24" s="298" t="str">
        <f>IF('AW Schulen'!$O126=0,"x",(IF('AW Schulen'!$O144=0,"-",G24/'AW Schulen'!$O144)))</f>
        <v>x</v>
      </c>
    </row>
    <row r="25" spans="1:16" ht="9" customHeight="1">
      <c r="A25" s="21" t="s">
        <v>93</v>
      </c>
      <c r="B25" s="120"/>
      <c r="C25" s="182">
        <f t="shared" si="0"/>
        <v>0</v>
      </c>
      <c r="D25" s="55">
        <f t="shared" si="0"/>
        <v>0</v>
      </c>
      <c r="E25" s="55">
        <f t="shared" ref="E25:F25" si="26">SUM(E43+E61+E79)</f>
        <v>0</v>
      </c>
      <c r="F25" s="55">
        <f t="shared" si="26"/>
        <v>0</v>
      </c>
      <c r="G25" s="56">
        <f t="shared" ref="G25" si="27">SUM(G43+G61+G79)</f>
        <v>0</v>
      </c>
      <c r="H25" s="182">
        <v>0</v>
      </c>
      <c r="I25" s="182">
        <v>0</v>
      </c>
      <c r="J25" s="182">
        <v>0</v>
      </c>
      <c r="K25" s="182">
        <v>0</v>
      </c>
      <c r="L25" s="196">
        <v>0</v>
      </c>
    </row>
    <row r="26" spans="1:16" ht="10.5" customHeight="1">
      <c r="A26" s="21" t="s">
        <v>226</v>
      </c>
      <c r="B26" s="120"/>
      <c r="C26" s="182">
        <f t="shared" si="0"/>
        <v>0</v>
      </c>
      <c r="D26" s="45">
        <f t="shared" si="0"/>
        <v>0</v>
      </c>
      <c r="E26" s="45">
        <f t="shared" ref="E26:F26" si="28">SUM(E44+E62+E80)</f>
        <v>0</v>
      </c>
      <c r="F26" s="45">
        <f t="shared" si="28"/>
        <v>0</v>
      </c>
      <c r="G26" s="259">
        <f t="shared" ref="G26" si="29">SUM(G44+G62+G80)</f>
        <v>0</v>
      </c>
      <c r="H26" s="182">
        <v>0</v>
      </c>
      <c r="I26" s="297" t="str">
        <f>IF('AW Schulen'!$F128=0,"x",(IF('AW Schulen'!$F146=0,"-",D26/'AW Schulen'!$F146)))</f>
        <v>-</v>
      </c>
      <c r="J26" s="297" t="str">
        <f>IF('AW Schulen'!$I128=0,"x",(IF('AW Schulen'!$I146=0,"-",E26/'AW Schulen'!$I146)))</f>
        <v>-</v>
      </c>
      <c r="K26" s="297" t="str">
        <f>IF('AW Schulen'!$L128=0,"x",(IF('AW Schulen'!$L146=0,"-",F26/'AW Schulen'!$L146)))</f>
        <v>-</v>
      </c>
      <c r="L26" s="298" t="str">
        <f>IF('AW Schulen'!$O128=0,"x",(IF('AW Schulen'!$O146=0,"-",G26/'AW Schulen'!$O146)))</f>
        <v>-</v>
      </c>
    </row>
    <row r="27" spans="1:16" ht="9" customHeight="1">
      <c r="A27" s="21" t="s">
        <v>95</v>
      </c>
      <c r="B27" s="120"/>
      <c r="C27" s="182">
        <f t="shared" si="0"/>
        <v>0</v>
      </c>
      <c r="D27" s="42">
        <f t="shared" si="0"/>
        <v>12</v>
      </c>
      <c r="E27" s="42">
        <f t="shared" ref="E27:F27" si="30">SUM(E45+E63+E81)</f>
        <v>16</v>
      </c>
      <c r="F27" s="42">
        <f t="shared" si="30"/>
        <v>16</v>
      </c>
      <c r="G27" s="44">
        <f t="shared" ref="G27" si="31">SUM(G45+G63+G81)</f>
        <v>17</v>
      </c>
      <c r="H27" s="182">
        <v>0</v>
      </c>
      <c r="I27" s="297">
        <f>IF('AW Schulen'!$F129=0,"x",(IF('AW Schulen'!$F147=0,"-",D27/'AW Schulen'!$F147)))</f>
        <v>1</v>
      </c>
      <c r="J27" s="297">
        <f>IF('AW Schulen'!$I129=0,"x",(IF('AW Schulen'!$I147=0,"-",E27/'AW Schulen'!$I147)))</f>
        <v>1</v>
      </c>
      <c r="K27" s="297">
        <f>IF('AW Schulen'!$L129=0,"x",(IF('AW Schulen'!$L147=0,"-",F27/'AW Schulen'!$L147)))</f>
        <v>1</v>
      </c>
      <c r="L27" s="298">
        <f>IF('AW Schulen'!$O129=0,"x",(IF('AW Schulen'!$O147=0,"-",G27/'AW Schulen'!$O147)))</f>
        <v>1</v>
      </c>
    </row>
    <row r="28" spans="1:16" ht="9" customHeight="1">
      <c r="A28" s="21" t="s">
        <v>96</v>
      </c>
      <c r="B28" s="120"/>
      <c r="C28" s="182">
        <f t="shared" ref="C28:D28" si="32">SUM(C46+C64+C82)</f>
        <v>0</v>
      </c>
      <c r="D28" s="42">
        <f t="shared" si="32"/>
        <v>43</v>
      </c>
      <c r="E28" s="42">
        <f t="shared" ref="E28:F28" si="33">SUM(E46+E64+E82)</f>
        <v>40</v>
      </c>
      <c r="F28" s="42">
        <f t="shared" si="33"/>
        <v>49</v>
      </c>
      <c r="G28" s="44">
        <f t="shared" ref="G28" si="34">SUM(G46+G64+G82)</f>
        <v>52</v>
      </c>
      <c r="H28" s="182">
        <v>0</v>
      </c>
      <c r="I28" s="297">
        <f>IF('AW Schulen'!$F130=0,"x",(IF('AW Schulen'!$F148=0,"-",D28/'AW Schulen'!$F148)))</f>
        <v>0.89583333333333337</v>
      </c>
      <c r="J28" s="297">
        <f>IF('AW Schulen'!$I130=0,"x",(IF('AW Schulen'!$I148=0,"-",E28/'AW Schulen'!$I148)))</f>
        <v>0.78431372549019607</v>
      </c>
      <c r="K28" s="297">
        <f>IF('AW Schulen'!$L130=0,"x",(IF('AW Schulen'!$L148=0,"-",F28/'AW Schulen'!$L148)))</f>
        <v>0.875</v>
      </c>
      <c r="L28" s="298">
        <f>IF('AW Schulen'!$O130=0,"x",(IF('AW Schulen'!$O148=0,"-",G28/'AW Schulen'!$O148)))</f>
        <v>0.96296296296296291</v>
      </c>
    </row>
    <row r="29" spans="1:16" ht="12.75" customHeight="1">
      <c r="A29" s="391" t="s">
        <v>98</v>
      </c>
      <c r="B29" s="392"/>
      <c r="C29" s="392"/>
      <c r="D29" s="392"/>
      <c r="E29" s="392"/>
      <c r="F29" s="392"/>
      <c r="G29" s="392"/>
      <c r="H29" s="392"/>
      <c r="I29" s="392"/>
      <c r="J29" s="392"/>
      <c r="K29" s="392"/>
      <c r="L29" s="393"/>
    </row>
    <row r="30" spans="1:16" ht="9" customHeight="1">
      <c r="A30" s="21" t="s">
        <v>173</v>
      </c>
      <c r="B30" s="120"/>
      <c r="C30" s="183">
        <v>0</v>
      </c>
      <c r="D30" s="46">
        <f>[2]GtS!$F$60</f>
        <v>1</v>
      </c>
      <c r="E30" s="46">
        <f>[3]GtS!$F$60</f>
        <v>2</v>
      </c>
      <c r="F30" s="46">
        <f>[4]GtS!$F$60</f>
        <v>4</v>
      </c>
      <c r="G30" s="260">
        <f>[5]GtS!$F$60</f>
        <v>4</v>
      </c>
      <c r="H30" s="183">
        <v>0</v>
      </c>
      <c r="I30" s="299">
        <f>IF('AW Schulen'!$F114=0,"x",(IF('AW Schulen'!$F132=0,"-",D30/'AW Schulen'!$F132)))</f>
        <v>0.33333333333333331</v>
      </c>
      <c r="J30" s="299">
        <f>IF('AW Schulen'!$I114=0,"x",(IF('AW Schulen'!$I132=0,"-",E30/'AW Schulen'!$I132)))</f>
        <v>0.5</v>
      </c>
      <c r="K30" s="299">
        <f>IF('AW Schulen'!$L114=0,"x",(IF('AW Schulen'!$L132=0,"-",F30/'AW Schulen'!$L132)))</f>
        <v>0.66666666666666663</v>
      </c>
      <c r="L30" s="300">
        <f>IF('AW Schulen'!$O114=0,"x",(IF('AW Schulen'!$O132=0,"-",G30/'AW Schulen'!$O132)))</f>
        <v>0.5714285714285714</v>
      </c>
    </row>
    <row r="31" spans="1:16" ht="9" customHeight="1">
      <c r="A31" s="21" t="s">
        <v>81</v>
      </c>
      <c r="B31" s="120"/>
      <c r="C31" s="183">
        <v>0</v>
      </c>
      <c r="D31" s="193">
        <f>[7]GtS!$F$60</f>
        <v>0</v>
      </c>
      <c r="E31" s="193">
        <f>[8]GtS!$F$60</f>
        <v>0</v>
      </c>
      <c r="F31" s="193" t="str">
        <f>[9]GtS!$F$60</f>
        <v xml:space="preserve">                                      -   </v>
      </c>
      <c r="G31" s="194">
        <f>[10]GtS!$F$60</f>
        <v>0</v>
      </c>
      <c r="H31" s="183">
        <v>0</v>
      </c>
      <c r="I31" s="299" t="str">
        <f>IF('AW Schulen'!$F115=0,"x",(IF('AW Schulen'!$F133=0,"-",D31/'AW Schulen'!$F133)))</f>
        <v>x</v>
      </c>
      <c r="J31" s="299" t="str">
        <f>IF('AW Schulen'!$I115=0,"x",(IF('AW Schulen'!$I133=0,"-",E31/'AW Schulen'!$I133)))</f>
        <v>x</v>
      </c>
      <c r="K31" s="299" t="e">
        <f>IF('AW Schulen'!$L115=0,"x",(IF('AW Schulen'!$L133=0,"-",F31/'AW Schulen'!$L133)))</f>
        <v>#VALUE!</v>
      </c>
      <c r="L31" s="300" t="str">
        <f>IF('AW Schulen'!$O115=0,"x",(IF('AW Schulen'!$O133=0,"-",G31/'AW Schulen'!$O133)))</f>
        <v>x</v>
      </c>
    </row>
    <row r="32" spans="1:16" ht="9" customHeight="1">
      <c r="A32" s="21" t="s">
        <v>82</v>
      </c>
      <c r="B32" s="120"/>
      <c r="C32" s="183">
        <v>0</v>
      </c>
      <c r="D32" s="23">
        <f>[12]GtS!$F$60</f>
        <v>4</v>
      </c>
      <c r="E32" s="23">
        <f>[13]GtS!$F$60</f>
        <v>0</v>
      </c>
      <c r="F32" s="23">
        <f>[14]GtS!$F$60</f>
        <v>0</v>
      </c>
      <c r="G32" s="34">
        <f>[15]GtS!$F$60</f>
        <v>1</v>
      </c>
      <c r="H32" s="183">
        <v>0</v>
      </c>
      <c r="I32" s="299">
        <f>IF('AW Schulen'!$F116=0,"x",(IF('AW Schulen'!$F134=0,"-",D32/'AW Schulen'!$F134)))</f>
        <v>0.15384615384615385</v>
      </c>
      <c r="J32" s="299">
        <f>IF('AW Schulen'!$I116=0,"x",(IF('AW Schulen'!$I134=0,"-",E32/'AW Schulen'!$I134)))</f>
        <v>0</v>
      </c>
      <c r="K32" s="299">
        <f>IF('AW Schulen'!$L116=0,"x",(IF('AW Schulen'!$L134=0,"-",F32/'AW Schulen'!$L134)))</f>
        <v>0</v>
      </c>
      <c r="L32" s="300">
        <f>IF('AW Schulen'!$O116=0,"x",(IF('AW Schulen'!$O134=0,"-",G32/'AW Schulen'!$O134)))</f>
        <v>4.1666666666666664E-2</v>
      </c>
    </row>
    <row r="33" spans="1:12" ht="9" customHeight="1">
      <c r="A33" s="21" t="s">
        <v>83</v>
      </c>
      <c r="B33" s="120"/>
      <c r="C33" s="183">
        <v>0</v>
      </c>
      <c r="D33" s="46">
        <f>[17]GtS!$F$60</f>
        <v>0</v>
      </c>
      <c r="E33" s="46">
        <f>[18]GtS!$F$60</f>
        <v>0</v>
      </c>
      <c r="F33" s="46">
        <f>[19]GtS!$F$60</f>
        <v>0</v>
      </c>
      <c r="G33" s="260">
        <f>[20]GtS!$F$60</f>
        <v>0</v>
      </c>
      <c r="H33" s="183">
        <v>0</v>
      </c>
      <c r="I33" s="299" t="str">
        <f>IF('AW Schulen'!$F117=0,"x",(IF('AW Schulen'!$F135=0,"-",D33/'AW Schulen'!$F135)))</f>
        <v>-</v>
      </c>
      <c r="J33" s="299" t="str">
        <f>IF('AW Schulen'!$I117=0,"x",(IF('AW Schulen'!$I135=0,"-",E33/'AW Schulen'!$I135)))</f>
        <v>-</v>
      </c>
      <c r="K33" s="299">
        <f>IF('AW Schulen'!$L117=0,"x",(IF('AW Schulen'!$L135=0,"-",F33/'AW Schulen'!$L135)))</f>
        <v>0</v>
      </c>
      <c r="L33" s="300" t="str">
        <f>IF('AW Schulen'!$O117=0,"x",(IF('AW Schulen'!$O135=0,"-",G33/'AW Schulen'!$O135)))</f>
        <v>-</v>
      </c>
    </row>
    <row r="34" spans="1:12" ht="9" customHeight="1">
      <c r="A34" s="21" t="s">
        <v>84</v>
      </c>
      <c r="B34" s="120"/>
      <c r="C34" s="183">
        <v>0</v>
      </c>
      <c r="D34" s="46">
        <f>[22]GtS!$F$60</f>
        <v>0</v>
      </c>
      <c r="E34" s="46">
        <f>[23]GtS!$F$60</f>
        <v>0</v>
      </c>
      <c r="F34" s="46">
        <f>[24]GtS!$F$60</f>
        <v>0</v>
      </c>
      <c r="G34" s="260">
        <f>[25]GtS!$F$60</f>
        <v>0</v>
      </c>
      <c r="H34" s="183">
        <v>0</v>
      </c>
      <c r="I34" s="299" t="str">
        <f>IF('AW Schulen'!$F118=0,"x",(IF('AW Schulen'!$F136=0,"-",D34/'AW Schulen'!$F136)))</f>
        <v>-</v>
      </c>
      <c r="J34" s="299" t="str">
        <f>IF('AW Schulen'!$I118=0,"x",(IF('AW Schulen'!$I136=0,"-",E34/'AW Schulen'!$I136)))</f>
        <v>-</v>
      </c>
      <c r="K34" s="299" t="str">
        <f>IF('AW Schulen'!$L118=0,"x",(IF('AW Schulen'!$L136=0,"-",F34/'AW Schulen'!$L136)))</f>
        <v>-</v>
      </c>
      <c r="L34" s="300" t="str">
        <f>IF('AW Schulen'!$O118=0,"x",(IF('AW Schulen'!$O136=0,"-",G34/'AW Schulen'!$O136)))</f>
        <v>-</v>
      </c>
    </row>
    <row r="35" spans="1:12" ht="9" customHeight="1">
      <c r="A35" s="21" t="s">
        <v>85</v>
      </c>
      <c r="B35" s="120"/>
      <c r="C35" s="183">
        <v>0</v>
      </c>
      <c r="D35" s="23">
        <f>[27]GtS!$F$60</f>
        <v>1</v>
      </c>
      <c r="E35" s="23">
        <f>[28]GtS!$F$60</f>
        <v>1</v>
      </c>
      <c r="F35" s="23">
        <f>[29]GtS!$F$60</f>
        <v>1</v>
      </c>
      <c r="G35" s="34">
        <f>[30]GtS!$F$60</f>
        <v>1</v>
      </c>
      <c r="H35" s="183">
        <v>0</v>
      </c>
      <c r="I35" s="299">
        <f>IF('AW Schulen'!$F119=0,"x",(IF('AW Schulen'!$F137=0,"-",D35/'AW Schulen'!$F137)))</f>
        <v>0.16666666666666666</v>
      </c>
      <c r="J35" s="299">
        <f>IF('AW Schulen'!$I119=0,"x",(IF('AW Schulen'!$I137=0,"-",E35/'AW Schulen'!$I137)))</f>
        <v>8.3333333333333329E-2</v>
      </c>
      <c r="K35" s="299">
        <f>IF('AW Schulen'!$L119=0,"x",(IF('AW Schulen'!$L137=0,"-",F35/'AW Schulen'!$L137)))</f>
        <v>8.3333333333333329E-2</v>
      </c>
      <c r="L35" s="300">
        <f>IF('AW Schulen'!$O119=0,"x",(IF('AW Schulen'!$O137=0,"-",G35/'AW Schulen'!$O137)))</f>
        <v>0.16666666666666666</v>
      </c>
    </row>
    <row r="36" spans="1:12" ht="9" customHeight="1">
      <c r="A36" s="21" t="s">
        <v>86</v>
      </c>
      <c r="B36" s="120"/>
      <c r="C36" s="183">
        <v>0</v>
      </c>
      <c r="D36" s="23">
        <f>[67]GtS!$F$60</f>
        <v>0</v>
      </c>
      <c r="E36" s="23">
        <f>[68]GtS!$F$60</f>
        <v>0</v>
      </c>
      <c r="F36" s="23">
        <f>[69]GtS!$F$60</f>
        <v>0</v>
      </c>
      <c r="G36" s="34">
        <f>[70]GtS!$F$60</f>
        <v>0</v>
      </c>
      <c r="H36" s="183">
        <v>0</v>
      </c>
      <c r="I36" s="183">
        <v>0</v>
      </c>
      <c r="J36" s="183">
        <v>0</v>
      </c>
      <c r="K36" s="183">
        <v>0</v>
      </c>
      <c r="L36" s="197">
        <v>0</v>
      </c>
    </row>
    <row r="37" spans="1:12" ht="9" customHeight="1">
      <c r="A37" s="21" t="s">
        <v>223</v>
      </c>
      <c r="B37" s="120"/>
      <c r="C37" s="183">
        <v>0</v>
      </c>
      <c r="D37" s="46">
        <f>[32]GtS!$F$60</f>
        <v>0</v>
      </c>
      <c r="E37" s="46">
        <f>[33]GtS!$F$60</f>
        <v>0</v>
      </c>
      <c r="F37" s="46">
        <f>[34]GtS!$F$60</f>
        <v>0</v>
      </c>
      <c r="G37" s="260">
        <f>[35]GtS!$F$60</f>
        <v>0</v>
      </c>
      <c r="H37" s="183">
        <v>0</v>
      </c>
      <c r="I37" s="299" t="str">
        <f>IF('AW Schulen'!$F121=0,"x",(IF('AW Schulen'!$F139=0,"-",D37/'AW Schulen'!$F139)))</f>
        <v>-</v>
      </c>
      <c r="J37" s="299" t="str">
        <f>IF('AW Schulen'!$I121=0,"x",(IF('AW Schulen'!$I139=0,"-",E37/'AW Schulen'!$I139)))</f>
        <v>-</v>
      </c>
      <c r="K37" s="299" t="str">
        <f>IF('AW Schulen'!$L121=0,"x",(IF('AW Schulen'!$L139=0,"-",F37/'AW Schulen'!$L139)))</f>
        <v>-</v>
      </c>
      <c r="L37" s="300" t="str">
        <f>IF('AW Schulen'!$O121=0,"x",(IF('AW Schulen'!$O139=0,"-",G37/'AW Schulen'!$O139)))</f>
        <v>-</v>
      </c>
    </row>
    <row r="38" spans="1:12" ht="9" customHeight="1">
      <c r="A38" s="21" t="s">
        <v>88</v>
      </c>
      <c r="B38" s="120"/>
      <c r="C38" s="183">
        <v>0</v>
      </c>
      <c r="D38" s="23">
        <f>[72]GtS!$F$60</f>
        <v>0</v>
      </c>
      <c r="E38" s="23">
        <f>[73]GtS!$F$60</f>
        <v>0</v>
      </c>
      <c r="F38" s="23">
        <f>[74]GtS!$F$60</f>
        <v>0</v>
      </c>
      <c r="G38" s="34">
        <f>[75]GtS!$F$60</f>
        <v>0</v>
      </c>
      <c r="H38" s="183">
        <v>0</v>
      </c>
      <c r="I38" s="183">
        <v>0</v>
      </c>
      <c r="J38" s="183">
        <v>0</v>
      </c>
      <c r="K38" s="183">
        <v>0</v>
      </c>
      <c r="L38" s="197">
        <v>0</v>
      </c>
    </row>
    <row r="39" spans="1:12" ht="9" customHeight="1">
      <c r="A39" s="21" t="s">
        <v>89</v>
      </c>
      <c r="B39" s="120"/>
      <c r="C39" s="183">
        <v>0</v>
      </c>
      <c r="D39" s="23">
        <f>[37]GtS!$F$60</f>
        <v>0</v>
      </c>
      <c r="E39" s="23">
        <f>[38]GtS!$F$60</f>
        <v>0</v>
      </c>
      <c r="F39" s="23">
        <f>[39]GtS!$F$60</f>
        <v>0</v>
      </c>
      <c r="G39" s="34">
        <f>[40]GtS!$F$60</f>
        <v>0</v>
      </c>
      <c r="H39" s="183">
        <v>0</v>
      </c>
      <c r="I39" s="299">
        <f>IF('AW Schulen'!$F123=0,"x",(IF('AW Schulen'!$F141=0,"-",D39/'AW Schulen'!$F141)))</f>
        <v>0</v>
      </c>
      <c r="J39" s="299" t="str">
        <f>IF('AW Schulen'!$I123=0,"x",(IF('AW Schulen'!$I141=0,"-",E39/'AW Schulen'!$I141)))</f>
        <v>-</v>
      </c>
      <c r="K39" s="299" t="str">
        <f>IF('AW Schulen'!$L123=0,"x",(IF('AW Schulen'!$L141=0,"-",F39/'AW Schulen'!$L141)))</f>
        <v>-</v>
      </c>
      <c r="L39" s="300" t="str">
        <f>IF('AW Schulen'!$O123=0,"x",(IF('AW Schulen'!$O141=0,"-",G39/'AW Schulen'!$O141)))</f>
        <v>-</v>
      </c>
    </row>
    <row r="40" spans="1:12" ht="9" customHeight="1">
      <c r="A40" s="21" t="s">
        <v>90</v>
      </c>
      <c r="B40" s="120"/>
      <c r="C40" s="183">
        <v>0</v>
      </c>
      <c r="D40" s="46">
        <f>[42]GtS!$F$60</f>
        <v>0</v>
      </c>
      <c r="E40" s="46">
        <f>[43]GtS!$F$60</f>
        <v>0</v>
      </c>
      <c r="F40" s="46">
        <f>[44]GtS!$F$60</f>
        <v>0</v>
      </c>
      <c r="G40" s="260">
        <f>[45]GtS!$F$60</f>
        <v>0</v>
      </c>
      <c r="H40" s="183">
        <v>0</v>
      </c>
      <c r="I40" s="299" t="str">
        <f>IF('AW Schulen'!$F124=0,"x",(IF('AW Schulen'!$F142=0,"-",D40/'AW Schulen'!$F142)))</f>
        <v>-</v>
      </c>
      <c r="J40" s="299" t="str">
        <f>IF('AW Schulen'!$I124=0,"x",(IF('AW Schulen'!$I142=0,"-",E40/'AW Schulen'!$I142)))</f>
        <v>-</v>
      </c>
      <c r="K40" s="299" t="str">
        <f>IF('AW Schulen'!$L124=0,"x",(IF('AW Schulen'!$L142=0,"-",F40/'AW Schulen'!$L142)))</f>
        <v>-</v>
      </c>
      <c r="L40" s="300" t="str">
        <f>IF('AW Schulen'!$O124=0,"x",(IF('AW Schulen'!$O142=0,"-",G40/'AW Schulen'!$O142)))</f>
        <v>-</v>
      </c>
    </row>
    <row r="41" spans="1:12" ht="9" customHeight="1">
      <c r="A41" s="21" t="s">
        <v>91</v>
      </c>
      <c r="B41" s="120"/>
      <c r="C41" s="183">
        <v>0</v>
      </c>
      <c r="D41" s="46">
        <f>[47]GtS!$F$60</f>
        <v>0</v>
      </c>
      <c r="E41" s="46">
        <f>[48]GtS!$F$60</f>
        <v>0</v>
      </c>
      <c r="F41" s="46">
        <f>[49]GtS!$F$60</f>
        <v>0</v>
      </c>
      <c r="G41" s="260">
        <f>[50]GtS!$F$60</f>
        <v>0</v>
      </c>
      <c r="H41" s="183">
        <v>0</v>
      </c>
      <c r="I41" s="299" t="str">
        <f>IF('AW Schulen'!$F125=0,"x",(IF('AW Schulen'!$F143=0,"-",D41/'AW Schulen'!$F143)))</f>
        <v>-</v>
      </c>
      <c r="J41" s="299" t="str">
        <f>IF('AW Schulen'!$I125=0,"x",(IF('AW Schulen'!$I143=0,"-",E41/'AW Schulen'!$I143)))</f>
        <v>-</v>
      </c>
      <c r="K41" s="299" t="str">
        <f>IF('AW Schulen'!$L125=0,"x",(IF('AW Schulen'!$L143=0,"-",F41/'AW Schulen'!$L143)))</f>
        <v>-</v>
      </c>
      <c r="L41" s="300" t="str">
        <f>IF('AW Schulen'!$O125=0,"x",(IF('AW Schulen'!$O143=0,"-",G41/'AW Schulen'!$O143)))</f>
        <v>-</v>
      </c>
    </row>
    <row r="42" spans="1:12" ht="9" customHeight="1">
      <c r="A42" s="21" t="s">
        <v>92</v>
      </c>
      <c r="B42" s="120"/>
      <c r="C42" s="183">
        <v>0</v>
      </c>
      <c r="D42" s="193">
        <f>[52]GtS!$F$60</f>
        <v>0</v>
      </c>
      <c r="E42" s="193">
        <f>[53]GtS!$F$60</f>
        <v>0</v>
      </c>
      <c r="F42" s="193">
        <f>[54]GtS!$F$60</f>
        <v>0</v>
      </c>
      <c r="G42" s="194">
        <f>[55]GtS!$F$60</f>
        <v>0</v>
      </c>
      <c r="H42" s="183">
        <v>0</v>
      </c>
      <c r="I42" s="299" t="str">
        <f>IF('AW Schulen'!$F126=0,"x",(IF('AW Schulen'!$F144=0,"-",D42/'AW Schulen'!$F144)))</f>
        <v>x</v>
      </c>
      <c r="J42" s="299" t="str">
        <f>IF('AW Schulen'!$I126=0,"x",(IF('AW Schulen'!$I144=0,"-",E42/'AW Schulen'!$I144)))</f>
        <v>x</v>
      </c>
      <c r="K42" s="299" t="str">
        <f>IF('AW Schulen'!$L126=0,"x",(IF('AW Schulen'!$L144=0,"-",F42/'AW Schulen'!$L144)))</f>
        <v>x</v>
      </c>
      <c r="L42" s="300" t="str">
        <f>IF('AW Schulen'!$O126=0,"x",(IF('AW Schulen'!$O144=0,"-",G42/'AW Schulen'!$O144)))</f>
        <v>x</v>
      </c>
    </row>
    <row r="43" spans="1:12" ht="9" customHeight="1">
      <c r="A43" s="21" t="s">
        <v>93</v>
      </c>
      <c r="B43" s="120"/>
      <c r="C43" s="183">
        <v>0</v>
      </c>
      <c r="D43" s="36">
        <f>[77]GtS!$F$60</f>
        <v>0</v>
      </c>
      <c r="E43" s="36">
        <f>[78]GtS!$F$60</f>
        <v>0</v>
      </c>
      <c r="F43" s="36">
        <f>[79]GtS!$F$60</f>
        <v>0</v>
      </c>
      <c r="G43" s="37">
        <f>[80]GtS!$F$60</f>
        <v>0</v>
      </c>
      <c r="H43" s="183">
        <v>0</v>
      </c>
      <c r="I43" s="183">
        <v>0</v>
      </c>
      <c r="J43" s="183">
        <v>0</v>
      </c>
      <c r="K43" s="183">
        <v>0</v>
      </c>
      <c r="L43" s="197">
        <v>0</v>
      </c>
    </row>
    <row r="44" spans="1:12" ht="10.5" customHeight="1">
      <c r="A44" s="21" t="s">
        <v>226</v>
      </c>
      <c r="B44" s="120"/>
      <c r="C44" s="183">
        <v>0</v>
      </c>
      <c r="D44" s="46">
        <f>[57]GtS!$F$60</f>
        <v>0</v>
      </c>
      <c r="E44" s="46">
        <f>[58]GtS!$F$60</f>
        <v>0</v>
      </c>
      <c r="F44" s="46">
        <f>[59]GtS!$F$60</f>
        <v>0</v>
      </c>
      <c r="G44" s="260">
        <f>[60]GtS!$F$60</f>
        <v>0</v>
      </c>
      <c r="H44" s="183">
        <v>0</v>
      </c>
      <c r="I44" s="299" t="str">
        <f>IF('AW Schulen'!$F128=0,"x",(IF('AW Schulen'!$F146=0,"-",D44/'AW Schulen'!$F146)))</f>
        <v>-</v>
      </c>
      <c r="J44" s="299" t="str">
        <f>IF('AW Schulen'!$I128=0,"x",(IF('AW Schulen'!$I146=0,"-",E44/'AW Schulen'!$I146)))</f>
        <v>-</v>
      </c>
      <c r="K44" s="299" t="str">
        <f>IF('AW Schulen'!$L128=0,"x",(IF('AW Schulen'!$L146=0,"-",F44/'AW Schulen'!$L146)))</f>
        <v>-</v>
      </c>
      <c r="L44" s="300" t="str">
        <f>IF('AW Schulen'!$O128=0,"x",(IF('AW Schulen'!$O146=0,"-",G44/'AW Schulen'!$O146)))</f>
        <v>-</v>
      </c>
    </row>
    <row r="45" spans="1:12" ht="9" customHeight="1">
      <c r="A45" s="21" t="s">
        <v>95</v>
      </c>
      <c r="B45" s="120"/>
      <c r="C45" s="183">
        <v>0</v>
      </c>
      <c r="D45" s="23">
        <f>[62]GtS!$F$60</f>
        <v>11</v>
      </c>
      <c r="E45" s="23">
        <f>[63]GtS!$F$60</f>
        <v>15</v>
      </c>
      <c r="F45" s="23">
        <f>[64]GtS!$F$60</f>
        <v>14</v>
      </c>
      <c r="G45" s="34">
        <f>[65]GtS!$F$60</f>
        <v>16</v>
      </c>
      <c r="H45" s="183">
        <v>0</v>
      </c>
      <c r="I45" s="299">
        <f>IF('AW Schulen'!$F129=0,"x",(IF('AW Schulen'!$F147=0,"-",D45/'AW Schulen'!$F147)))</f>
        <v>0.91666666666666663</v>
      </c>
      <c r="J45" s="299">
        <f>IF('AW Schulen'!$I129=0,"x",(IF('AW Schulen'!$I147=0,"-",E45/'AW Schulen'!$I147)))</f>
        <v>0.9375</v>
      </c>
      <c r="K45" s="299">
        <f>IF('AW Schulen'!$L129=0,"x",(IF('AW Schulen'!$L147=0,"-",F45/'AW Schulen'!$L147)))</f>
        <v>0.875</v>
      </c>
      <c r="L45" s="300">
        <f>IF('AW Schulen'!$O129=0,"x",(IF('AW Schulen'!$O147=0,"-",G45/'AW Schulen'!$O147)))</f>
        <v>0.94117647058823528</v>
      </c>
    </row>
    <row r="46" spans="1:12" ht="9" customHeight="1">
      <c r="A46" s="21" t="s">
        <v>96</v>
      </c>
      <c r="B46" s="120"/>
      <c r="C46" s="183">
        <v>0</v>
      </c>
      <c r="D46" s="23">
        <f t="shared" ref="D46:E46" si="35">SUM(D30:D45)</f>
        <v>17</v>
      </c>
      <c r="E46" s="23">
        <f t="shared" si="35"/>
        <v>18</v>
      </c>
      <c r="F46" s="23">
        <f t="shared" ref="F46:G46" si="36">SUM(F30:F45)</f>
        <v>19</v>
      </c>
      <c r="G46" s="34">
        <f t="shared" si="36"/>
        <v>22</v>
      </c>
      <c r="H46" s="183">
        <v>0</v>
      </c>
      <c r="I46" s="299">
        <f>IF('AW Schulen'!$F130=0,"x",(IF('AW Schulen'!$F148=0,"-",D46/'AW Schulen'!$F148)))</f>
        <v>0.35416666666666669</v>
      </c>
      <c r="J46" s="299">
        <f>IF('AW Schulen'!$I130=0,"x",(IF('AW Schulen'!$I148=0,"-",E46/'AW Schulen'!$I148)))</f>
        <v>0.35294117647058826</v>
      </c>
      <c r="K46" s="299">
        <f>IF('AW Schulen'!$L130=0,"x",(IF('AW Schulen'!$L148=0,"-",F46/'AW Schulen'!$L148)))</f>
        <v>0.3392857142857143</v>
      </c>
      <c r="L46" s="300">
        <f>IF('AW Schulen'!$O130=0,"x",(IF('AW Schulen'!$O148=0,"-",G46/'AW Schulen'!$O148)))</f>
        <v>0.40740740740740738</v>
      </c>
    </row>
    <row r="47" spans="1:12" ht="12.75" customHeight="1">
      <c r="A47" s="391" t="s">
        <v>99</v>
      </c>
      <c r="B47" s="392"/>
      <c r="C47" s="392"/>
      <c r="D47" s="392"/>
      <c r="E47" s="392"/>
      <c r="F47" s="392"/>
      <c r="G47" s="392"/>
      <c r="H47" s="392"/>
      <c r="I47" s="392"/>
      <c r="J47" s="392"/>
      <c r="K47" s="392"/>
      <c r="L47" s="393"/>
    </row>
    <row r="48" spans="1:12" ht="9" customHeight="1">
      <c r="A48" s="21" t="s">
        <v>173</v>
      </c>
      <c r="B48" s="120"/>
      <c r="C48" s="183">
        <v>0</v>
      </c>
      <c r="D48" s="46">
        <f>[2]GtS!$G$60</f>
        <v>0</v>
      </c>
      <c r="E48" s="46">
        <f>[3]GtS!$G$60</f>
        <v>1</v>
      </c>
      <c r="F48" s="46">
        <f>[4]GtS!$G$60</f>
        <v>1</v>
      </c>
      <c r="G48" s="260">
        <f>[5]GtS!$G$60</f>
        <v>1</v>
      </c>
      <c r="H48" s="183">
        <v>0</v>
      </c>
      <c r="I48" s="299">
        <f>IF('AW Schulen'!$F114=0,"x",(IF('AW Schulen'!$F132=0,"-",D48/'AW Schulen'!$F132)))</f>
        <v>0</v>
      </c>
      <c r="J48" s="299">
        <f>IF('AW Schulen'!$I114=0,"x",(IF('AW Schulen'!$I132=0,"-",E48/'AW Schulen'!$I132)))</f>
        <v>0.25</v>
      </c>
      <c r="K48" s="299">
        <f>IF('AW Schulen'!$L114=0,"x",(IF('AW Schulen'!$L132=0,"-",F48/'AW Schulen'!$L132)))</f>
        <v>0.16666666666666666</v>
      </c>
      <c r="L48" s="300">
        <f>IF('AW Schulen'!$O114=0,"x",(IF('AW Schulen'!$O132=0,"-",G48/'AW Schulen'!$O132)))</f>
        <v>0.14285714285714285</v>
      </c>
    </row>
    <row r="49" spans="1:12" ht="9" customHeight="1">
      <c r="A49" s="21" t="s">
        <v>81</v>
      </c>
      <c r="B49" s="120"/>
      <c r="C49" s="183">
        <v>0</v>
      </c>
      <c r="D49" s="193">
        <f>[7]GtS!$G$60</f>
        <v>0</v>
      </c>
      <c r="E49" s="193">
        <f>[8]GtS!$G$60</f>
        <v>0</v>
      </c>
      <c r="F49" s="193" t="str">
        <f>[9]GtS!$G$60</f>
        <v xml:space="preserve">                                      -   </v>
      </c>
      <c r="G49" s="194">
        <f>[10]GtS!$G$60</f>
        <v>0</v>
      </c>
      <c r="H49" s="183">
        <v>0</v>
      </c>
      <c r="I49" s="299" t="str">
        <f>IF('AW Schulen'!$F115=0,"x",(IF('AW Schulen'!$F133=0,"-",D49/'AW Schulen'!$F133)))</f>
        <v>x</v>
      </c>
      <c r="J49" s="299" t="str">
        <f>IF('AW Schulen'!$I115=0,"x",(IF('AW Schulen'!$I133=0,"-",E49/'AW Schulen'!$I133)))</f>
        <v>x</v>
      </c>
      <c r="K49" s="299" t="e">
        <f>IF('AW Schulen'!$L115=0,"x",(IF('AW Schulen'!$L133=0,"-",F49/'AW Schulen'!$L133)))</f>
        <v>#VALUE!</v>
      </c>
      <c r="L49" s="300" t="str">
        <f>IF('AW Schulen'!$O115=0,"x",(IF('AW Schulen'!$O133=0,"-",G49/'AW Schulen'!$O133)))</f>
        <v>x</v>
      </c>
    </row>
    <row r="50" spans="1:12" ht="9" customHeight="1">
      <c r="A50" s="21" t="s">
        <v>82</v>
      </c>
      <c r="B50" s="120"/>
      <c r="C50" s="183">
        <v>0</v>
      </c>
      <c r="D50" s="23">
        <f>[12]GtS!$G$60</f>
        <v>2</v>
      </c>
      <c r="E50" s="23">
        <f>[13]GtS!$G$60</f>
        <v>0</v>
      </c>
      <c r="F50" s="23">
        <f>[14]GtS!$G$60</f>
        <v>0</v>
      </c>
      <c r="G50" s="34">
        <f>[15]GtS!$G$60</f>
        <v>0</v>
      </c>
      <c r="H50" s="183">
        <v>0</v>
      </c>
      <c r="I50" s="299">
        <f>IF('AW Schulen'!$F116=0,"x",(IF('AW Schulen'!$F134=0,"-",D50/'AW Schulen'!$F134)))</f>
        <v>7.6923076923076927E-2</v>
      </c>
      <c r="J50" s="299">
        <f>IF('AW Schulen'!$I116=0,"x",(IF('AW Schulen'!$I134=0,"-",E50/'AW Schulen'!$I134)))</f>
        <v>0</v>
      </c>
      <c r="K50" s="299">
        <f>IF('AW Schulen'!$L116=0,"x",(IF('AW Schulen'!$L134=0,"-",F50/'AW Schulen'!$L134)))</f>
        <v>0</v>
      </c>
      <c r="L50" s="300">
        <f>IF('AW Schulen'!$O116=0,"x",(IF('AW Schulen'!$O134=0,"-",G50/'AW Schulen'!$O134)))</f>
        <v>0</v>
      </c>
    </row>
    <row r="51" spans="1:12" ht="9" customHeight="1">
      <c r="A51" s="21" t="s">
        <v>83</v>
      </c>
      <c r="B51" s="120"/>
      <c r="C51" s="183">
        <v>0</v>
      </c>
      <c r="D51" s="46">
        <f>[17]GtS!$G$60</f>
        <v>0</v>
      </c>
      <c r="E51" s="46">
        <f>[18]GtS!$G$60</f>
        <v>0</v>
      </c>
      <c r="F51" s="46">
        <f>[19]GtS!$G$60</f>
        <v>0</v>
      </c>
      <c r="G51" s="260">
        <f>[20]GtS!$G$60</f>
        <v>0</v>
      </c>
      <c r="H51" s="183">
        <v>0</v>
      </c>
      <c r="I51" s="299" t="str">
        <f>IF('AW Schulen'!$F117=0,"x",(IF('AW Schulen'!$F135=0,"-",D51/'AW Schulen'!$F135)))</f>
        <v>-</v>
      </c>
      <c r="J51" s="299" t="str">
        <f>IF('AW Schulen'!$I117=0,"x",(IF('AW Schulen'!$I135=0,"-",E51/'AW Schulen'!$I135)))</f>
        <v>-</v>
      </c>
      <c r="K51" s="299">
        <f>IF('AW Schulen'!$L117=0,"x",(IF('AW Schulen'!$L135=0,"-",F51/'AW Schulen'!$L135)))</f>
        <v>0</v>
      </c>
      <c r="L51" s="300" t="str">
        <f>IF('AW Schulen'!$O117=0,"x",(IF('AW Schulen'!$O135=0,"-",G51/'AW Schulen'!$O135)))</f>
        <v>-</v>
      </c>
    </row>
    <row r="52" spans="1:12" ht="9" customHeight="1">
      <c r="A52" s="21" t="s">
        <v>84</v>
      </c>
      <c r="B52" s="120"/>
      <c r="C52" s="183">
        <v>0</v>
      </c>
      <c r="D52" s="46">
        <f>[22]GtS!$G$60</f>
        <v>0</v>
      </c>
      <c r="E52" s="46">
        <f>[23]GtS!$G$60</f>
        <v>0</v>
      </c>
      <c r="F52" s="46">
        <f>[24]GtS!$G$60</f>
        <v>0</v>
      </c>
      <c r="G52" s="260">
        <f>[25]GtS!$G$60</f>
        <v>0</v>
      </c>
      <c r="H52" s="183">
        <v>0</v>
      </c>
      <c r="I52" s="299" t="str">
        <f>IF('AW Schulen'!$F118=0,"x",(IF('AW Schulen'!$F136=0,"-",D52/'AW Schulen'!$F136)))</f>
        <v>-</v>
      </c>
      <c r="J52" s="299" t="str">
        <f>IF('AW Schulen'!$I118=0,"x",(IF('AW Schulen'!$I136=0,"-",E52/'AW Schulen'!$I136)))</f>
        <v>-</v>
      </c>
      <c r="K52" s="299" t="str">
        <f>IF('AW Schulen'!$L118=0,"x",(IF('AW Schulen'!$L136=0,"-",F52/'AW Schulen'!$L136)))</f>
        <v>-</v>
      </c>
      <c r="L52" s="300" t="str">
        <f>IF('AW Schulen'!$O118=0,"x",(IF('AW Schulen'!$O136=0,"-",G52/'AW Schulen'!$O136)))</f>
        <v>-</v>
      </c>
    </row>
    <row r="53" spans="1:12" ht="9" customHeight="1">
      <c r="A53" s="21" t="s">
        <v>85</v>
      </c>
      <c r="B53" s="120"/>
      <c r="C53" s="183">
        <v>0</v>
      </c>
      <c r="D53" s="23">
        <f>[27]GtS!$G$60</f>
        <v>0</v>
      </c>
      <c r="E53" s="23">
        <f>[28]GtS!$G$60</f>
        <v>0</v>
      </c>
      <c r="F53" s="23">
        <f>[29]GtS!$G$60</f>
        <v>0</v>
      </c>
      <c r="G53" s="34">
        <f>[30]GtS!$G$60</f>
        <v>0</v>
      </c>
      <c r="H53" s="183">
        <v>0</v>
      </c>
      <c r="I53" s="299">
        <f>IF('AW Schulen'!$F119=0,"x",(IF('AW Schulen'!$F137=0,"-",D53/'AW Schulen'!$F137)))</f>
        <v>0</v>
      </c>
      <c r="J53" s="299">
        <f>IF('AW Schulen'!$I119=0,"x",(IF('AW Schulen'!$I137=0,"-",E53/'AW Schulen'!$I137)))</f>
        <v>0</v>
      </c>
      <c r="K53" s="299">
        <f>IF('AW Schulen'!$L119=0,"x",(IF('AW Schulen'!$L137=0,"-",F53/'AW Schulen'!$L137)))</f>
        <v>0</v>
      </c>
      <c r="L53" s="300">
        <f>IF('AW Schulen'!$O119=0,"x",(IF('AW Schulen'!$O137=0,"-",G53/'AW Schulen'!$O137)))</f>
        <v>0</v>
      </c>
    </row>
    <row r="54" spans="1:12" ht="9" customHeight="1">
      <c r="A54" s="21" t="s">
        <v>86</v>
      </c>
      <c r="B54" s="120"/>
      <c r="C54" s="183">
        <v>0</v>
      </c>
      <c r="D54" s="23">
        <f>[67]GtS!$G$60</f>
        <v>0</v>
      </c>
      <c r="E54" s="23">
        <f>[68]GtS!$G$60</f>
        <v>0</v>
      </c>
      <c r="F54" s="23">
        <f>[69]GtS!$G$60</f>
        <v>0</v>
      </c>
      <c r="G54" s="34">
        <f>[70]GtS!$G$60</f>
        <v>0</v>
      </c>
      <c r="H54" s="183">
        <v>0</v>
      </c>
      <c r="I54" s="183">
        <v>0</v>
      </c>
      <c r="J54" s="183">
        <v>0</v>
      </c>
      <c r="K54" s="183">
        <v>0</v>
      </c>
      <c r="L54" s="197">
        <v>0</v>
      </c>
    </row>
    <row r="55" spans="1:12" ht="9" customHeight="1">
      <c r="A55" s="21" t="s">
        <v>223</v>
      </c>
      <c r="B55" s="120"/>
      <c r="C55" s="183">
        <v>0</v>
      </c>
      <c r="D55" s="46">
        <f>[32]GtS!$G$60</f>
        <v>0</v>
      </c>
      <c r="E55" s="46">
        <f>[33]GtS!$G$60</f>
        <v>0</v>
      </c>
      <c r="F55" s="46">
        <f>[34]GtS!$G$60</f>
        <v>0</v>
      </c>
      <c r="G55" s="260">
        <f>[35]GtS!$G$60</f>
        <v>0</v>
      </c>
      <c r="H55" s="183">
        <v>0</v>
      </c>
      <c r="I55" s="299" t="str">
        <f>IF('AW Schulen'!$F121=0,"x",(IF('AW Schulen'!$F139=0,"-",D55/'AW Schulen'!$F139)))</f>
        <v>-</v>
      </c>
      <c r="J55" s="299" t="str">
        <f>IF('AW Schulen'!$I121=0,"x",(IF('AW Schulen'!$I139=0,"-",E55/'AW Schulen'!$I139)))</f>
        <v>-</v>
      </c>
      <c r="K55" s="299" t="str">
        <f>IF('AW Schulen'!$L121=0,"x",(IF('AW Schulen'!$L139=0,"-",F55/'AW Schulen'!$L139)))</f>
        <v>-</v>
      </c>
      <c r="L55" s="300" t="str">
        <f>IF('AW Schulen'!$O121=0,"x",(IF('AW Schulen'!$O139=0,"-",G55/'AW Schulen'!$O139)))</f>
        <v>-</v>
      </c>
    </row>
    <row r="56" spans="1:12" ht="9" customHeight="1">
      <c r="A56" s="21" t="s">
        <v>88</v>
      </c>
      <c r="B56" s="120"/>
      <c r="C56" s="183">
        <v>0</v>
      </c>
      <c r="D56" s="23">
        <f>[72]GtS!$G$60</f>
        <v>0</v>
      </c>
      <c r="E56" s="23">
        <f>[73]GtS!$G$60</f>
        <v>0</v>
      </c>
      <c r="F56" s="23">
        <f>[74]GtS!$G$60</f>
        <v>0</v>
      </c>
      <c r="G56" s="34">
        <f>[75]GtS!$G$60</f>
        <v>0</v>
      </c>
      <c r="H56" s="183">
        <v>0</v>
      </c>
      <c r="I56" s="183">
        <v>0</v>
      </c>
      <c r="J56" s="183">
        <v>0</v>
      </c>
      <c r="K56" s="183">
        <v>0</v>
      </c>
      <c r="L56" s="197">
        <v>0</v>
      </c>
    </row>
    <row r="57" spans="1:12" ht="9" customHeight="1">
      <c r="A57" s="21" t="s">
        <v>89</v>
      </c>
      <c r="B57" s="120"/>
      <c r="C57" s="183">
        <v>0</v>
      </c>
      <c r="D57" s="23">
        <f>[37]GtS!$G$60</f>
        <v>0</v>
      </c>
      <c r="E57" s="23">
        <f>[38]GtS!$G$60</f>
        <v>0</v>
      </c>
      <c r="F57" s="23">
        <f>[39]GtS!$G$60</f>
        <v>0</v>
      </c>
      <c r="G57" s="34">
        <f>[40]GtS!$G$60</f>
        <v>0</v>
      </c>
      <c r="H57" s="183">
        <v>0</v>
      </c>
      <c r="I57" s="299">
        <f>IF('AW Schulen'!$F123=0,"x",(IF('AW Schulen'!$F141=0,"-",D57/'AW Schulen'!$F141)))</f>
        <v>0</v>
      </c>
      <c r="J57" s="299" t="str">
        <f>IF('AW Schulen'!$I123=0,"x",(IF('AW Schulen'!$I141=0,"-",E57/'AW Schulen'!$I141)))</f>
        <v>-</v>
      </c>
      <c r="K57" s="299" t="str">
        <f>IF('AW Schulen'!$L123=0,"x",(IF('AW Schulen'!$L141=0,"-",F57/'AW Schulen'!$L141)))</f>
        <v>-</v>
      </c>
      <c r="L57" s="300" t="str">
        <f>IF('AW Schulen'!$O123=0,"x",(IF('AW Schulen'!$O141=0,"-",G57/'AW Schulen'!$O141)))</f>
        <v>-</v>
      </c>
    </row>
    <row r="58" spans="1:12" ht="9" customHeight="1">
      <c r="A58" s="21" t="s">
        <v>90</v>
      </c>
      <c r="B58" s="120"/>
      <c r="C58" s="183">
        <v>0</v>
      </c>
      <c r="D58" s="46">
        <f>[42]GtS!$G$60</f>
        <v>0</v>
      </c>
      <c r="E58" s="46">
        <f>[43]GtS!$G$60</f>
        <v>0</v>
      </c>
      <c r="F58" s="46">
        <f>[44]GtS!$G$60</f>
        <v>0</v>
      </c>
      <c r="G58" s="260">
        <f>[45]GtS!$G$60</f>
        <v>0</v>
      </c>
      <c r="H58" s="183">
        <v>0</v>
      </c>
      <c r="I58" s="299" t="str">
        <f>IF('AW Schulen'!$F124=0,"x",(IF('AW Schulen'!$F142=0,"-",D58/'AW Schulen'!$F142)))</f>
        <v>-</v>
      </c>
      <c r="J58" s="299" t="str">
        <f>IF('AW Schulen'!$I124=0,"x",(IF('AW Schulen'!$I142=0,"-",E58/'AW Schulen'!$I142)))</f>
        <v>-</v>
      </c>
      <c r="K58" s="299" t="str">
        <f>IF('AW Schulen'!$L124=0,"x",(IF('AW Schulen'!$L142=0,"-",F58/'AW Schulen'!$L142)))</f>
        <v>-</v>
      </c>
      <c r="L58" s="300" t="str">
        <f>IF('AW Schulen'!$O124=0,"x",(IF('AW Schulen'!$O142=0,"-",G58/'AW Schulen'!$O142)))</f>
        <v>-</v>
      </c>
    </row>
    <row r="59" spans="1:12" ht="9" customHeight="1">
      <c r="A59" s="21" t="s">
        <v>91</v>
      </c>
      <c r="B59" s="120"/>
      <c r="C59" s="183">
        <v>0</v>
      </c>
      <c r="D59" s="46">
        <f>[47]GtS!$G$60</f>
        <v>0</v>
      </c>
      <c r="E59" s="46">
        <f>[48]GtS!$G$60</f>
        <v>0</v>
      </c>
      <c r="F59" s="46">
        <f>[49]GtS!$G$60</f>
        <v>0</v>
      </c>
      <c r="G59" s="260">
        <f>[50]GtS!$G$60</f>
        <v>0</v>
      </c>
      <c r="H59" s="183">
        <v>0</v>
      </c>
      <c r="I59" s="299" t="str">
        <f>IF('AW Schulen'!$F125=0,"x",(IF('AW Schulen'!$F143=0,"-",D59/'AW Schulen'!$F143)))</f>
        <v>-</v>
      </c>
      <c r="J59" s="299" t="str">
        <f>IF('AW Schulen'!$I125=0,"x",(IF('AW Schulen'!$I143=0,"-",E59/'AW Schulen'!$I143)))</f>
        <v>-</v>
      </c>
      <c r="K59" s="299" t="str">
        <f>IF('AW Schulen'!$L125=0,"x",(IF('AW Schulen'!$L143=0,"-",F59/'AW Schulen'!$L143)))</f>
        <v>-</v>
      </c>
      <c r="L59" s="300" t="str">
        <f>IF('AW Schulen'!$O125=0,"x",(IF('AW Schulen'!$O143=0,"-",G59/'AW Schulen'!$O143)))</f>
        <v>-</v>
      </c>
    </row>
    <row r="60" spans="1:12" ht="9" customHeight="1">
      <c r="A60" s="21" t="s">
        <v>92</v>
      </c>
      <c r="B60" s="120"/>
      <c r="C60" s="183">
        <v>0</v>
      </c>
      <c r="D60" s="193">
        <f>[52]GtS!$G$60</f>
        <v>0</v>
      </c>
      <c r="E60" s="193">
        <f>[53]GtS!$G$60</f>
        <v>0</v>
      </c>
      <c r="F60" s="193">
        <f>[54]GtS!$G$60</f>
        <v>0</v>
      </c>
      <c r="G60" s="194">
        <f>[55]GtS!$G$60</f>
        <v>0</v>
      </c>
      <c r="H60" s="183">
        <v>0</v>
      </c>
      <c r="I60" s="299" t="str">
        <f>IF('AW Schulen'!$F126=0,"x",(IF('AW Schulen'!$F144=0,"-",D60/'AW Schulen'!$F144)))</f>
        <v>x</v>
      </c>
      <c r="J60" s="299" t="str">
        <f>IF('AW Schulen'!$I126=0,"x",(IF('AW Schulen'!$I144=0,"-",E60/'AW Schulen'!$I144)))</f>
        <v>x</v>
      </c>
      <c r="K60" s="299" t="str">
        <f>IF('AW Schulen'!$L126=0,"x",(IF('AW Schulen'!$L144=0,"-",F60/'AW Schulen'!$L144)))</f>
        <v>x</v>
      </c>
      <c r="L60" s="300" t="str">
        <f>IF('AW Schulen'!$O126=0,"x",(IF('AW Schulen'!$O144=0,"-",G60/'AW Schulen'!$O144)))</f>
        <v>x</v>
      </c>
    </row>
    <row r="61" spans="1:12" ht="9" customHeight="1">
      <c r="A61" s="21" t="s">
        <v>93</v>
      </c>
      <c r="B61" s="120"/>
      <c r="C61" s="183">
        <v>0</v>
      </c>
      <c r="D61" s="36">
        <f>[77]GtS!$G$60</f>
        <v>0</v>
      </c>
      <c r="E61" s="36">
        <f>[78]GtS!$G$60</f>
        <v>0</v>
      </c>
      <c r="F61" s="36">
        <f>[79]GtS!$G$60</f>
        <v>0</v>
      </c>
      <c r="G61" s="37">
        <f>[80]GtS!$G$60</f>
        <v>0</v>
      </c>
      <c r="H61" s="183">
        <v>0</v>
      </c>
      <c r="I61" s="183">
        <v>0</v>
      </c>
      <c r="J61" s="183">
        <v>0</v>
      </c>
      <c r="K61" s="183">
        <v>0</v>
      </c>
      <c r="L61" s="197">
        <v>0</v>
      </c>
    </row>
    <row r="62" spans="1:12" ht="10.5" customHeight="1">
      <c r="A62" s="21" t="s">
        <v>226</v>
      </c>
      <c r="B62" s="120"/>
      <c r="C62" s="183">
        <v>0</v>
      </c>
      <c r="D62" s="46">
        <f>[57]GtS!$G$60</f>
        <v>0</v>
      </c>
      <c r="E62" s="46">
        <f>[58]GtS!$G$60</f>
        <v>0</v>
      </c>
      <c r="F62" s="46">
        <f>[59]GtS!$G$60</f>
        <v>0</v>
      </c>
      <c r="G62" s="260">
        <f>[60]GtS!$G$60</f>
        <v>0</v>
      </c>
      <c r="H62" s="183">
        <v>0</v>
      </c>
      <c r="I62" s="299" t="str">
        <f>IF('AW Schulen'!$F128=0,"x",(IF('AW Schulen'!$F146=0,"-",D62/'AW Schulen'!$F146)))</f>
        <v>-</v>
      </c>
      <c r="J62" s="299" t="str">
        <f>IF('AW Schulen'!$I128=0,"x",(IF('AW Schulen'!$I146=0,"-",E62/'AW Schulen'!$I146)))</f>
        <v>-</v>
      </c>
      <c r="K62" s="299" t="str">
        <f>IF('AW Schulen'!$L128=0,"x",(IF('AW Schulen'!$L146=0,"-",F62/'AW Schulen'!$L146)))</f>
        <v>-</v>
      </c>
      <c r="L62" s="300" t="str">
        <f>IF('AW Schulen'!$O128=0,"x",(IF('AW Schulen'!$O146=0,"-",G62/'AW Schulen'!$O146)))</f>
        <v>-</v>
      </c>
    </row>
    <row r="63" spans="1:12" ht="9" customHeight="1">
      <c r="A63" s="21" t="s">
        <v>95</v>
      </c>
      <c r="B63" s="120"/>
      <c r="C63" s="183">
        <v>0</v>
      </c>
      <c r="D63" s="23">
        <f>[62]GtS!$G$60</f>
        <v>1</v>
      </c>
      <c r="E63" s="23">
        <f>[63]GtS!$G$60</f>
        <v>0</v>
      </c>
      <c r="F63" s="23">
        <f>[64]GtS!$G$60</f>
        <v>1</v>
      </c>
      <c r="G63" s="34">
        <f>[65]GtS!$G$60</f>
        <v>0</v>
      </c>
      <c r="H63" s="183">
        <v>0</v>
      </c>
      <c r="I63" s="299">
        <f>IF('AW Schulen'!$F129=0,"x",(IF('AW Schulen'!$F147=0,"-",D63/'AW Schulen'!$F147)))</f>
        <v>8.3333333333333329E-2</v>
      </c>
      <c r="J63" s="299">
        <f>IF('AW Schulen'!$I129=0,"x",(IF('AW Schulen'!$I147=0,"-",E63/'AW Schulen'!$I147)))</f>
        <v>0</v>
      </c>
      <c r="K63" s="299">
        <f>IF('AW Schulen'!$L129=0,"x",(IF('AW Schulen'!$L147=0,"-",F63/'AW Schulen'!$L147)))</f>
        <v>6.25E-2</v>
      </c>
      <c r="L63" s="300">
        <f>IF('AW Schulen'!$O129=0,"x",(IF('AW Schulen'!$O147=0,"-",G63/'AW Schulen'!$O147)))</f>
        <v>0</v>
      </c>
    </row>
    <row r="64" spans="1:12" ht="8.65" customHeight="1">
      <c r="A64" s="21" t="s">
        <v>96</v>
      </c>
      <c r="B64" s="120"/>
      <c r="C64" s="183">
        <v>0</v>
      </c>
      <c r="D64" s="23">
        <f t="shared" ref="D64:E64" si="37">SUM(D48:D63)</f>
        <v>3</v>
      </c>
      <c r="E64" s="23">
        <f t="shared" si="37"/>
        <v>1</v>
      </c>
      <c r="F64" s="23">
        <f t="shared" ref="F64:G64" si="38">SUM(F48:F63)</f>
        <v>2</v>
      </c>
      <c r="G64" s="34">
        <f t="shared" si="38"/>
        <v>1</v>
      </c>
      <c r="H64" s="183">
        <v>0</v>
      </c>
      <c r="I64" s="299">
        <f>IF('AW Schulen'!$F130=0,"x",(IF('AW Schulen'!$F148=0,"-",D64/'AW Schulen'!$F148)))</f>
        <v>6.25E-2</v>
      </c>
      <c r="J64" s="299">
        <f>IF('AW Schulen'!$I130=0,"x",(IF('AW Schulen'!$I148=0,"-",E64/'AW Schulen'!$I148)))</f>
        <v>1.9607843137254902E-2</v>
      </c>
      <c r="K64" s="299">
        <f>IF('AW Schulen'!$L130=0,"x",(IF('AW Schulen'!$L148=0,"-",F64/'AW Schulen'!$L148)))</f>
        <v>3.5714285714285712E-2</v>
      </c>
      <c r="L64" s="300">
        <f>IF('AW Schulen'!$O130=0,"x",(IF('AW Schulen'!$O148=0,"-",G64/'AW Schulen'!$O148)))</f>
        <v>1.8518518518518517E-2</v>
      </c>
    </row>
    <row r="65" spans="1:12" ht="12.6" customHeight="1">
      <c r="A65" s="391" t="s">
        <v>100</v>
      </c>
      <c r="B65" s="392"/>
      <c r="C65" s="392"/>
      <c r="D65" s="392"/>
      <c r="E65" s="392"/>
      <c r="F65" s="392"/>
      <c r="G65" s="392"/>
      <c r="H65" s="392"/>
      <c r="I65" s="392"/>
      <c r="J65" s="392"/>
      <c r="K65" s="392"/>
      <c r="L65" s="393"/>
    </row>
    <row r="66" spans="1:12" ht="10.15" customHeight="1">
      <c r="A66" s="224" t="s">
        <v>173</v>
      </c>
      <c r="B66" s="120"/>
      <c r="C66" s="183">
        <v>0</v>
      </c>
      <c r="D66" s="46">
        <f>[2]GtS!$H$60</f>
        <v>1</v>
      </c>
      <c r="E66" s="46">
        <f>[3]GtS!$H$60</f>
        <v>1</v>
      </c>
      <c r="F66" s="46">
        <f>[4]GtS!$H$60</f>
        <v>0</v>
      </c>
      <c r="G66" s="260">
        <f>[5]GtS!$H$60</f>
        <v>0</v>
      </c>
      <c r="H66" s="183">
        <v>0</v>
      </c>
      <c r="I66" s="299">
        <f>IF('AW Schulen'!$F114=0,"x",(IF('AW Schulen'!$F132=0,"-",D66/'AW Schulen'!$F132)))</f>
        <v>0.33333333333333331</v>
      </c>
      <c r="J66" s="299">
        <f>IF('AW Schulen'!$I114=0,"x",(IF('AW Schulen'!$I132=0,"-",E66/'AW Schulen'!$I132)))</f>
        <v>0.25</v>
      </c>
      <c r="K66" s="299">
        <f>IF('AW Schulen'!$L114=0,"x",(IF('AW Schulen'!$L132=0,"-",F66/'AW Schulen'!$L132)))</f>
        <v>0</v>
      </c>
      <c r="L66" s="300">
        <f>IF('AW Schulen'!$O114=0,"x",(IF('AW Schulen'!$O132=0,"-",G66/'AW Schulen'!$O132)))</f>
        <v>0</v>
      </c>
    </row>
    <row r="67" spans="1:12" ht="10.15" customHeight="1">
      <c r="A67" s="224" t="s">
        <v>81</v>
      </c>
      <c r="B67" s="120"/>
      <c r="C67" s="183">
        <v>0</v>
      </c>
      <c r="D67" s="193">
        <f>[7]GtS!$H$60</f>
        <v>0</v>
      </c>
      <c r="E67" s="193">
        <f>[8]GtS!$H$60</f>
        <v>0</v>
      </c>
      <c r="F67" s="193" t="str">
        <f>[9]GtS!$H$60</f>
        <v xml:space="preserve">                                      -   </v>
      </c>
      <c r="G67" s="194">
        <f>[10]GtS!$H$60</f>
        <v>0</v>
      </c>
      <c r="H67" s="183">
        <v>0</v>
      </c>
      <c r="I67" s="299" t="str">
        <f>IF('AW Schulen'!$F115=0,"x",(IF('AW Schulen'!$F133=0,"-",D67/'AW Schulen'!$F133)))</f>
        <v>x</v>
      </c>
      <c r="J67" s="299" t="str">
        <f>IF('AW Schulen'!$I115=0,"x",(IF('AW Schulen'!$I133=0,"-",E67/'AW Schulen'!$I133)))</f>
        <v>x</v>
      </c>
      <c r="K67" s="299" t="e">
        <f>IF('AW Schulen'!$L115=0,"x",(IF('AW Schulen'!$L133=0,"-",F67/'AW Schulen'!$L133)))</f>
        <v>#VALUE!</v>
      </c>
      <c r="L67" s="300" t="str">
        <f>IF('AW Schulen'!$O115=0,"x",(IF('AW Schulen'!$O133=0,"-",G67/'AW Schulen'!$O133)))</f>
        <v>x</v>
      </c>
    </row>
    <row r="68" spans="1:12" ht="10.15" customHeight="1">
      <c r="A68" s="224" t="s">
        <v>82</v>
      </c>
      <c r="B68" s="120"/>
      <c r="C68" s="183">
        <v>0</v>
      </c>
      <c r="D68" s="193">
        <f>[12]GtS!$H$60</f>
        <v>17</v>
      </c>
      <c r="E68" s="193">
        <f>[13]GtS!$H$60</f>
        <v>14</v>
      </c>
      <c r="F68" s="193">
        <f>[14]GtS!$H$60</f>
        <v>21</v>
      </c>
      <c r="G68" s="194">
        <f>[15]GtS!$H$60</f>
        <v>23</v>
      </c>
      <c r="H68" s="183">
        <v>0</v>
      </c>
      <c r="I68" s="299">
        <f>IF('AW Schulen'!$F116=0,"x",(IF('AW Schulen'!$F134=0,"-",D68/'AW Schulen'!$F134)))</f>
        <v>0.65384615384615385</v>
      </c>
      <c r="J68" s="299">
        <f>IF('AW Schulen'!$I116=0,"x",(IF('AW Schulen'!$I134=0,"-",E68/'AW Schulen'!$I134)))</f>
        <v>0.73684210526315785</v>
      </c>
      <c r="K68" s="299">
        <f>IF('AW Schulen'!$L116=0,"x",(IF('AW Schulen'!$L134=0,"-",F68/'AW Schulen'!$L134)))</f>
        <v>1</v>
      </c>
      <c r="L68" s="300">
        <f>IF('AW Schulen'!$O116=0,"x",(IF('AW Schulen'!$O134=0,"-",G68/'AW Schulen'!$O134)))</f>
        <v>0.95833333333333337</v>
      </c>
    </row>
    <row r="69" spans="1:12" ht="9" customHeight="1">
      <c r="A69" s="21" t="s">
        <v>83</v>
      </c>
      <c r="B69" s="120"/>
      <c r="C69" s="183">
        <v>0</v>
      </c>
      <c r="D69" s="46">
        <f>[17]GtS!$H$60</f>
        <v>0</v>
      </c>
      <c r="E69" s="46">
        <f>[18]GtS!$H$60</f>
        <v>0</v>
      </c>
      <c r="F69" s="46">
        <f>[19]GtS!$H$60</f>
        <v>1</v>
      </c>
      <c r="G69" s="260">
        <f>[20]GtS!$H$60</f>
        <v>0</v>
      </c>
      <c r="H69" s="183">
        <v>0</v>
      </c>
      <c r="I69" s="299" t="str">
        <f>IF('AW Schulen'!$F117=0,"x",(IF('AW Schulen'!$F135=0,"-",D69/'AW Schulen'!$F135)))</f>
        <v>-</v>
      </c>
      <c r="J69" s="299" t="str">
        <f>IF('AW Schulen'!$I117=0,"x",(IF('AW Schulen'!$I135=0,"-",E69/'AW Schulen'!$I135)))</f>
        <v>-</v>
      </c>
      <c r="K69" s="299">
        <f>IF('AW Schulen'!$L117=0,"x",(IF('AW Schulen'!$L135=0,"-",F69/'AW Schulen'!$L135)))</f>
        <v>1</v>
      </c>
      <c r="L69" s="300" t="str">
        <f>IF('AW Schulen'!$O117=0,"x",(IF('AW Schulen'!$O135=0,"-",G69/'AW Schulen'!$O135)))</f>
        <v>-</v>
      </c>
    </row>
    <row r="70" spans="1:12" ht="9" customHeight="1">
      <c r="A70" s="21" t="s">
        <v>84</v>
      </c>
      <c r="B70" s="120"/>
      <c r="C70" s="183">
        <v>0</v>
      </c>
      <c r="D70" s="46">
        <f>[22]GtS!$H$60</f>
        <v>0</v>
      </c>
      <c r="E70" s="46">
        <f>[23]GtS!$H$60</f>
        <v>0</v>
      </c>
      <c r="F70" s="46">
        <f>[24]GtS!$H$60</f>
        <v>0</v>
      </c>
      <c r="G70" s="260">
        <f>[25]GtS!$H$60</f>
        <v>0</v>
      </c>
      <c r="H70" s="183">
        <v>0</v>
      </c>
      <c r="I70" s="299" t="str">
        <f>IF('AW Schulen'!$F118=0,"x",(IF('AW Schulen'!$F136=0,"-",D70/'AW Schulen'!$F136)))</f>
        <v>-</v>
      </c>
      <c r="J70" s="299" t="str">
        <f>IF('AW Schulen'!$I118=0,"x",(IF('AW Schulen'!$I136=0,"-",E70/'AW Schulen'!$I136)))</f>
        <v>-</v>
      </c>
      <c r="K70" s="299" t="str">
        <f>IF('AW Schulen'!$L118=0,"x",(IF('AW Schulen'!$L136=0,"-",F70/'AW Schulen'!$L136)))</f>
        <v>-</v>
      </c>
      <c r="L70" s="300" t="str">
        <f>IF('AW Schulen'!$O118=0,"x",(IF('AW Schulen'!$O136=0,"-",G70/'AW Schulen'!$O136)))</f>
        <v>-</v>
      </c>
    </row>
    <row r="71" spans="1:12" ht="9" customHeight="1">
      <c r="A71" s="21" t="s">
        <v>85</v>
      </c>
      <c r="B71" s="120"/>
      <c r="C71" s="183">
        <v>0</v>
      </c>
      <c r="D71" s="23">
        <f>[27]GtS!$H$60</f>
        <v>5</v>
      </c>
      <c r="E71" s="23">
        <f>[28]GtS!$H$60</f>
        <v>5</v>
      </c>
      <c r="F71" s="23">
        <f>[29]GtS!$H$60</f>
        <v>5</v>
      </c>
      <c r="G71" s="34">
        <f>[30]GtS!$H$60</f>
        <v>5</v>
      </c>
      <c r="H71" s="183">
        <v>0</v>
      </c>
      <c r="I71" s="299">
        <f>IF('AW Schulen'!$F119=0,"x",(IF('AW Schulen'!$F137=0,"-",D71/'AW Schulen'!$F137)))</f>
        <v>0.83333333333333337</v>
      </c>
      <c r="J71" s="299">
        <f>IF('AW Schulen'!$I119=0,"x",(IF('AW Schulen'!$I137=0,"-",E71/'AW Schulen'!$I137)))</f>
        <v>0.41666666666666669</v>
      </c>
      <c r="K71" s="299">
        <f>IF('AW Schulen'!$L119=0,"x",(IF('AW Schulen'!$L137=0,"-",F71/'AW Schulen'!$L137)))</f>
        <v>0.41666666666666669</v>
      </c>
      <c r="L71" s="300">
        <f>IF('AW Schulen'!$O119=0,"x",(IF('AW Schulen'!$O137=0,"-",G71/'AW Schulen'!$O137)))</f>
        <v>0.83333333333333337</v>
      </c>
    </row>
    <row r="72" spans="1:12" ht="9" customHeight="1">
      <c r="A72" s="21" t="s">
        <v>86</v>
      </c>
      <c r="B72" s="120"/>
      <c r="C72" s="183">
        <v>0</v>
      </c>
      <c r="D72" s="23">
        <f>[67]GtS!$H$60</f>
        <v>0</v>
      </c>
      <c r="E72" s="23">
        <f>[68]GtS!$H$60</f>
        <v>0</v>
      </c>
      <c r="F72" s="23">
        <f>[69]GtS!$H$60</f>
        <v>0</v>
      </c>
      <c r="G72" s="34">
        <f>[70]GtS!$H$60</f>
        <v>0</v>
      </c>
      <c r="H72" s="183">
        <v>0</v>
      </c>
      <c r="I72" s="183">
        <v>0</v>
      </c>
      <c r="J72" s="183">
        <v>0</v>
      </c>
      <c r="K72" s="183">
        <v>0</v>
      </c>
      <c r="L72" s="197">
        <v>0</v>
      </c>
    </row>
    <row r="73" spans="1:12" ht="9" customHeight="1">
      <c r="A73" s="21" t="s">
        <v>223</v>
      </c>
      <c r="B73" s="120"/>
      <c r="C73" s="183">
        <v>0</v>
      </c>
      <c r="D73" s="46">
        <f>[32]GtS!$H$60</f>
        <v>0</v>
      </c>
      <c r="E73" s="46">
        <f>[33]GtS!$H$60</f>
        <v>0</v>
      </c>
      <c r="F73" s="46">
        <f>[34]GtS!$H$60</f>
        <v>0</v>
      </c>
      <c r="G73" s="260">
        <f>[35]GtS!$H$60</f>
        <v>0</v>
      </c>
      <c r="H73" s="183">
        <v>0</v>
      </c>
      <c r="I73" s="299" t="str">
        <f>IF('AW Schulen'!$F121=0,"x",(IF('AW Schulen'!$F139=0,"-",D73/'AW Schulen'!$F139)))</f>
        <v>-</v>
      </c>
      <c r="J73" s="299" t="str">
        <f>IF('AW Schulen'!$I121=0,"x",(IF('AW Schulen'!$I139=0,"-",E73/'AW Schulen'!$I139)))</f>
        <v>-</v>
      </c>
      <c r="K73" s="299" t="str">
        <f>IF('AW Schulen'!$L121=0,"x",(IF('AW Schulen'!$L139=0,"-",F73/'AW Schulen'!$L139)))</f>
        <v>-</v>
      </c>
      <c r="L73" s="300" t="str">
        <f>IF('AW Schulen'!$O121=0,"x",(IF('AW Schulen'!$O139=0,"-",G73/'AW Schulen'!$O139)))</f>
        <v>-</v>
      </c>
    </row>
    <row r="74" spans="1:12" ht="9" customHeight="1">
      <c r="A74" s="21" t="s">
        <v>88</v>
      </c>
      <c r="B74" s="120"/>
      <c r="C74" s="183">
        <v>0</v>
      </c>
      <c r="D74" s="23">
        <f>[72]GtS!$H$60</f>
        <v>0</v>
      </c>
      <c r="E74" s="23">
        <f>[73]GtS!$H$60</f>
        <v>0</v>
      </c>
      <c r="F74" s="23">
        <f>[74]GtS!$H$60</f>
        <v>0</v>
      </c>
      <c r="G74" s="34">
        <f>[75]GtS!$H$60</f>
        <v>0</v>
      </c>
      <c r="H74" s="183">
        <v>0</v>
      </c>
      <c r="I74" s="183">
        <v>0</v>
      </c>
      <c r="J74" s="183">
        <v>0</v>
      </c>
      <c r="K74" s="183">
        <v>0</v>
      </c>
      <c r="L74" s="197">
        <v>0</v>
      </c>
    </row>
    <row r="75" spans="1:12" ht="9" customHeight="1">
      <c r="A75" s="21" t="s">
        <v>89</v>
      </c>
      <c r="B75" s="120"/>
      <c r="C75" s="183">
        <v>0</v>
      </c>
      <c r="D75" s="23">
        <f>[37]GtS!$H$60</f>
        <v>0</v>
      </c>
      <c r="E75" s="23">
        <f>[38]GtS!$H$60</f>
        <v>0</v>
      </c>
      <c r="F75" s="23">
        <f>[39]GtS!$H$60</f>
        <v>0</v>
      </c>
      <c r="G75" s="34">
        <f>[40]GtS!$H$60</f>
        <v>0</v>
      </c>
      <c r="H75" s="183">
        <v>0</v>
      </c>
      <c r="I75" s="299">
        <f>IF('AW Schulen'!$F123=0,"x",(IF('AW Schulen'!$F141=0,"-",D75/'AW Schulen'!$F141)))</f>
        <v>0</v>
      </c>
      <c r="J75" s="299" t="str">
        <f>IF('AW Schulen'!$I123=0,"x",(IF('AW Schulen'!$I141=0,"-",E75/'AW Schulen'!$I141)))</f>
        <v>-</v>
      </c>
      <c r="K75" s="299" t="str">
        <f>IF('AW Schulen'!$L123=0,"x",(IF('AW Schulen'!$L141=0,"-",F75/'AW Schulen'!$L141)))</f>
        <v>-</v>
      </c>
      <c r="L75" s="300" t="str">
        <f>IF('AW Schulen'!$O123=0,"x",(IF('AW Schulen'!$O141=0,"-",G75/'AW Schulen'!$O141)))</f>
        <v>-</v>
      </c>
    </row>
    <row r="76" spans="1:12" ht="9" customHeight="1">
      <c r="A76" s="21" t="s">
        <v>90</v>
      </c>
      <c r="B76" s="120"/>
      <c r="C76" s="183">
        <v>0</v>
      </c>
      <c r="D76" s="46">
        <f>[42]GtS!$H$60</f>
        <v>0</v>
      </c>
      <c r="E76" s="46">
        <f>[43]GtS!$H$60</f>
        <v>0</v>
      </c>
      <c r="F76" s="46">
        <f>[44]GtS!$H$60</f>
        <v>0</v>
      </c>
      <c r="G76" s="260">
        <f>[45]GtS!$H$60</f>
        <v>0</v>
      </c>
      <c r="H76" s="183">
        <v>0</v>
      </c>
      <c r="I76" s="299" t="str">
        <f>IF('AW Schulen'!$F124=0,"x",(IF('AW Schulen'!$F142=0,"-",D76/'AW Schulen'!$F142)))</f>
        <v>-</v>
      </c>
      <c r="J76" s="299" t="str">
        <f>IF('AW Schulen'!$I124=0,"x",(IF('AW Schulen'!$I142=0,"-",E76/'AW Schulen'!$I142)))</f>
        <v>-</v>
      </c>
      <c r="K76" s="299" t="str">
        <f>IF('AW Schulen'!$L124=0,"x",(IF('AW Schulen'!$L142=0,"-",F76/'AW Schulen'!$L142)))</f>
        <v>-</v>
      </c>
      <c r="L76" s="300" t="str">
        <f>IF('AW Schulen'!$O124=0,"x",(IF('AW Schulen'!$O142=0,"-",G76/'AW Schulen'!$O142)))</f>
        <v>-</v>
      </c>
    </row>
    <row r="77" spans="1:12" ht="9" customHeight="1">
      <c r="A77" s="21" t="s">
        <v>91</v>
      </c>
      <c r="B77" s="120"/>
      <c r="C77" s="183">
        <v>0</v>
      </c>
      <c r="D77" s="46">
        <f>[47]GtS!$H$60</f>
        <v>0</v>
      </c>
      <c r="E77" s="46">
        <f>[48]GtS!$H$60</f>
        <v>0</v>
      </c>
      <c r="F77" s="46">
        <f>[49]GtS!$H$60</f>
        <v>0</v>
      </c>
      <c r="G77" s="260">
        <f>[50]GtS!$H$60</f>
        <v>0</v>
      </c>
      <c r="H77" s="183">
        <v>0</v>
      </c>
      <c r="I77" s="299" t="str">
        <f>IF('AW Schulen'!$F125=0,"x",(IF('AW Schulen'!$F143=0,"-",D77/'AW Schulen'!$F143)))</f>
        <v>-</v>
      </c>
      <c r="J77" s="299" t="str">
        <f>IF('AW Schulen'!$I125=0,"x",(IF('AW Schulen'!$I143=0,"-",E77/'AW Schulen'!$I143)))</f>
        <v>-</v>
      </c>
      <c r="K77" s="299" t="str">
        <f>IF('AW Schulen'!$L125=0,"x",(IF('AW Schulen'!$L143=0,"-",F77/'AW Schulen'!$L143)))</f>
        <v>-</v>
      </c>
      <c r="L77" s="300" t="str">
        <f>IF('AW Schulen'!$O125=0,"x",(IF('AW Schulen'!$O143=0,"-",G77/'AW Schulen'!$O143)))</f>
        <v>-</v>
      </c>
    </row>
    <row r="78" spans="1:12" ht="9" customHeight="1">
      <c r="A78" s="21" t="s">
        <v>92</v>
      </c>
      <c r="B78" s="120"/>
      <c r="C78" s="183">
        <v>0</v>
      </c>
      <c r="D78" s="193">
        <f>[52]GtS!$H$60</f>
        <v>0</v>
      </c>
      <c r="E78" s="193">
        <f>[53]GtS!$H$60</f>
        <v>0</v>
      </c>
      <c r="F78" s="193">
        <f>[54]GtS!$H$60</f>
        <v>0</v>
      </c>
      <c r="G78" s="194">
        <f>[55]GtS!$H$60</f>
        <v>0</v>
      </c>
      <c r="H78" s="183">
        <v>0</v>
      </c>
      <c r="I78" s="299" t="str">
        <f>IF('AW Schulen'!$F126=0,"x",(IF('AW Schulen'!$F144=0,"-",D78/'AW Schulen'!$F144)))</f>
        <v>x</v>
      </c>
      <c r="J78" s="299" t="str">
        <f>IF('AW Schulen'!$I126=0,"x",(IF('AW Schulen'!$I144=0,"-",E78/'AW Schulen'!$I144)))</f>
        <v>x</v>
      </c>
      <c r="K78" s="299" t="str">
        <f>IF('AW Schulen'!$L126=0,"x",(IF('AW Schulen'!$L144=0,"-",F78/'AW Schulen'!$L144)))</f>
        <v>x</v>
      </c>
      <c r="L78" s="300" t="str">
        <f>IF('AW Schulen'!$O126=0,"x",(IF('AW Schulen'!$O144=0,"-",G78/'AW Schulen'!$O144)))</f>
        <v>x</v>
      </c>
    </row>
    <row r="79" spans="1:12" ht="9" customHeight="1">
      <c r="A79" s="21" t="s">
        <v>93</v>
      </c>
      <c r="B79" s="120"/>
      <c r="C79" s="183">
        <v>0</v>
      </c>
      <c r="D79" s="36">
        <f>[77]GtS!$H$60</f>
        <v>0</v>
      </c>
      <c r="E79" s="36">
        <f>[78]GtS!$H$60</f>
        <v>0</v>
      </c>
      <c r="F79" s="36">
        <f>[79]GtS!$H$60</f>
        <v>0</v>
      </c>
      <c r="G79" s="37">
        <f>[80]GtS!$H$60</f>
        <v>0</v>
      </c>
      <c r="H79" s="183">
        <v>0</v>
      </c>
      <c r="I79" s="183">
        <v>0</v>
      </c>
      <c r="J79" s="183">
        <v>0</v>
      </c>
      <c r="K79" s="183">
        <v>0</v>
      </c>
      <c r="L79" s="197">
        <v>0</v>
      </c>
    </row>
    <row r="80" spans="1:12" ht="10.5" customHeight="1">
      <c r="A80" s="21" t="s">
        <v>226</v>
      </c>
      <c r="B80" s="120"/>
      <c r="C80" s="183">
        <v>0</v>
      </c>
      <c r="D80" s="46">
        <f>[57]GtS!$H$60</f>
        <v>0</v>
      </c>
      <c r="E80" s="46">
        <f>[58]GtS!$H$60</f>
        <v>0</v>
      </c>
      <c r="F80" s="46">
        <f>[59]GtS!$H$60</f>
        <v>0</v>
      </c>
      <c r="G80" s="260">
        <f>[60]GtS!$H$60</f>
        <v>0</v>
      </c>
      <c r="H80" s="183">
        <v>0</v>
      </c>
      <c r="I80" s="299" t="str">
        <f>IF('AW Schulen'!$F128=0,"x",(IF('AW Schulen'!$F146=0,"-",D80/'AW Schulen'!$F146)))</f>
        <v>-</v>
      </c>
      <c r="J80" s="299" t="str">
        <f>IF('AW Schulen'!$I128=0,"x",(IF('AW Schulen'!$I146=0,"-",E80/'AW Schulen'!$I146)))</f>
        <v>-</v>
      </c>
      <c r="K80" s="299" t="str">
        <f>IF('AW Schulen'!$L128=0,"x",(IF('AW Schulen'!$L146=0,"-",F80/'AW Schulen'!$L146)))</f>
        <v>-</v>
      </c>
      <c r="L80" s="300" t="str">
        <f>IF('AW Schulen'!$O128=0,"x",(IF('AW Schulen'!$O146=0,"-",G80/'AW Schulen'!$O146)))</f>
        <v>-</v>
      </c>
    </row>
    <row r="81" spans="1:12" ht="9" customHeight="1">
      <c r="A81" s="21" t="s">
        <v>95</v>
      </c>
      <c r="B81" s="120"/>
      <c r="C81" s="183">
        <v>0</v>
      </c>
      <c r="D81" s="23">
        <f>[62]GtS!$H$60</f>
        <v>0</v>
      </c>
      <c r="E81" s="23">
        <f>[63]GtS!$H$60</f>
        <v>1</v>
      </c>
      <c r="F81" s="23">
        <f>[64]GtS!$H$60</f>
        <v>1</v>
      </c>
      <c r="G81" s="34">
        <f>[65]GtS!$H$60</f>
        <v>1</v>
      </c>
      <c r="H81" s="183">
        <v>0</v>
      </c>
      <c r="I81" s="299">
        <f>IF('AW Schulen'!$F129=0,"x",(IF('AW Schulen'!$F147=0,"-",D81/'AW Schulen'!$F147)))</f>
        <v>0</v>
      </c>
      <c r="J81" s="299">
        <f>IF('AW Schulen'!$I129=0,"x",(IF('AW Schulen'!$I147=0,"-",E81/'AW Schulen'!$I147)))</f>
        <v>6.25E-2</v>
      </c>
      <c r="K81" s="299">
        <f>IF('AW Schulen'!$L129=0,"x",(IF('AW Schulen'!$L147=0,"-",F81/'AW Schulen'!$L147)))</f>
        <v>6.25E-2</v>
      </c>
      <c r="L81" s="300">
        <f>IF('AW Schulen'!$O129=0,"x",(IF('AW Schulen'!$O147=0,"-",G81/'AW Schulen'!$O147)))</f>
        <v>5.8823529411764705E-2</v>
      </c>
    </row>
    <row r="82" spans="1:12" ht="9" customHeight="1">
      <c r="A82" s="24" t="s">
        <v>96</v>
      </c>
      <c r="B82" s="121"/>
      <c r="C82" s="290">
        <v>0</v>
      </c>
      <c r="D82" s="26">
        <f t="shared" ref="D82:E82" si="39">SUM(D66:D81)</f>
        <v>23</v>
      </c>
      <c r="E82" s="26">
        <f t="shared" si="39"/>
        <v>21</v>
      </c>
      <c r="F82" s="26">
        <f t="shared" ref="F82:G82" si="40">SUM(F66:F81)</f>
        <v>28</v>
      </c>
      <c r="G82" s="47">
        <f t="shared" si="40"/>
        <v>29</v>
      </c>
      <c r="H82" s="290">
        <v>0</v>
      </c>
      <c r="I82" s="301">
        <f>IF('AW Schulen'!$F130=0,"x",(IF('AW Schulen'!$F148=0,"-",D82/'AW Schulen'!$F148)))</f>
        <v>0.47916666666666669</v>
      </c>
      <c r="J82" s="301">
        <f>IF('AW Schulen'!$I130=0,"x",(IF('AW Schulen'!$I148=0,"-",E82/'AW Schulen'!$I148)))</f>
        <v>0.41176470588235292</v>
      </c>
      <c r="K82" s="301">
        <f>IF('AW Schulen'!$L130=0,"x",(IF('AW Schulen'!$L148=0,"-",F82/'AW Schulen'!$L148)))</f>
        <v>0.5</v>
      </c>
      <c r="L82" s="302">
        <f>IF('AW Schulen'!$O130=0,"x",(IF('AW Schulen'!$O148=0,"-",G82/'AW Schulen'!$O148)))</f>
        <v>0.53703703703703709</v>
      </c>
    </row>
    <row r="83" spans="1:12" ht="19.5" customHeight="1">
      <c r="A83" s="396" t="s">
        <v>312</v>
      </c>
      <c r="B83" s="396"/>
      <c r="C83" s="396"/>
      <c r="D83" s="396"/>
      <c r="E83" s="396"/>
      <c r="F83" s="396"/>
      <c r="G83" s="396"/>
      <c r="H83" s="396"/>
      <c r="I83" s="396"/>
      <c r="J83" s="396"/>
      <c r="K83" s="396"/>
      <c r="L83" s="396"/>
    </row>
    <row r="84" spans="1:12" s="274" customFormat="1" ht="10.15" customHeight="1">
      <c r="A84" s="220" t="s">
        <v>166</v>
      </c>
      <c r="B84" s="220"/>
      <c r="C84" s="220"/>
      <c r="D84" s="220"/>
      <c r="E84" s="220"/>
      <c r="F84" s="318"/>
      <c r="G84" s="346"/>
      <c r="K84" s="315"/>
      <c r="L84" s="342"/>
    </row>
    <row r="85" spans="1:12" s="274" customFormat="1" ht="10.5" customHeight="1">
      <c r="A85" s="400" t="s">
        <v>284</v>
      </c>
      <c r="B85" s="400"/>
      <c r="C85" s="400"/>
      <c r="D85" s="400"/>
      <c r="E85" s="400"/>
      <c r="F85" s="400"/>
      <c r="G85" s="400"/>
      <c r="H85" s="400"/>
      <c r="I85" s="382"/>
      <c r="J85" s="382"/>
      <c r="K85" s="382"/>
      <c r="L85" s="382"/>
    </row>
    <row r="86" spans="1:12" s="274" customFormat="1" ht="17.25" customHeight="1">
      <c r="A86" s="387" t="s">
        <v>276</v>
      </c>
      <c r="B86" s="387"/>
      <c r="C86" s="387"/>
      <c r="D86" s="387"/>
      <c r="E86" s="387"/>
      <c r="F86" s="387"/>
      <c r="G86" s="387"/>
      <c r="H86" s="387"/>
      <c r="I86" s="387"/>
      <c r="J86" s="387"/>
      <c r="K86" s="394"/>
      <c r="L86" s="394"/>
    </row>
    <row r="87" spans="1:12" s="274" customFormat="1" ht="10.5" customHeight="1">
      <c r="A87" s="220" t="s">
        <v>229</v>
      </c>
      <c r="B87" s="276"/>
      <c r="C87" s="276"/>
      <c r="D87" s="276"/>
      <c r="E87" s="276"/>
      <c r="F87" s="284"/>
      <c r="G87" s="345"/>
      <c r="H87" s="276"/>
      <c r="I87" s="273"/>
      <c r="J87" s="273"/>
      <c r="K87" s="311"/>
      <c r="L87" s="322"/>
    </row>
    <row r="88" spans="1:12" s="274" customFormat="1" ht="10.15" customHeight="1">
      <c r="A88" s="274" t="s">
        <v>225</v>
      </c>
      <c r="F88" s="315"/>
      <c r="G88" s="342"/>
      <c r="K88" s="315"/>
      <c r="L88" s="342"/>
    </row>
    <row r="89" spans="1:12" s="274" customFormat="1" ht="10.15" customHeight="1">
      <c r="A89" s="274" t="s">
        <v>101</v>
      </c>
      <c r="F89" s="315"/>
      <c r="G89" s="342"/>
      <c r="K89" s="315"/>
      <c r="L89" s="342"/>
    </row>
  </sheetData>
  <mergeCells count="10">
    <mergeCell ref="A1:L1"/>
    <mergeCell ref="A47:L47"/>
    <mergeCell ref="A65:L65"/>
    <mergeCell ref="A85:L85"/>
    <mergeCell ref="A86:L86"/>
    <mergeCell ref="C9:G9"/>
    <mergeCell ref="H9:L9"/>
    <mergeCell ref="A11:L11"/>
    <mergeCell ref="A29:L29"/>
    <mergeCell ref="A83:L83"/>
  </mergeCells>
  <conditionalFormatting sqref="M25">
    <cfRule type="cellIs" dxfId="39"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M86"/>
  <sheetViews>
    <sheetView view="pageBreakPreview" topLeftCell="A7" zoomScale="175" zoomScaleNormal="130" zoomScaleSheetLayoutView="175"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'2.3.7.1'!A1:J1+1</f>
        <v>32</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4.1" customHeight="1">
      <c r="A5" s="13" t="s">
        <v>36</v>
      </c>
      <c r="B5" s="39" t="s">
        <v>189</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17</v>
      </c>
      <c r="D12" s="42">
        <f t="shared" si="0"/>
        <v>16</v>
      </c>
      <c r="E12" s="42">
        <f t="shared" ref="E12:F12" si="1">SUM(E30+E48+E66)</f>
        <v>16</v>
      </c>
      <c r="F12" s="42">
        <f t="shared" si="1"/>
        <v>18</v>
      </c>
      <c r="G12" s="44">
        <f t="shared" ref="G12" si="2">SUM(G30+G48+G66)</f>
        <v>20</v>
      </c>
      <c r="H12" s="153">
        <f>IF('AW Schulen'!$C150=0,"x",C12/'AW Schulen'!$C150)</f>
        <v>0.29310344827586204</v>
      </c>
      <c r="I12" s="153">
        <f>IF('AW Schulen'!$F150=0,"x",D12/'AW Schulen'!$F150)</f>
        <v>0.27586206896551724</v>
      </c>
      <c r="J12" s="153">
        <f>IF('AW Schulen'!$I150=0,"x",E12/'AW Schulen'!$I150)</f>
        <v>0.27586206896551724</v>
      </c>
      <c r="K12" s="153">
        <f>IF('AW Schulen'!$L150=0,"x",F12/'AW Schulen'!$L150)</f>
        <v>0.30508474576271188</v>
      </c>
      <c r="L12" s="154">
        <f>IF('AW Schulen'!$O150=0,"x",G12/'AW Schulen'!$O150)</f>
        <v>0.34482758620689657</v>
      </c>
    </row>
    <row r="13" spans="1:13" ht="9" customHeight="1">
      <c r="A13" s="21" t="s">
        <v>81</v>
      </c>
      <c r="B13" s="120"/>
      <c r="C13" s="42">
        <f t="shared" si="0"/>
        <v>14</v>
      </c>
      <c r="D13" s="42">
        <f t="shared" si="0"/>
        <v>17</v>
      </c>
      <c r="E13" s="42">
        <f t="shared" ref="E13:F13" si="3">SUM(E31+E49+E67)</f>
        <v>18</v>
      </c>
      <c r="F13" s="42" t="e">
        <f t="shared" si="3"/>
        <v>#VALUE!</v>
      </c>
      <c r="G13" s="44">
        <f t="shared" ref="G13" si="4">SUM(G31+G49+G67)</f>
        <v>20</v>
      </c>
      <c r="H13" s="153">
        <f>IF('AW Schulen'!$C151=0,"x",C13/'AW Schulen'!$C151)</f>
        <v>0.66666666666666663</v>
      </c>
      <c r="I13" s="153">
        <f>IF('AW Schulen'!$F151=0,"x",D13/'AW Schulen'!$F151)</f>
        <v>0.80952380952380953</v>
      </c>
      <c r="J13" s="153">
        <f>IF('AW Schulen'!$I151=0,"x",E13/'AW Schulen'!$I151)</f>
        <v>0.81818181818181823</v>
      </c>
      <c r="K13" s="153" t="e">
        <f>IF('AW Schulen'!$L151=0,"x",F13/'AW Schulen'!$L151)</f>
        <v>#VALUE!</v>
      </c>
      <c r="L13" s="154">
        <f>IF('AW Schulen'!$O151=0,"x",G13/'AW Schulen'!$O151)</f>
        <v>0.86956521739130432</v>
      </c>
    </row>
    <row r="14" spans="1:13" ht="9" customHeight="1">
      <c r="A14" s="21" t="s">
        <v>82</v>
      </c>
      <c r="B14" s="120"/>
      <c r="C14" s="42">
        <f t="shared" si="0"/>
        <v>10</v>
      </c>
      <c r="D14" s="42">
        <f t="shared" si="0"/>
        <v>10</v>
      </c>
      <c r="E14" s="42">
        <f t="shared" ref="E14:F14" si="5">SUM(E32+E50+E68)</f>
        <v>9</v>
      </c>
      <c r="F14" s="42">
        <f t="shared" si="5"/>
        <v>10</v>
      </c>
      <c r="G14" s="44">
        <f t="shared" ref="G14" si="6">SUM(G32+G50+G68)</f>
        <v>10</v>
      </c>
      <c r="H14" s="153">
        <f>IF('AW Schulen'!$C152=0,"x",C14/'AW Schulen'!$C152)</f>
        <v>0.90909090909090906</v>
      </c>
      <c r="I14" s="153">
        <f>IF('AW Schulen'!$F152=0,"x",D14/'AW Schulen'!$F152)</f>
        <v>1</v>
      </c>
      <c r="J14" s="153">
        <f>IF('AW Schulen'!$I152=0,"x",E14/'AW Schulen'!$I152)</f>
        <v>0.9</v>
      </c>
      <c r="K14" s="153">
        <f>IF('AW Schulen'!$L152=0,"x",F14/'AW Schulen'!$L152)</f>
        <v>1</v>
      </c>
      <c r="L14" s="154">
        <f>IF('AW Schulen'!$O152=0,"x",G14/'AW Schulen'!$O152)</f>
        <v>0.90909090909090906</v>
      </c>
    </row>
    <row r="15" spans="1:13" ht="9" customHeight="1">
      <c r="A15" s="21" t="s">
        <v>83</v>
      </c>
      <c r="B15" s="120"/>
      <c r="C15" s="42">
        <f t="shared" si="0"/>
        <v>5</v>
      </c>
      <c r="D15" s="42">
        <f t="shared" si="0"/>
        <v>5</v>
      </c>
      <c r="E15" s="42">
        <f t="shared" ref="E15:F15" si="7">SUM(E33+E51+E69)</f>
        <v>5</v>
      </c>
      <c r="F15" s="42">
        <f t="shared" si="7"/>
        <v>5</v>
      </c>
      <c r="G15" s="44">
        <f t="shared" ref="G15" si="8">SUM(G33+G51+G69)</f>
        <v>5</v>
      </c>
      <c r="H15" s="153">
        <f>IF('AW Schulen'!$C153=0,"x",C15/'AW Schulen'!$C153)</f>
        <v>1</v>
      </c>
      <c r="I15" s="153">
        <f>IF('AW Schulen'!$F153=0,"x",D15/'AW Schulen'!$F153)</f>
        <v>1</v>
      </c>
      <c r="J15" s="153">
        <f>IF('AW Schulen'!$I153=0,"x",E15/'AW Schulen'!$I153)</f>
        <v>1</v>
      </c>
      <c r="K15" s="153">
        <f>IF('AW Schulen'!$L153=0,"x",F15/'AW Schulen'!$L153)</f>
        <v>1</v>
      </c>
      <c r="L15" s="154">
        <f>IF('AW Schulen'!$O153=0,"x",G15/'AW Schulen'!$O153)</f>
        <v>1</v>
      </c>
    </row>
    <row r="16" spans="1:13" ht="9" customHeight="1">
      <c r="A16" s="21" t="s">
        <v>84</v>
      </c>
      <c r="B16" s="120"/>
      <c r="C16" s="42">
        <f t="shared" si="0"/>
        <v>1</v>
      </c>
      <c r="D16" s="42">
        <f t="shared" si="0"/>
        <v>1</v>
      </c>
      <c r="E16" s="42">
        <f t="shared" ref="E16:F16" si="9">SUM(E34+E52+E70)</f>
        <v>2</v>
      </c>
      <c r="F16" s="42">
        <f t="shared" si="9"/>
        <v>1</v>
      </c>
      <c r="G16" s="44">
        <f t="shared" ref="G16" si="10">SUM(G34+G52+G70)</f>
        <v>1</v>
      </c>
      <c r="H16" s="153">
        <f>IF('AW Schulen'!$C154=0,"x",C16/'AW Schulen'!$C154)</f>
        <v>0.33333333333333331</v>
      </c>
      <c r="I16" s="153">
        <f>IF('AW Schulen'!$F154=0,"x",D16/'AW Schulen'!$F154)</f>
        <v>0.33333333333333331</v>
      </c>
      <c r="J16" s="153">
        <f>IF('AW Schulen'!$I154=0,"x",E16/'AW Schulen'!$I154)</f>
        <v>0.66666666666666663</v>
      </c>
      <c r="K16" s="153">
        <f>IF('AW Schulen'!$L154=0,"x",F16/'AW Schulen'!$L154)</f>
        <v>0.33333333333333331</v>
      </c>
      <c r="L16" s="154">
        <f>IF('AW Schulen'!$O154=0,"x",G16/'AW Schulen'!$O154)</f>
        <v>0.33333333333333331</v>
      </c>
    </row>
    <row r="17" spans="1:12" ht="9" customHeight="1">
      <c r="A17" s="21" t="s">
        <v>85</v>
      </c>
      <c r="B17" s="120"/>
      <c r="C17" s="111">
        <f t="shared" si="0"/>
        <v>0</v>
      </c>
      <c r="D17" s="42">
        <f t="shared" si="0"/>
        <v>1</v>
      </c>
      <c r="E17" s="42">
        <f t="shared" ref="E17:F17" si="11">SUM(E35+E53+E71)</f>
        <v>1</v>
      </c>
      <c r="F17" s="42">
        <f t="shared" si="11"/>
        <v>1</v>
      </c>
      <c r="G17" s="44">
        <f t="shared" ref="G17" si="12">SUM(G35+G53+G71)</f>
        <v>1</v>
      </c>
      <c r="H17" s="111">
        <f>IF('AW Schulen'!$C155=0,"x",C17/'AW Schulen'!$C155)</f>
        <v>0</v>
      </c>
      <c r="I17" s="153">
        <f>IF('AW Schulen'!$F155=0,"x",D17/'AW Schulen'!$F155)</f>
        <v>0.16666666666666666</v>
      </c>
      <c r="J17" s="153">
        <f>IF('AW Schulen'!$I155=0,"x",E17/'AW Schulen'!$I155)</f>
        <v>0.16666666666666666</v>
      </c>
      <c r="K17" s="153">
        <f>IF('AW Schulen'!$L155=0,"x",F17/'AW Schulen'!$L155)</f>
        <v>0.125</v>
      </c>
      <c r="L17" s="154">
        <f>IF('AW Schulen'!$O155=0,"x",G17/'AW Schulen'!$O155)</f>
        <v>0.14285714285714285</v>
      </c>
    </row>
    <row r="18" spans="1:12" ht="9" customHeight="1">
      <c r="A18" s="21" t="s">
        <v>86</v>
      </c>
      <c r="B18" s="120"/>
      <c r="C18" s="111">
        <f t="shared" si="0"/>
        <v>0</v>
      </c>
      <c r="D18" s="111">
        <f t="shared" si="0"/>
        <v>0</v>
      </c>
      <c r="E18" s="111">
        <f t="shared" ref="E18:F18" si="13">SUM(E36+E54+E72)</f>
        <v>0</v>
      </c>
      <c r="F18" s="111">
        <f t="shared" si="13"/>
        <v>0</v>
      </c>
      <c r="G18" s="112">
        <f t="shared" ref="G18" si="14">SUM(G36+G54+G72)</f>
        <v>0</v>
      </c>
      <c r="H18" s="111">
        <f>IF('AW Schulen'!$C156=0,"x",C18/'AW Schulen'!$C156)</f>
        <v>0</v>
      </c>
      <c r="I18" s="54" t="str">
        <f>IF('AW Schulen'!$F138=0,".",D18/'AW Schulen'!$F138)</f>
        <v>.</v>
      </c>
      <c r="J18" s="54" t="str">
        <f>IF('AW Schulen'!$I138=0,".",E18/'AW Schulen'!$I138)</f>
        <v>.</v>
      </c>
      <c r="K18" s="54" t="str">
        <f>IF('AW Schulen'!$L138=0,".",F18/'AW Schulen'!$L138)</f>
        <v>.</v>
      </c>
      <c r="L18" s="114" t="str">
        <f>IF('AW Schulen'!$O138=0,".",G18/'AW Schulen'!$O138)</f>
        <v>.</v>
      </c>
    </row>
    <row r="19" spans="1:12" ht="9" customHeight="1">
      <c r="A19" s="21" t="s">
        <v>174</v>
      </c>
      <c r="B19" s="120"/>
      <c r="C19" s="42">
        <f t="shared" si="0"/>
        <v>3</v>
      </c>
      <c r="D19" s="42">
        <f t="shared" si="0"/>
        <v>3</v>
      </c>
      <c r="E19" s="42">
        <f t="shared" ref="E19:F19" si="15">SUM(E37+E55+E73)</f>
        <v>3</v>
      </c>
      <c r="F19" s="42">
        <f t="shared" si="15"/>
        <v>2</v>
      </c>
      <c r="G19" s="44">
        <f t="shared" ref="G19" si="16">SUM(G37+G55+G73)</f>
        <v>1</v>
      </c>
      <c r="H19" s="153">
        <f>IF('AW Schulen'!$C157=0,"x",C19/'AW Schulen'!$C157)</f>
        <v>1</v>
      </c>
      <c r="I19" s="153">
        <f>IF('AW Schulen'!$F157=0,"x",D19/'AW Schulen'!$F157)</f>
        <v>1</v>
      </c>
      <c r="J19" s="153">
        <f>IF('AW Schulen'!$I157=0,"x",E19/'AW Schulen'!$I157)</f>
        <v>1</v>
      </c>
      <c r="K19" s="153">
        <f>IF('AW Schulen'!$L157=0,"x",F19/'AW Schulen'!$L157)</f>
        <v>0.5</v>
      </c>
      <c r="L19" s="154">
        <f>IF('AW Schulen'!$O157=0,"x",G19/'AW Schulen'!$O157)</f>
        <v>0.2</v>
      </c>
    </row>
    <row r="20" spans="1:12" ht="9" customHeight="1">
      <c r="A20" s="21" t="s">
        <v>88</v>
      </c>
      <c r="B20" s="120"/>
      <c r="C20" s="111">
        <f t="shared" si="0"/>
        <v>0</v>
      </c>
      <c r="D20" s="111">
        <f t="shared" si="0"/>
        <v>0</v>
      </c>
      <c r="E20" s="111">
        <f t="shared" ref="E20:F20" si="17">SUM(E38+E56+E74)</f>
        <v>0</v>
      </c>
      <c r="F20" s="111">
        <f t="shared" si="17"/>
        <v>0</v>
      </c>
      <c r="G20" s="112">
        <f t="shared" ref="G20" si="18">SUM(G38+G56+G74)</f>
        <v>0</v>
      </c>
      <c r="H20" s="111">
        <f>IF('AW Schulen'!$C158=0,"x",C20/'AW Schulen'!$C158)</f>
        <v>0</v>
      </c>
      <c r="I20" s="111">
        <f>IF('AW Schulen'!$F158=0,"x",D20/'AW Schulen'!$F158)</f>
        <v>0</v>
      </c>
      <c r="J20" s="111">
        <f>IF('AW Schulen'!$I158=0,"x",E20/'AW Schulen'!$I158)</f>
        <v>0</v>
      </c>
      <c r="K20" s="111">
        <f>IF('AW Schulen'!$L158=0,"x",F20/'AW Schulen'!$L158)</f>
        <v>0</v>
      </c>
      <c r="L20" s="112">
        <f>IF('AW Schulen'!$O158=0,"x",G20/'AW Schulen'!$O158)</f>
        <v>0</v>
      </c>
    </row>
    <row r="21" spans="1:12" ht="9" customHeight="1">
      <c r="A21" s="21" t="s">
        <v>89</v>
      </c>
      <c r="B21" s="120"/>
      <c r="C21" s="42">
        <f t="shared" si="0"/>
        <v>38</v>
      </c>
      <c r="D21" s="42">
        <f t="shared" si="0"/>
        <v>46</v>
      </c>
      <c r="E21" s="42">
        <f t="shared" ref="E21:F21" si="19">SUM(E39+E57+E75)</f>
        <v>40</v>
      </c>
      <c r="F21" s="42">
        <f t="shared" si="19"/>
        <v>42</v>
      </c>
      <c r="G21" s="44">
        <f t="shared" ref="G21" si="20">SUM(G39+G57+G75)</f>
        <v>43</v>
      </c>
      <c r="H21" s="153">
        <f>IF('AW Schulen'!$C159=0,"x",C21/'AW Schulen'!$C159)</f>
        <v>0.95</v>
      </c>
      <c r="I21" s="153">
        <f>IF('AW Schulen'!$F159=0,"x",D21/'AW Schulen'!$F159)</f>
        <v>1</v>
      </c>
      <c r="J21" s="153">
        <f>IF('AW Schulen'!$I159=0,"x",E21/'AW Schulen'!$I159)</f>
        <v>1</v>
      </c>
      <c r="K21" s="153">
        <f>IF('AW Schulen'!$L159=0,"x",F21/'AW Schulen'!$L159)</f>
        <v>1</v>
      </c>
      <c r="L21" s="154">
        <f>IF('AW Schulen'!$O159=0,"x",G21/'AW Schulen'!$O159)</f>
        <v>1</v>
      </c>
    </row>
    <row r="22" spans="1:12" ht="9" customHeight="1">
      <c r="A22" s="21" t="s">
        <v>90</v>
      </c>
      <c r="B22" s="120"/>
      <c r="C22" s="42">
        <f t="shared" si="0"/>
        <v>7</v>
      </c>
      <c r="D22" s="42">
        <f t="shared" si="0"/>
        <v>7</v>
      </c>
      <c r="E22" s="42">
        <f t="shared" ref="E22:F22" si="21">SUM(E40+E58+E76)</f>
        <v>6</v>
      </c>
      <c r="F22" s="42">
        <f t="shared" si="21"/>
        <v>6</v>
      </c>
      <c r="G22" s="44">
        <f t="shared" ref="G22" si="22">SUM(G40+G58+G76)</f>
        <v>6</v>
      </c>
      <c r="H22" s="153">
        <f>IF('AW Schulen'!$C160=0,"x",C22/'AW Schulen'!$C160)</f>
        <v>0.77777777777777779</v>
      </c>
      <c r="I22" s="153">
        <f>IF('AW Schulen'!$F160=0,"x",D22/'AW Schulen'!$F160)</f>
        <v>0.77777777777777779</v>
      </c>
      <c r="J22" s="153">
        <f>IF('AW Schulen'!$I160=0,"x",E22/'AW Schulen'!$I160)</f>
        <v>0.75</v>
      </c>
      <c r="K22" s="153">
        <f>IF('AW Schulen'!$L160=0,"x",F22/'AW Schulen'!$L160)</f>
        <v>0.75</v>
      </c>
      <c r="L22" s="154">
        <f>IF('AW Schulen'!$O160=0,"x",G22/'AW Schulen'!$O160)</f>
        <v>0.75</v>
      </c>
    </row>
    <row r="23" spans="1:12" ht="9" customHeight="1">
      <c r="A23" s="21" t="s">
        <v>91</v>
      </c>
      <c r="B23" s="120"/>
      <c r="C23" s="42">
        <f t="shared" si="0"/>
        <v>2</v>
      </c>
      <c r="D23" s="42">
        <f t="shared" si="0"/>
        <v>2</v>
      </c>
      <c r="E23" s="42">
        <f t="shared" ref="E23:F23" si="23">SUM(E41+E59+E77)</f>
        <v>3</v>
      </c>
      <c r="F23" s="42">
        <f t="shared" si="23"/>
        <v>3</v>
      </c>
      <c r="G23" s="44">
        <f t="shared" ref="G23" si="24">SUM(G41+G59+G77)</f>
        <v>3</v>
      </c>
      <c r="H23" s="153">
        <f>IF('AW Schulen'!$C161=0,"x",C23/'AW Schulen'!$C161)</f>
        <v>0.5</v>
      </c>
      <c r="I23" s="153">
        <f>IF('AW Schulen'!$F161=0,"x",D23/'AW Schulen'!$F161)</f>
        <v>0.5</v>
      </c>
      <c r="J23" s="153">
        <f>IF('AW Schulen'!$I161=0,"x",E23/'AW Schulen'!$I161)</f>
        <v>0.75</v>
      </c>
      <c r="K23" s="153">
        <f>IF('AW Schulen'!$L161=0,"x",F23/'AW Schulen'!$L161)</f>
        <v>0.75</v>
      </c>
      <c r="L23" s="154">
        <f>IF('AW Schulen'!$O161=0,"x",G23/'AW Schulen'!$O161)</f>
        <v>0.75</v>
      </c>
    </row>
    <row r="24" spans="1:12" ht="9" customHeight="1">
      <c r="A24" s="21" t="s">
        <v>92</v>
      </c>
      <c r="B24" s="120"/>
      <c r="C24" s="42">
        <f t="shared" si="0"/>
        <v>4</v>
      </c>
      <c r="D24" s="42">
        <f t="shared" si="0"/>
        <v>5</v>
      </c>
      <c r="E24" s="42">
        <f t="shared" ref="E24:F24" si="25">SUM(E42+E60+E78)</f>
        <v>5</v>
      </c>
      <c r="F24" s="42">
        <f t="shared" si="25"/>
        <v>6</v>
      </c>
      <c r="G24" s="44">
        <f t="shared" ref="G24" si="26">SUM(G42+G60+G78)</f>
        <v>6</v>
      </c>
      <c r="H24" s="153">
        <f>IF('AW Schulen'!$C162=0,"x",C24/'AW Schulen'!$C162)</f>
        <v>0.8</v>
      </c>
      <c r="I24" s="153">
        <f>IF('AW Schulen'!$F162=0,"x",D24/'AW Schulen'!$F162)</f>
        <v>1</v>
      </c>
      <c r="J24" s="153">
        <f>IF('AW Schulen'!$I162=0,"x",E24/'AW Schulen'!$I162)</f>
        <v>0.83333333333333337</v>
      </c>
      <c r="K24" s="153">
        <f>IF('AW Schulen'!$L162=0,"x",F24/'AW Schulen'!$L162)</f>
        <v>1</v>
      </c>
      <c r="L24" s="154">
        <f>IF('AW Schulen'!$O162=0,"x",G24/'AW Schulen'!$O162)</f>
        <v>1</v>
      </c>
    </row>
    <row r="25" spans="1:12" ht="9" customHeight="1">
      <c r="A25" s="21" t="s">
        <v>93</v>
      </c>
      <c r="B25" s="120"/>
      <c r="C25" s="111">
        <f t="shared" si="0"/>
        <v>0</v>
      </c>
      <c r="D25" s="111">
        <f t="shared" si="0"/>
        <v>0</v>
      </c>
      <c r="E25" s="111">
        <f t="shared" ref="E25:F25" si="27">SUM(E43+E61+E79)</f>
        <v>0</v>
      </c>
      <c r="F25" s="111">
        <f t="shared" si="27"/>
        <v>0</v>
      </c>
      <c r="G25" s="112">
        <f t="shared" ref="G25" si="28">SUM(G43+G61+G79)</f>
        <v>0</v>
      </c>
      <c r="H25" s="182" t="str">
        <f>IF('AW Schulen'!$C163=0,".",C25/'AW Schulen'!$C163)</f>
        <v>.</v>
      </c>
      <c r="I25" s="182" t="str">
        <f>IF('AW Schulen'!$F163=0,".",D25/'AW Schulen'!$F163)</f>
        <v>.</v>
      </c>
      <c r="J25" s="182" t="str">
        <f>IF('AW Schulen'!$I163=0,".",E25/'AW Schulen'!$I163)</f>
        <v>.</v>
      </c>
      <c r="K25" s="182" t="str">
        <f>IF('AW Schulen'!$L163=0,".",F25/'AW Schulen'!$L163)</f>
        <v>.</v>
      </c>
      <c r="L25" s="196" t="str">
        <f>IF('AW Schulen'!$O163=0,".",G25/'AW Schulen'!$O163)</f>
        <v>.</v>
      </c>
    </row>
    <row r="26" spans="1:12" ht="9" customHeight="1">
      <c r="A26" s="21" t="s">
        <v>94</v>
      </c>
      <c r="B26" s="120"/>
      <c r="C26" s="42">
        <f t="shared" si="0"/>
        <v>10</v>
      </c>
      <c r="D26" s="42">
        <f t="shared" si="0"/>
        <v>10</v>
      </c>
      <c r="E26" s="42">
        <f t="shared" ref="E26:F26" si="29">SUM(E44+E62+E80)</f>
        <v>10</v>
      </c>
      <c r="F26" s="42">
        <f t="shared" si="29"/>
        <v>10</v>
      </c>
      <c r="G26" s="44">
        <f t="shared" ref="G26" si="30">SUM(G44+G62+G80)</f>
        <v>10</v>
      </c>
      <c r="H26" s="153">
        <f>IF('AW Schulen'!$C164=0,"x",C26/'AW Schulen'!$C164)</f>
        <v>0.83333333333333337</v>
      </c>
      <c r="I26" s="153">
        <f>IF('AW Schulen'!$F164=0,"x",D26/'AW Schulen'!$F164)</f>
        <v>0.83333333333333337</v>
      </c>
      <c r="J26" s="153">
        <f>IF('AW Schulen'!$I164=0,"x",E26/'AW Schulen'!$I164)</f>
        <v>0.83333333333333337</v>
      </c>
      <c r="K26" s="153">
        <f>IF('AW Schulen'!$L164=0,"x",F26/'AW Schulen'!$L164)</f>
        <v>0.83333333333333337</v>
      </c>
      <c r="L26" s="154">
        <f>IF('AW Schulen'!$O164=0,"x",G26/'AW Schulen'!$O164)</f>
        <v>0.83333333333333337</v>
      </c>
    </row>
    <row r="27" spans="1:12" ht="9" customHeight="1">
      <c r="A27" s="21" t="s">
        <v>95</v>
      </c>
      <c r="B27" s="120"/>
      <c r="C27" s="42">
        <f t="shared" si="0"/>
        <v>5</v>
      </c>
      <c r="D27" s="42">
        <f t="shared" si="0"/>
        <v>5</v>
      </c>
      <c r="E27" s="42">
        <f t="shared" ref="E27:F27" si="31">SUM(E45+E63+E81)</f>
        <v>5</v>
      </c>
      <c r="F27" s="42">
        <f t="shared" si="31"/>
        <v>5</v>
      </c>
      <c r="G27" s="44">
        <f t="shared" ref="G27" si="32">SUM(G45+G63+G81)</f>
        <v>5</v>
      </c>
      <c r="H27" s="153">
        <f>IF('AW Schulen'!$C165=0,"x",C27/'AW Schulen'!$C165)</f>
        <v>1</v>
      </c>
      <c r="I27" s="153">
        <f>IF('AW Schulen'!$F165=0,"x",D27/'AW Schulen'!$F165)</f>
        <v>1</v>
      </c>
      <c r="J27" s="153">
        <f>IF('AW Schulen'!$I165=0,"x",E27/'AW Schulen'!$I165)</f>
        <v>1</v>
      </c>
      <c r="K27" s="153">
        <f>IF('AW Schulen'!$L165=0,"x",F27/'AW Schulen'!$L165)</f>
        <v>1</v>
      </c>
      <c r="L27" s="154">
        <f>IF('AW Schulen'!$O165=0,"x",G27/'AW Schulen'!$O165)</f>
        <v>1</v>
      </c>
    </row>
    <row r="28" spans="1:12" ht="9" customHeight="1">
      <c r="A28" s="21" t="s">
        <v>96</v>
      </c>
      <c r="B28" s="120"/>
      <c r="C28" s="42">
        <f t="shared" si="0"/>
        <v>116</v>
      </c>
      <c r="D28" s="42">
        <f t="shared" si="0"/>
        <v>128</v>
      </c>
      <c r="E28" s="42">
        <f t="shared" ref="E28:F28" si="33">SUM(E46+E64+E82)</f>
        <v>123</v>
      </c>
      <c r="F28" s="42">
        <f t="shared" si="33"/>
        <v>129</v>
      </c>
      <c r="G28" s="44">
        <f t="shared" ref="G28" si="34">SUM(G46+G64+G82)</f>
        <v>131</v>
      </c>
      <c r="H28" s="153">
        <f>IF('AW Schulen'!$C166=0,"x",C28/'AW Schulen'!$C166)</f>
        <v>0.63736263736263732</v>
      </c>
      <c r="I28" s="153">
        <f>IF('AW Schulen'!$F166=0,"x",D28/'AW Schulen'!$F166)</f>
        <v>0.68449197860962563</v>
      </c>
      <c r="J28" s="153">
        <f>IF('AW Schulen'!$I166=0,"x",E28/'AW Schulen'!$I166)</f>
        <v>0.67582417582417587</v>
      </c>
      <c r="K28" s="153">
        <f>IF('AW Schulen'!$L166=0,"x",F28/'AW Schulen'!$L166)</f>
        <v>0.68617021276595747</v>
      </c>
      <c r="L28" s="154">
        <f>IF('AW Schulen'!$O166=0,"x",G28/'AW Schulen'!$O166)</f>
        <v>0.68947368421052635</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[1]GtS!$F$58</f>
        <v>5</v>
      </c>
      <c r="D30" s="23">
        <f>[2]GtS!$F$61</f>
        <v>5</v>
      </c>
      <c r="E30" s="23">
        <f>[3]GtS!$F$61</f>
        <v>5</v>
      </c>
      <c r="F30" s="23">
        <f>[4]GtS!$F$61</f>
        <v>5</v>
      </c>
      <c r="G30" s="34">
        <f>[5]GtS!$F$61</f>
        <v>4</v>
      </c>
      <c r="H30" s="155">
        <f>IF('AW Schulen'!$C150=0,"x",C30/'AW Schulen'!$C150)</f>
        <v>8.6206896551724144E-2</v>
      </c>
      <c r="I30" s="155">
        <f>IF('AW Schulen'!$F150=0,"x",D30/'AW Schulen'!$F150)</f>
        <v>8.6206896551724144E-2</v>
      </c>
      <c r="J30" s="155">
        <f>IF('AW Schulen'!$I150=0,"x",E30/'AW Schulen'!$I150)</f>
        <v>8.6206896551724144E-2</v>
      </c>
      <c r="K30" s="155">
        <f>IF('AW Schulen'!$L150=0,"x",F30/'AW Schulen'!$L150)</f>
        <v>8.4745762711864403E-2</v>
      </c>
      <c r="L30" s="156">
        <f>IF('AW Schulen'!$O150=0,"x",G30/'AW Schulen'!$O150)</f>
        <v>6.8965517241379309E-2</v>
      </c>
    </row>
    <row r="31" spans="1:12" ht="9" customHeight="1">
      <c r="A31" s="21" t="s">
        <v>81</v>
      </c>
      <c r="B31" s="120"/>
      <c r="C31" s="23">
        <f>[6]GtS!$F$58</f>
        <v>0</v>
      </c>
      <c r="D31" s="23">
        <f>[7]GtS!$F$61</f>
        <v>0</v>
      </c>
      <c r="E31" s="23">
        <f>[8]GtS!$F$61</f>
        <v>0</v>
      </c>
      <c r="F31" s="23" t="str">
        <f>[9]GtS!$F$61</f>
        <v xml:space="preserve">                                      -   </v>
      </c>
      <c r="G31" s="34">
        <f>[10]GtS!$F$61</f>
        <v>0</v>
      </c>
      <c r="H31" s="155">
        <f>IF('AW Schulen'!$C151=0,"x",C31/'AW Schulen'!$C151)</f>
        <v>0</v>
      </c>
      <c r="I31" s="155">
        <f>IF('AW Schulen'!$F151=0,"x",D31/'AW Schulen'!$F151)</f>
        <v>0</v>
      </c>
      <c r="J31" s="155">
        <f>IF('AW Schulen'!$I151=0,"x",E31/'AW Schulen'!$I151)</f>
        <v>0</v>
      </c>
      <c r="K31" s="155" t="e">
        <f>IF('AW Schulen'!$L151=0,"x",F31/'AW Schulen'!$L151)</f>
        <v>#VALUE!</v>
      </c>
      <c r="L31" s="156">
        <f>IF('AW Schulen'!$O151=0,"x",G31/'AW Schulen'!$O151)</f>
        <v>0</v>
      </c>
    </row>
    <row r="32" spans="1:12" ht="9" customHeight="1">
      <c r="A32" s="21" t="s">
        <v>82</v>
      </c>
      <c r="B32" s="120"/>
      <c r="C32" s="23">
        <f>[11]GtS!$F$58</f>
        <v>0</v>
      </c>
      <c r="D32" s="23">
        <f>[12]GtS!$F$61</f>
        <v>0</v>
      </c>
      <c r="E32" s="23">
        <f>[13]GtS!$F$61</f>
        <v>0</v>
      </c>
      <c r="F32" s="23">
        <f>[14]GtS!$F$61</f>
        <v>0</v>
      </c>
      <c r="G32" s="34">
        <f>[15]GtS!$F$61</f>
        <v>0</v>
      </c>
      <c r="H32" s="155">
        <f>IF('AW Schulen'!$C152=0,"x",C32/'AW Schulen'!$C152)</f>
        <v>0</v>
      </c>
      <c r="I32" s="155">
        <f>IF('AW Schulen'!$F152=0,"x",D32/'AW Schulen'!$F152)</f>
        <v>0</v>
      </c>
      <c r="J32" s="155">
        <f>IF('AW Schulen'!$I152=0,"x",E32/'AW Schulen'!$I152)</f>
        <v>0</v>
      </c>
      <c r="K32" s="155">
        <f>IF('AW Schulen'!$L152=0,"x",F32/'AW Schulen'!$L152)</f>
        <v>0</v>
      </c>
      <c r="L32" s="156">
        <f>IF('AW Schulen'!$O152=0,"x",G32/'AW Schulen'!$O152)</f>
        <v>0</v>
      </c>
    </row>
    <row r="33" spans="1:12" ht="9" customHeight="1">
      <c r="A33" s="21" t="s">
        <v>83</v>
      </c>
      <c r="B33" s="120"/>
      <c r="C33" s="23">
        <f>[16]GtS!$F$58</f>
        <v>4</v>
      </c>
      <c r="D33" s="23">
        <f>[17]GtS!$F$61</f>
        <v>4</v>
      </c>
      <c r="E33" s="23">
        <f>[18]GtS!$F$61</f>
        <v>4</v>
      </c>
      <c r="F33" s="23">
        <f>[19]GtS!$F$61</f>
        <v>4</v>
      </c>
      <c r="G33" s="34">
        <f>[20]GtS!$F$61</f>
        <v>4</v>
      </c>
      <c r="H33" s="155">
        <f>IF('AW Schulen'!$C153=0,"x",C33/'AW Schulen'!$C153)</f>
        <v>0.8</v>
      </c>
      <c r="I33" s="155">
        <f>IF('AW Schulen'!$F153=0,"x",D33/'AW Schulen'!$F153)</f>
        <v>0.8</v>
      </c>
      <c r="J33" s="155">
        <f>IF('AW Schulen'!$I153=0,"x",E33/'AW Schulen'!$I153)</f>
        <v>0.8</v>
      </c>
      <c r="K33" s="155">
        <f>IF('AW Schulen'!$L153=0,"x",F33/'AW Schulen'!$L153)</f>
        <v>0.8</v>
      </c>
      <c r="L33" s="156">
        <f>IF('AW Schulen'!$O153=0,"x",G33/'AW Schulen'!$O153)</f>
        <v>0.8</v>
      </c>
    </row>
    <row r="34" spans="1:12" ht="9" customHeight="1">
      <c r="A34" s="21" t="s">
        <v>84</v>
      </c>
      <c r="B34" s="120"/>
      <c r="C34" s="23">
        <f>[21]GtS!$F$58</f>
        <v>0</v>
      </c>
      <c r="D34" s="23">
        <f>[22]GtS!$F$61</f>
        <v>0</v>
      </c>
      <c r="E34" s="23">
        <f>[23]GtS!$F$61</f>
        <v>0</v>
      </c>
      <c r="F34" s="23">
        <f>[24]GtS!$F$61</f>
        <v>0</v>
      </c>
      <c r="G34" s="34">
        <f>[25]GtS!$F$61</f>
        <v>0</v>
      </c>
      <c r="H34" s="155">
        <f>IF('AW Schulen'!$C154=0,"x",C34/'AW Schulen'!$C154)</f>
        <v>0</v>
      </c>
      <c r="I34" s="155">
        <f>IF('AW Schulen'!$F154=0,"x",D34/'AW Schulen'!$F154)</f>
        <v>0</v>
      </c>
      <c r="J34" s="155">
        <f>IF('AW Schulen'!$I154=0,"x",E34/'AW Schulen'!$I154)</f>
        <v>0</v>
      </c>
      <c r="K34" s="155">
        <f>IF('AW Schulen'!$L154=0,"x",F34/'AW Schulen'!$L154)</f>
        <v>0</v>
      </c>
      <c r="L34" s="156">
        <f>IF('AW Schulen'!$O154=0,"x",G34/'AW Schulen'!$O154)</f>
        <v>0</v>
      </c>
    </row>
    <row r="35" spans="1:12" ht="9" customHeight="1">
      <c r="A35" s="21" t="s">
        <v>85</v>
      </c>
      <c r="B35" s="120"/>
      <c r="C35" s="35">
        <f>[26]GtS!$F$58</f>
        <v>0</v>
      </c>
      <c r="D35" s="23">
        <f>[27]GtS!$F$61</f>
        <v>0</v>
      </c>
      <c r="E35" s="23">
        <f>[28]GtS!$F$61</f>
        <v>0</v>
      </c>
      <c r="F35" s="23">
        <f>[29]GtS!$F$61</f>
        <v>0</v>
      </c>
      <c r="G35" s="34">
        <f>[30]GtS!$F$61</f>
        <v>0</v>
      </c>
      <c r="H35" s="35">
        <f>IF('AW Schulen'!$C155=0,"x",C35/'AW Schulen'!$C155)</f>
        <v>0</v>
      </c>
      <c r="I35" s="155">
        <f>IF('AW Schulen'!$F155=0,"x",D35/'AW Schulen'!$F155)</f>
        <v>0</v>
      </c>
      <c r="J35" s="155">
        <f>IF('AW Schulen'!$I155=0,"x",E35/'AW Schulen'!$I155)</f>
        <v>0</v>
      </c>
      <c r="K35" s="155">
        <f>IF('AW Schulen'!$L155=0,"x",F35/'AW Schulen'!$L155)</f>
        <v>0</v>
      </c>
      <c r="L35" s="156">
        <f>IF('AW Schulen'!$O155=0,"x",G35/'AW Schulen'!$O155)</f>
        <v>0</v>
      </c>
    </row>
    <row r="36" spans="1:12" ht="9" customHeight="1">
      <c r="A36" s="21" t="s">
        <v>86</v>
      </c>
      <c r="B36" s="120"/>
      <c r="C36" s="35">
        <f>[66]GtS!$F$58</f>
        <v>0</v>
      </c>
      <c r="D36" s="35">
        <f>[67]GtS!$F$61</f>
        <v>0</v>
      </c>
      <c r="E36" s="35">
        <f>[68]GtS!$F$61</f>
        <v>0</v>
      </c>
      <c r="F36" s="35">
        <f>[69]GtS!$F$61</f>
        <v>0</v>
      </c>
      <c r="G36" s="200">
        <f>[70]GtS!$F$61</f>
        <v>0</v>
      </c>
      <c r="H36" s="35">
        <f>IF('AW Schulen'!$C156=0,"x",C36/'AW Schulen'!$C156)</f>
        <v>0</v>
      </c>
      <c r="I36" s="57" t="str">
        <f>IF('AW Schulen'!$F156=0,".",D36/'AW Schulen'!$F156)</f>
        <v>.</v>
      </c>
      <c r="J36" s="57" t="str">
        <f>IF('AW Schulen'!$I156=0,".",E36/'AW Schulen'!$I156)</f>
        <v>.</v>
      </c>
      <c r="K36" s="57" t="str">
        <f>IF('AW Schulen'!$L156=0,".",F36/'AW Schulen'!$L156)</f>
        <v>.</v>
      </c>
      <c r="L36" s="195" t="str">
        <f>IF('AW Schulen'!$O156=0,".",G36/'AW Schulen'!$O156)</f>
        <v>.</v>
      </c>
    </row>
    <row r="37" spans="1:12" ht="9" customHeight="1">
      <c r="A37" s="21" t="s">
        <v>174</v>
      </c>
      <c r="B37" s="120"/>
      <c r="C37" s="23">
        <f>[31]GtS!$F$58</f>
        <v>0</v>
      </c>
      <c r="D37" s="23">
        <f>[32]GtS!$F$61</f>
        <v>1</v>
      </c>
      <c r="E37" s="23">
        <f>[33]GtS!$F$61</f>
        <v>1</v>
      </c>
      <c r="F37" s="23">
        <f>[34]GtS!$F$61</f>
        <v>1</v>
      </c>
      <c r="G37" s="34">
        <f>[35]GtS!$F$61</f>
        <v>1</v>
      </c>
      <c r="H37" s="155">
        <f>IF('AW Schulen'!$C157=0,"x",C37/'AW Schulen'!$C157)</f>
        <v>0</v>
      </c>
      <c r="I37" s="155">
        <f>IF('AW Schulen'!$F157=0,"x",D37/'AW Schulen'!$F157)</f>
        <v>0.33333333333333331</v>
      </c>
      <c r="J37" s="155">
        <f>IF('AW Schulen'!$I157=0,"x",E37/'AW Schulen'!$I157)</f>
        <v>0.33333333333333331</v>
      </c>
      <c r="K37" s="155">
        <f>IF('AW Schulen'!$L157=0,"x",F37/'AW Schulen'!$L157)</f>
        <v>0.25</v>
      </c>
      <c r="L37" s="156">
        <f>IF('AW Schulen'!$O157=0,"x",G37/'AW Schulen'!$O157)</f>
        <v>0.2</v>
      </c>
    </row>
    <row r="38" spans="1:12" ht="9" customHeight="1">
      <c r="A38" s="21" t="s">
        <v>88</v>
      </c>
      <c r="B38" s="120"/>
      <c r="C38" s="35">
        <f>[71]GtS!$F$58</f>
        <v>0</v>
      </c>
      <c r="D38" s="35">
        <f>[72]GtS!$F$61</f>
        <v>0</v>
      </c>
      <c r="E38" s="35">
        <f>[73]GtS!$F$61</f>
        <v>0</v>
      </c>
      <c r="F38" s="35">
        <f>[74]GtS!$F$61</f>
        <v>0</v>
      </c>
      <c r="G38" s="200">
        <f>[75]GtS!$F$61</f>
        <v>0</v>
      </c>
      <c r="H38" s="35">
        <f>IF('AW Schulen'!$C158=0,"x",C38/'AW Schulen'!$C158)</f>
        <v>0</v>
      </c>
      <c r="I38" s="35">
        <f>IF('AW Schulen'!$F158=0,"x",D38/'AW Schulen'!$F158)</f>
        <v>0</v>
      </c>
      <c r="J38" s="35">
        <f>IF('AW Schulen'!$I158=0,"x",E38/'AW Schulen'!$I158)</f>
        <v>0</v>
      </c>
      <c r="K38" s="35">
        <f>IF('AW Schulen'!$L158=0,"x",F38/'AW Schulen'!$L158)</f>
        <v>0</v>
      </c>
      <c r="L38" s="200">
        <f>IF('AW Schulen'!$O158=0,"x",G38/'AW Schulen'!$O158)</f>
        <v>0</v>
      </c>
    </row>
    <row r="39" spans="1:12" ht="9" customHeight="1">
      <c r="A39" s="21" t="s">
        <v>89</v>
      </c>
      <c r="B39" s="120"/>
      <c r="C39" s="23">
        <f>[36]GtS!$F$58</f>
        <v>2</v>
      </c>
      <c r="D39" s="23">
        <f>[37]GtS!$F$61</f>
        <v>11</v>
      </c>
      <c r="E39" s="23">
        <f>[38]GtS!$F$61</f>
        <v>5</v>
      </c>
      <c r="F39" s="23">
        <f>[39]GtS!$F$61</f>
        <v>6</v>
      </c>
      <c r="G39" s="34">
        <f>[40]GtS!$F$61</f>
        <v>8</v>
      </c>
      <c r="H39" s="155">
        <f>IF('AW Schulen'!$C159=0,"x",C39/'AW Schulen'!$C159)</f>
        <v>0.05</v>
      </c>
      <c r="I39" s="155">
        <f>IF('AW Schulen'!$F159=0,"x",D39/'AW Schulen'!$F159)</f>
        <v>0.2391304347826087</v>
      </c>
      <c r="J39" s="155">
        <f>IF('AW Schulen'!$I159=0,"x",E39/'AW Schulen'!$I159)</f>
        <v>0.125</v>
      </c>
      <c r="K39" s="155">
        <f>IF('AW Schulen'!$L159=0,"x",F39/'AW Schulen'!$L159)</f>
        <v>0.14285714285714285</v>
      </c>
      <c r="L39" s="156">
        <f>IF('AW Schulen'!$O159=0,"x",G39/'AW Schulen'!$O159)</f>
        <v>0.18604651162790697</v>
      </c>
    </row>
    <row r="40" spans="1:12" ht="9" customHeight="1">
      <c r="A40" s="21" t="s">
        <v>90</v>
      </c>
      <c r="B40" s="120"/>
      <c r="C40" s="23">
        <f>[41]GtS!$F$58</f>
        <v>0</v>
      </c>
      <c r="D40" s="23">
        <f>[42]GtS!$F$61</f>
        <v>0</v>
      </c>
      <c r="E40" s="23">
        <f>[43]GtS!$F$61</f>
        <v>0</v>
      </c>
      <c r="F40" s="23">
        <f>[44]GtS!$F$61</f>
        <v>0</v>
      </c>
      <c r="G40" s="34">
        <f>[45]GtS!$F$61</f>
        <v>0</v>
      </c>
      <c r="H40" s="155">
        <f>IF('AW Schulen'!$C160=0,"x",C40/'AW Schulen'!$C160)</f>
        <v>0</v>
      </c>
      <c r="I40" s="155">
        <f>IF('AW Schulen'!$F160=0,"x",D40/'AW Schulen'!$F160)</f>
        <v>0</v>
      </c>
      <c r="J40" s="155">
        <f>IF('AW Schulen'!$I160=0,"x",E40/'AW Schulen'!$I160)</f>
        <v>0</v>
      </c>
      <c r="K40" s="155">
        <f>IF('AW Schulen'!$L160=0,"x",F40/'AW Schulen'!$L160)</f>
        <v>0</v>
      </c>
      <c r="L40" s="156">
        <f>IF('AW Schulen'!$O160=0,"x",G40/'AW Schulen'!$O160)</f>
        <v>0</v>
      </c>
    </row>
    <row r="41" spans="1:12" ht="9" customHeight="1">
      <c r="A41" s="21" t="s">
        <v>91</v>
      </c>
      <c r="B41" s="120"/>
      <c r="C41" s="23">
        <f>[46]GtS!$F$58</f>
        <v>0</v>
      </c>
      <c r="D41" s="23">
        <f>[47]GtS!$F$61</f>
        <v>0</v>
      </c>
      <c r="E41" s="23">
        <f>[48]GtS!$F$61</f>
        <v>0</v>
      </c>
      <c r="F41" s="23">
        <f>[49]GtS!$F$61</f>
        <v>0</v>
      </c>
      <c r="G41" s="34">
        <f>[50]GtS!$F$61</f>
        <v>0</v>
      </c>
      <c r="H41" s="155">
        <f>IF('AW Schulen'!$C161=0,"x",C41/'AW Schulen'!$C161)</f>
        <v>0</v>
      </c>
      <c r="I41" s="155">
        <f>IF('AW Schulen'!$F161=0,"x",D41/'AW Schulen'!$F161)</f>
        <v>0</v>
      </c>
      <c r="J41" s="155">
        <f>IF('AW Schulen'!$I161=0,"x",E41/'AW Schulen'!$I161)</f>
        <v>0</v>
      </c>
      <c r="K41" s="155">
        <f>IF('AW Schulen'!$L161=0,"x",F41/'AW Schulen'!$L161)</f>
        <v>0</v>
      </c>
      <c r="L41" s="156">
        <f>IF('AW Schulen'!$O161=0,"x",G41/'AW Schulen'!$O161)</f>
        <v>0</v>
      </c>
    </row>
    <row r="42" spans="1:12" ht="9" customHeight="1">
      <c r="A42" s="21" t="s">
        <v>92</v>
      </c>
      <c r="B42" s="120"/>
      <c r="C42" s="23">
        <f>[51]GtS!$F$58</f>
        <v>1</v>
      </c>
      <c r="D42" s="23">
        <f>[52]GtS!$F$61</f>
        <v>1</v>
      </c>
      <c r="E42" s="23">
        <f>[53]GtS!$F$61</f>
        <v>1</v>
      </c>
      <c r="F42" s="23">
        <f>[54]GtS!$F$61</f>
        <v>1</v>
      </c>
      <c r="G42" s="34">
        <f>[55]GtS!$F$61</f>
        <v>0</v>
      </c>
      <c r="H42" s="155">
        <f>IF('AW Schulen'!$C162=0,"x",C42/'AW Schulen'!$C162)</f>
        <v>0.2</v>
      </c>
      <c r="I42" s="155">
        <f>IF('AW Schulen'!$F162=0,"x",D42/'AW Schulen'!$F162)</f>
        <v>0.2</v>
      </c>
      <c r="J42" s="155">
        <f>IF('AW Schulen'!$I162=0,"x",E42/'AW Schulen'!$I162)</f>
        <v>0.16666666666666666</v>
      </c>
      <c r="K42" s="155">
        <f>IF('AW Schulen'!$L162=0,"x",F42/'AW Schulen'!$L162)</f>
        <v>0.16666666666666666</v>
      </c>
      <c r="L42" s="156">
        <f>IF('AW Schulen'!$O162=0,"x",G42/'AW Schulen'!$O162)</f>
        <v>0</v>
      </c>
    </row>
    <row r="43" spans="1:12" ht="9" customHeight="1">
      <c r="A43" s="21" t="s">
        <v>93</v>
      </c>
      <c r="B43" s="120"/>
      <c r="C43" s="35">
        <f>[76]GtS!$F$58</f>
        <v>0</v>
      </c>
      <c r="D43" s="35">
        <f>[77]GtS!$F$61</f>
        <v>0</v>
      </c>
      <c r="E43" s="35">
        <f>[78]GtS!$F$61</f>
        <v>0</v>
      </c>
      <c r="F43" s="35">
        <f>[79]GtS!$F$61</f>
        <v>0</v>
      </c>
      <c r="G43" s="200">
        <f>[80]GtS!$F$61</f>
        <v>0</v>
      </c>
      <c r="H43" s="35">
        <v>0</v>
      </c>
      <c r="I43" s="35">
        <v>0</v>
      </c>
      <c r="J43" s="183">
        <v>0</v>
      </c>
      <c r="K43" s="183">
        <v>0</v>
      </c>
      <c r="L43" s="197">
        <v>0</v>
      </c>
    </row>
    <row r="44" spans="1:12" ht="9" customHeight="1">
      <c r="A44" s="21" t="s">
        <v>94</v>
      </c>
      <c r="B44" s="120"/>
      <c r="C44" s="23">
        <f>[56]GtS!$F$58</f>
        <v>0</v>
      </c>
      <c r="D44" s="23">
        <f>[57]GtS!$F$61</f>
        <v>0</v>
      </c>
      <c r="E44" s="23">
        <f>[58]GtS!$F$61</f>
        <v>0</v>
      </c>
      <c r="F44" s="23">
        <f>[59]GtS!$F$61</f>
        <v>0</v>
      </c>
      <c r="G44" s="34">
        <f>[60]GtS!$F$61</f>
        <v>0</v>
      </c>
      <c r="H44" s="155">
        <f>IF('AW Schulen'!$C164=0,"x",C44/'AW Schulen'!$C164)</f>
        <v>0</v>
      </c>
      <c r="I44" s="155">
        <f>IF('AW Schulen'!$F164=0,"x",D44/'AW Schulen'!$F164)</f>
        <v>0</v>
      </c>
      <c r="J44" s="155">
        <f>IF('AW Schulen'!$I164=0,"x",E44/'AW Schulen'!$I164)</f>
        <v>0</v>
      </c>
      <c r="K44" s="155">
        <f>IF('AW Schulen'!$L164=0,"x",F44/'AW Schulen'!$L164)</f>
        <v>0</v>
      </c>
      <c r="L44" s="156">
        <f>IF('AW Schulen'!$O164=0,"x",G44/'AW Schulen'!$O164)</f>
        <v>0</v>
      </c>
    </row>
    <row r="45" spans="1:12" ht="9" customHeight="1">
      <c r="A45" s="21" t="s">
        <v>95</v>
      </c>
      <c r="B45" s="120"/>
      <c r="C45" s="23">
        <f>[61]GtS!$F$58</f>
        <v>1</v>
      </c>
      <c r="D45" s="23">
        <f>[62]GtS!$F$61</f>
        <v>1</v>
      </c>
      <c r="E45" s="23">
        <f>[63]GtS!$F$61</f>
        <v>1</v>
      </c>
      <c r="F45" s="23">
        <f>[64]GtS!$F$61</f>
        <v>1</v>
      </c>
      <c r="G45" s="34">
        <f>[65]GtS!$F$61</f>
        <v>1</v>
      </c>
      <c r="H45" s="155">
        <f>IF('AW Schulen'!$C165=0,"x",C45/'AW Schulen'!$C165)</f>
        <v>0.2</v>
      </c>
      <c r="I45" s="155">
        <f>IF('AW Schulen'!$F165=0,"x",D45/'AW Schulen'!$F165)</f>
        <v>0.2</v>
      </c>
      <c r="J45" s="155">
        <f>IF('AW Schulen'!$I165=0,"x",E45/'AW Schulen'!$I165)</f>
        <v>0.2</v>
      </c>
      <c r="K45" s="155">
        <f>IF('AW Schulen'!$L165=0,"x",F45/'AW Schulen'!$L165)</f>
        <v>0.2</v>
      </c>
      <c r="L45" s="156">
        <f>IF('AW Schulen'!$O165=0,"x",G45/'AW Schulen'!$O165)</f>
        <v>0.2</v>
      </c>
    </row>
    <row r="46" spans="1:12" ht="9" customHeight="1">
      <c r="A46" s="21" t="s">
        <v>96</v>
      </c>
      <c r="B46" s="120"/>
      <c r="C46" s="23">
        <f t="shared" ref="C46:E46" si="35">SUM(C30:C45)</f>
        <v>13</v>
      </c>
      <c r="D46" s="23">
        <f t="shared" si="35"/>
        <v>23</v>
      </c>
      <c r="E46" s="23">
        <f t="shared" si="35"/>
        <v>17</v>
      </c>
      <c r="F46" s="23">
        <f t="shared" ref="F46:G46" si="36">SUM(F30:F45)</f>
        <v>18</v>
      </c>
      <c r="G46" s="34">
        <f t="shared" si="36"/>
        <v>18</v>
      </c>
      <c r="H46" s="155">
        <f>IF('AW Schulen'!$C166=0,"x",C46/'AW Schulen'!$C166)</f>
        <v>7.1428571428571425E-2</v>
      </c>
      <c r="I46" s="155">
        <f>IF('AW Schulen'!$F166=0,"x",D46/'AW Schulen'!$F166)</f>
        <v>0.12299465240641712</v>
      </c>
      <c r="J46" s="155">
        <f>IF('AW Schulen'!$I166=0,"x",E46/'AW Schulen'!$I166)</f>
        <v>9.3406593406593408E-2</v>
      </c>
      <c r="K46" s="155">
        <f>IF('AW Schulen'!$L166=0,"x",F46/'AW Schulen'!$L166)</f>
        <v>9.5744680851063829E-2</v>
      </c>
      <c r="L46" s="156">
        <f>IF('AW Schulen'!$O166=0,"x",G46/'AW Schulen'!$O166)</f>
        <v>9.4736842105263161E-2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[1]GtS!$G$58</f>
        <v>5</v>
      </c>
      <c r="D48" s="23">
        <f>[2]GtS!$G$61</f>
        <v>4</v>
      </c>
      <c r="E48" s="23">
        <f>[3]GtS!$G$61</f>
        <v>4</v>
      </c>
      <c r="F48" s="23">
        <f>[4]GtS!$G$61</f>
        <v>4</v>
      </c>
      <c r="G48" s="34">
        <f>[5]GtS!$G$61</f>
        <v>6</v>
      </c>
      <c r="H48" s="155">
        <f>IF('AW Schulen'!$C150=0,"x",C48/'AW Schulen'!$C150)</f>
        <v>8.6206896551724144E-2</v>
      </c>
      <c r="I48" s="155">
        <f>IF('AW Schulen'!$F150=0,"x",D48/'AW Schulen'!$F150)</f>
        <v>6.8965517241379309E-2</v>
      </c>
      <c r="J48" s="155">
        <f>IF('AW Schulen'!$I150=0,"x",E48/'AW Schulen'!$I150)</f>
        <v>6.8965517241379309E-2</v>
      </c>
      <c r="K48" s="155">
        <f>IF('AW Schulen'!$L150=0,"x",F48/'AW Schulen'!$L150)</f>
        <v>6.7796610169491525E-2</v>
      </c>
      <c r="L48" s="156">
        <f>IF('AW Schulen'!$O150=0,"x",G48/'AW Schulen'!$O150)</f>
        <v>0.10344827586206896</v>
      </c>
    </row>
    <row r="49" spans="1:12" ht="9" customHeight="1">
      <c r="A49" s="21" t="s">
        <v>81</v>
      </c>
      <c r="B49" s="120"/>
      <c r="C49" s="23">
        <f>[6]GtS!$G$58</f>
        <v>3</v>
      </c>
      <c r="D49" s="23">
        <f>[7]GtS!$G$61</f>
        <v>2</v>
      </c>
      <c r="E49" s="23">
        <f>[8]GtS!$G$61</f>
        <v>3</v>
      </c>
      <c r="F49" s="23">
        <f>[9]GtS!$G$61</f>
        <v>3</v>
      </c>
      <c r="G49" s="34">
        <f>[10]GtS!$G$61</f>
        <v>2</v>
      </c>
      <c r="H49" s="155">
        <f>IF('AW Schulen'!$C151=0,"x",C49/'AW Schulen'!$C151)</f>
        <v>0.14285714285714285</v>
      </c>
      <c r="I49" s="155">
        <f>IF('AW Schulen'!$F151=0,"x",D49/'AW Schulen'!$F151)</f>
        <v>9.5238095238095233E-2</v>
      </c>
      <c r="J49" s="155">
        <f>IF('AW Schulen'!$I151=0,"x",E49/'AW Schulen'!$I151)</f>
        <v>0.13636363636363635</v>
      </c>
      <c r="K49" s="155">
        <f>IF('AW Schulen'!$L151=0,"x",F49/'AW Schulen'!$L151)</f>
        <v>0.13636363636363635</v>
      </c>
      <c r="L49" s="156">
        <f>IF('AW Schulen'!$O151=0,"x",G49/'AW Schulen'!$O151)</f>
        <v>8.6956521739130432E-2</v>
      </c>
    </row>
    <row r="50" spans="1:12" ht="9" customHeight="1">
      <c r="A50" s="21" t="s">
        <v>82</v>
      </c>
      <c r="B50" s="120"/>
      <c r="C50" s="23">
        <f>[11]GtS!$G$58</f>
        <v>0</v>
      </c>
      <c r="D50" s="23">
        <f>[12]GtS!$G$61</f>
        <v>0</v>
      </c>
      <c r="E50" s="23">
        <f>[13]GtS!$G$61</f>
        <v>0</v>
      </c>
      <c r="F50" s="23">
        <f>[14]GtS!$G$61</f>
        <v>0</v>
      </c>
      <c r="G50" s="34">
        <f>[15]GtS!$G$61</f>
        <v>0</v>
      </c>
      <c r="H50" s="155">
        <f>IF('AW Schulen'!$C152=0,"x",C50/'AW Schulen'!$C152)</f>
        <v>0</v>
      </c>
      <c r="I50" s="155">
        <f>IF('AW Schulen'!$F152=0,"x",D50/'AW Schulen'!$F152)</f>
        <v>0</v>
      </c>
      <c r="J50" s="155">
        <f>IF('AW Schulen'!$I152=0,"x",E50/'AW Schulen'!$I152)</f>
        <v>0</v>
      </c>
      <c r="K50" s="155">
        <f>IF('AW Schulen'!$L152=0,"x",F50/'AW Schulen'!$L152)</f>
        <v>0</v>
      </c>
      <c r="L50" s="156">
        <f>IF('AW Schulen'!$O152=0,"x",G50/'AW Schulen'!$O152)</f>
        <v>0</v>
      </c>
    </row>
    <row r="51" spans="1:12" ht="9" customHeight="1">
      <c r="A51" s="21" t="s">
        <v>83</v>
      </c>
      <c r="B51" s="120"/>
      <c r="C51" s="23">
        <f>[16]GtS!$G$58</f>
        <v>0</v>
      </c>
      <c r="D51" s="23">
        <f>[17]GtS!$G$61</f>
        <v>0</v>
      </c>
      <c r="E51" s="23">
        <f>[18]GtS!$G$61</f>
        <v>0</v>
      </c>
      <c r="F51" s="23">
        <f>[19]GtS!$G$61</f>
        <v>1</v>
      </c>
      <c r="G51" s="34">
        <f>[20]GtS!$G$61</f>
        <v>1</v>
      </c>
      <c r="H51" s="155">
        <f>IF('AW Schulen'!$C153=0,"x",C51/'AW Schulen'!$C153)</f>
        <v>0</v>
      </c>
      <c r="I51" s="155">
        <f>IF('AW Schulen'!$F153=0,"x",D51/'AW Schulen'!$F153)</f>
        <v>0</v>
      </c>
      <c r="J51" s="155">
        <f>IF('AW Schulen'!$I153=0,"x",E51/'AW Schulen'!$I153)</f>
        <v>0</v>
      </c>
      <c r="K51" s="155">
        <f>IF('AW Schulen'!$L153=0,"x",F51/'AW Schulen'!$L153)</f>
        <v>0.2</v>
      </c>
      <c r="L51" s="156">
        <f>IF('AW Schulen'!$O153=0,"x",G51/'AW Schulen'!$O153)</f>
        <v>0.2</v>
      </c>
    </row>
    <row r="52" spans="1:12" ht="9" customHeight="1">
      <c r="A52" s="21" t="s">
        <v>84</v>
      </c>
      <c r="B52" s="120"/>
      <c r="C52" s="23">
        <f>[21]GtS!$G$58</f>
        <v>1</v>
      </c>
      <c r="D52" s="23">
        <f>[22]GtS!$G$61</f>
        <v>1</v>
      </c>
      <c r="E52" s="23">
        <f>[23]GtS!$G$61</f>
        <v>2</v>
      </c>
      <c r="F52" s="23">
        <f>[24]GtS!$G$61</f>
        <v>1</v>
      </c>
      <c r="G52" s="34">
        <f>[25]GtS!$G$61</f>
        <v>1</v>
      </c>
      <c r="H52" s="155">
        <f>IF('AW Schulen'!$C154=0,"x",C52/'AW Schulen'!$C154)</f>
        <v>0.33333333333333331</v>
      </c>
      <c r="I52" s="155">
        <f>IF('AW Schulen'!$F154=0,"x",D52/'AW Schulen'!$F154)</f>
        <v>0.33333333333333331</v>
      </c>
      <c r="J52" s="155">
        <f>IF('AW Schulen'!$I154=0,"x",E52/'AW Schulen'!$I154)</f>
        <v>0.66666666666666663</v>
      </c>
      <c r="K52" s="155">
        <f>IF('AW Schulen'!$L154=0,"x",F52/'AW Schulen'!$L154)</f>
        <v>0.33333333333333331</v>
      </c>
      <c r="L52" s="156">
        <f>IF('AW Schulen'!$O154=0,"x",G52/'AW Schulen'!$O154)</f>
        <v>0.33333333333333331</v>
      </c>
    </row>
    <row r="53" spans="1:12" ht="9" customHeight="1">
      <c r="A53" s="21" t="s">
        <v>85</v>
      </c>
      <c r="B53" s="120"/>
      <c r="C53" s="35">
        <f>[26]GtS!$G$58</f>
        <v>0</v>
      </c>
      <c r="D53" s="23">
        <f>[27]GtS!$G$61</f>
        <v>1</v>
      </c>
      <c r="E53" s="23">
        <f>[28]GtS!$G$61</f>
        <v>1</v>
      </c>
      <c r="F53" s="23">
        <f>[29]GtS!$G$61</f>
        <v>1</v>
      </c>
      <c r="G53" s="34">
        <f>[30]GtS!$G$61</f>
        <v>1</v>
      </c>
      <c r="H53" s="35">
        <f>IF('AW Schulen'!$C155=0,"x",C53/'AW Schulen'!$C155)</f>
        <v>0</v>
      </c>
      <c r="I53" s="155">
        <f>IF('AW Schulen'!$F155=0,"x",D53/'AW Schulen'!$F155)</f>
        <v>0.16666666666666666</v>
      </c>
      <c r="J53" s="155">
        <f>IF('AW Schulen'!$I155=0,"x",E53/'AW Schulen'!$I155)</f>
        <v>0.16666666666666666</v>
      </c>
      <c r="K53" s="155">
        <f>IF('AW Schulen'!$L155=0,"x",F53/'AW Schulen'!$L155)</f>
        <v>0.125</v>
      </c>
      <c r="L53" s="156">
        <f>IF('AW Schulen'!$O155=0,"x",G53/'AW Schulen'!$O155)</f>
        <v>0.14285714285714285</v>
      </c>
    </row>
    <row r="54" spans="1:12" ht="9" customHeight="1">
      <c r="A54" s="21" t="s">
        <v>86</v>
      </c>
      <c r="B54" s="120"/>
      <c r="C54" s="35">
        <f>[66]GtS!$G$58</f>
        <v>0</v>
      </c>
      <c r="D54" s="35">
        <f>[67]GtS!$G$61</f>
        <v>0</v>
      </c>
      <c r="E54" s="35">
        <f>[68]GtS!$G$61</f>
        <v>0</v>
      </c>
      <c r="F54" s="35">
        <f>[69]GtS!$G$61</f>
        <v>0</v>
      </c>
      <c r="G54" s="200">
        <f>[70]GtS!$G$61</f>
        <v>0</v>
      </c>
      <c r="H54" s="35">
        <f>IF('AW Schulen'!$C156=0,"x",C54/'AW Schulen'!$C156)</f>
        <v>0</v>
      </c>
      <c r="I54" s="57" t="str">
        <f>IF('AW Schulen'!$F192=0,".",D54/'AW Schulen'!$F192)</f>
        <v>.</v>
      </c>
      <c r="J54" s="57" t="str">
        <f>IF('AW Schulen'!$I192=0,".",E54/'AW Schulen'!$I192)</f>
        <v>.</v>
      </c>
      <c r="K54" s="57" t="str">
        <f>IF('AW Schulen'!$L192=0,".",F54/'AW Schulen'!$L192)</f>
        <v>.</v>
      </c>
      <c r="L54" s="195" t="str">
        <f>IF('AW Schulen'!$O192=0,".",G54/'AW Schulen'!$O192)</f>
        <v>.</v>
      </c>
    </row>
    <row r="55" spans="1:12" ht="9" customHeight="1">
      <c r="A55" s="21" t="s">
        <v>174</v>
      </c>
      <c r="B55" s="120"/>
      <c r="C55" s="23">
        <f>[31]GtS!$G$58</f>
        <v>2</v>
      </c>
      <c r="D55" s="23">
        <f>[32]GtS!$G$61</f>
        <v>2</v>
      </c>
      <c r="E55" s="23">
        <f>[33]GtS!$G$61</f>
        <v>2</v>
      </c>
      <c r="F55" s="23">
        <f>[34]GtS!$G$61</f>
        <v>1</v>
      </c>
      <c r="G55" s="34">
        <f>[35]GtS!$G$61</f>
        <v>0</v>
      </c>
      <c r="H55" s="155">
        <f>IF('AW Schulen'!$C157=0,"x",C55/'AW Schulen'!$C157)</f>
        <v>0.66666666666666663</v>
      </c>
      <c r="I55" s="155">
        <f>IF('AW Schulen'!$F157=0,"x",D55/'AW Schulen'!$F157)</f>
        <v>0.66666666666666663</v>
      </c>
      <c r="J55" s="155">
        <f>IF('AW Schulen'!$I157=0,"x",E55/'AW Schulen'!$I157)</f>
        <v>0.66666666666666663</v>
      </c>
      <c r="K55" s="155">
        <f>IF('AW Schulen'!$L157=0,"x",F55/'AW Schulen'!$L157)</f>
        <v>0.25</v>
      </c>
      <c r="L55" s="156">
        <f>IF('AW Schulen'!$O157=0,"x",G55/'AW Schulen'!$O157)</f>
        <v>0</v>
      </c>
    </row>
    <row r="56" spans="1:12" ht="9" customHeight="1">
      <c r="A56" s="21" t="s">
        <v>88</v>
      </c>
      <c r="B56" s="120"/>
      <c r="C56" s="35">
        <f>[71]GtS!$G$58</f>
        <v>0</v>
      </c>
      <c r="D56" s="35">
        <f>[72]GtS!$G$61</f>
        <v>0</v>
      </c>
      <c r="E56" s="35">
        <f>[73]GtS!$G$61</f>
        <v>0</v>
      </c>
      <c r="F56" s="35">
        <f>[74]GtS!$G$61</f>
        <v>0</v>
      </c>
      <c r="G56" s="200">
        <f>[75]GtS!$G$61</f>
        <v>0</v>
      </c>
      <c r="H56" s="35">
        <f>IF('AW Schulen'!$C158=0,"x",C56/'AW Schulen'!$C158)</f>
        <v>0</v>
      </c>
      <c r="I56" s="35">
        <f>IF('AW Schulen'!$F158=0,"x",D56/'AW Schulen'!$F158)</f>
        <v>0</v>
      </c>
      <c r="J56" s="35">
        <f>IF('AW Schulen'!$I158=0,"x",E56/'AW Schulen'!$I158)</f>
        <v>0</v>
      </c>
      <c r="K56" s="35">
        <f>IF('AW Schulen'!$L158=0,"x",F56/'AW Schulen'!$L158)</f>
        <v>0</v>
      </c>
      <c r="L56" s="200">
        <f>IF('AW Schulen'!$O158=0,"x",G56/'AW Schulen'!$O158)</f>
        <v>0</v>
      </c>
    </row>
    <row r="57" spans="1:12" ht="9" customHeight="1">
      <c r="A57" s="21" t="s">
        <v>89</v>
      </c>
      <c r="B57" s="120"/>
      <c r="C57" s="23">
        <f>[36]GtS!$G$58</f>
        <v>0</v>
      </c>
      <c r="D57" s="23">
        <f>[37]GtS!$G$61</f>
        <v>0</v>
      </c>
      <c r="E57" s="23">
        <f>[38]GtS!$G$61</f>
        <v>7</v>
      </c>
      <c r="F57" s="23">
        <f>[39]GtS!$G$61</f>
        <v>2</v>
      </c>
      <c r="G57" s="34">
        <f>[40]GtS!$G$61</f>
        <v>3</v>
      </c>
      <c r="H57" s="155">
        <f>IF('AW Schulen'!$C159=0,"x",C57/'AW Schulen'!$C159)</f>
        <v>0</v>
      </c>
      <c r="I57" s="155">
        <f>IF('AW Schulen'!$F159=0,"x",D57/'AW Schulen'!$F159)</f>
        <v>0</v>
      </c>
      <c r="J57" s="155">
        <f>IF('AW Schulen'!$I159=0,"x",E57/'AW Schulen'!$I159)</f>
        <v>0.17499999999999999</v>
      </c>
      <c r="K57" s="155">
        <f>IF('AW Schulen'!$L159=0,"x",F57/'AW Schulen'!$L159)</f>
        <v>4.7619047619047616E-2</v>
      </c>
      <c r="L57" s="156">
        <f>IF('AW Schulen'!$O159=0,"x",G57/'AW Schulen'!$O159)</f>
        <v>6.9767441860465115E-2</v>
      </c>
    </row>
    <row r="58" spans="1:12" ht="9" customHeight="1">
      <c r="A58" s="21" t="s">
        <v>90</v>
      </c>
      <c r="B58" s="120"/>
      <c r="C58" s="23">
        <f>[41]GtS!$G$58</f>
        <v>7</v>
      </c>
      <c r="D58" s="23">
        <f>[42]GtS!$G$61</f>
        <v>7</v>
      </c>
      <c r="E58" s="23">
        <f>[43]GtS!$G$61</f>
        <v>6</v>
      </c>
      <c r="F58" s="23">
        <f>[44]GtS!$G$61</f>
        <v>6</v>
      </c>
      <c r="G58" s="34">
        <f>[45]GtS!$G$61</f>
        <v>6</v>
      </c>
      <c r="H58" s="155">
        <f>IF('AW Schulen'!$C160=0,"x",C58/'AW Schulen'!$C160)</f>
        <v>0.77777777777777779</v>
      </c>
      <c r="I58" s="155">
        <f>IF('AW Schulen'!$F160=0,"x",D58/'AW Schulen'!$F160)</f>
        <v>0.77777777777777779</v>
      </c>
      <c r="J58" s="155">
        <f>IF('AW Schulen'!$I160=0,"x",E58/'AW Schulen'!$I160)</f>
        <v>0.75</v>
      </c>
      <c r="K58" s="155">
        <f>IF('AW Schulen'!$L160=0,"x",F58/'AW Schulen'!$L160)</f>
        <v>0.75</v>
      </c>
      <c r="L58" s="156">
        <f>IF('AW Schulen'!$O160=0,"x",G58/'AW Schulen'!$O160)</f>
        <v>0.75</v>
      </c>
    </row>
    <row r="59" spans="1:12" ht="9" customHeight="1">
      <c r="A59" s="21" t="s">
        <v>91</v>
      </c>
      <c r="B59" s="120"/>
      <c r="C59" s="23">
        <f>[46]GtS!$G$58</f>
        <v>0</v>
      </c>
      <c r="D59" s="23">
        <f>[47]GtS!$G$61</f>
        <v>0</v>
      </c>
      <c r="E59" s="23">
        <f>[48]GtS!$G$61</f>
        <v>0</v>
      </c>
      <c r="F59" s="23">
        <f>[49]GtS!$G$61</f>
        <v>0</v>
      </c>
      <c r="G59" s="34">
        <f>[50]GtS!$G$61</f>
        <v>0</v>
      </c>
      <c r="H59" s="155">
        <f>IF('AW Schulen'!$C161=0,"x",C59/'AW Schulen'!$C161)</f>
        <v>0</v>
      </c>
      <c r="I59" s="155">
        <f>IF('AW Schulen'!$F161=0,"x",D59/'AW Schulen'!$F161)</f>
        <v>0</v>
      </c>
      <c r="J59" s="155">
        <f>IF('AW Schulen'!$I161=0,"x",E59/'AW Schulen'!$I161)</f>
        <v>0</v>
      </c>
      <c r="K59" s="155">
        <f>IF('AW Schulen'!$L161=0,"x",F59/'AW Schulen'!$L161)</f>
        <v>0</v>
      </c>
      <c r="L59" s="156">
        <f>IF('AW Schulen'!$O161=0,"x",G59/'AW Schulen'!$O161)</f>
        <v>0</v>
      </c>
    </row>
    <row r="60" spans="1:12" ht="9" customHeight="1">
      <c r="A60" s="21" t="s">
        <v>92</v>
      </c>
      <c r="B60" s="120"/>
      <c r="C60" s="23">
        <f>[51]GtS!$G$58</f>
        <v>3</v>
      </c>
      <c r="D60" s="23">
        <f>[52]GtS!$G$61</f>
        <v>3</v>
      </c>
      <c r="E60" s="23">
        <f>[53]GtS!$G$61</f>
        <v>3</v>
      </c>
      <c r="F60" s="23">
        <f>[54]GtS!$G$61</f>
        <v>5</v>
      </c>
      <c r="G60" s="34">
        <f>[55]GtS!$G$61</f>
        <v>4</v>
      </c>
      <c r="H60" s="155">
        <f>IF('AW Schulen'!$C162=0,"x",C60/'AW Schulen'!$C162)</f>
        <v>0.6</v>
      </c>
      <c r="I60" s="155">
        <f>IF('AW Schulen'!$F162=0,"x",D60/'AW Schulen'!$F162)</f>
        <v>0.6</v>
      </c>
      <c r="J60" s="155">
        <f>IF('AW Schulen'!$I162=0,"x",E60/'AW Schulen'!$I162)</f>
        <v>0.5</v>
      </c>
      <c r="K60" s="155">
        <f>IF('AW Schulen'!$L162=0,"x",F60/'AW Schulen'!$L162)</f>
        <v>0.83333333333333337</v>
      </c>
      <c r="L60" s="156">
        <f>IF('AW Schulen'!$O162=0,"x",G60/'AW Schulen'!$O162)</f>
        <v>0.66666666666666663</v>
      </c>
    </row>
    <row r="61" spans="1:12" ht="9" customHeight="1">
      <c r="A61" s="21" t="s">
        <v>93</v>
      </c>
      <c r="B61" s="120"/>
      <c r="C61" s="35">
        <f>[76]GtS!$G$58</f>
        <v>0</v>
      </c>
      <c r="D61" s="35">
        <f>[77]GtS!$G$61</f>
        <v>0</v>
      </c>
      <c r="E61" s="35">
        <f>[78]GtS!$G$61</f>
        <v>0</v>
      </c>
      <c r="F61" s="35">
        <f>[79]GtS!$G$61</f>
        <v>0</v>
      </c>
      <c r="G61" s="200">
        <f>[80]GtS!$G$61</f>
        <v>0</v>
      </c>
      <c r="H61" s="35">
        <v>0</v>
      </c>
      <c r="I61" s="35">
        <v>0</v>
      </c>
      <c r="J61" s="183">
        <v>0</v>
      </c>
      <c r="K61" s="183">
        <v>0</v>
      </c>
      <c r="L61" s="197">
        <v>0</v>
      </c>
    </row>
    <row r="62" spans="1:12" ht="9" customHeight="1">
      <c r="A62" s="21" t="s">
        <v>94</v>
      </c>
      <c r="B62" s="120"/>
      <c r="C62" s="23">
        <f>[56]GtS!$G$58</f>
        <v>0</v>
      </c>
      <c r="D62" s="23">
        <f>[57]GtS!$G$61</f>
        <v>0</v>
      </c>
      <c r="E62" s="23">
        <f>[58]GtS!$G$61</f>
        <v>0</v>
      </c>
      <c r="F62" s="23">
        <f>[59]GtS!$G$61</f>
        <v>0</v>
      </c>
      <c r="G62" s="34">
        <f>[60]GtS!$G$61</f>
        <v>0</v>
      </c>
      <c r="H62" s="155">
        <f>IF('AW Schulen'!$C164=0,"x",C62/'AW Schulen'!$C164)</f>
        <v>0</v>
      </c>
      <c r="I62" s="155">
        <f>IF('AW Schulen'!$F164=0,"x",D62/'AW Schulen'!$F164)</f>
        <v>0</v>
      </c>
      <c r="J62" s="155">
        <f>IF('AW Schulen'!$I164=0,"x",E62/'AW Schulen'!$I164)</f>
        <v>0</v>
      </c>
      <c r="K62" s="155">
        <f>IF('AW Schulen'!$L164=0,"x",F62/'AW Schulen'!$L164)</f>
        <v>0</v>
      </c>
      <c r="L62" s="156">
        <f>IF('AW Schulen'!$O164=0,"x",G62/'AW Schulen'!$O164)</f>
        <v>0</v>
      </c>
    </row>
    <row r="63" spans="1:12" ht="9" customHeight="1">
      <c r="A63" s="21" t="s">
        <v>95</v>
      </c>
      <c r="B63" s="120"/>
      <c r="C63" s="23">
        <f>[61]GtS!$G$58</f>
        <v>2</v>
      </c>
      <c r="D63" s="23">
        <f>[62]GtS!$G$61</f>
        <v>2</v>
      </c>
      <c r="E63" s="23">
        <f>[63]GtS!$G$61</f>
        <v>2</v>
      </c>
      <c r="F63" s="23">
        <f>[64]GtS!$G$61</f>
        <v>2</v>
      </c>
      <c r="G63" s="34">
        <f>[65]GtS!$G$61</f>
        <v>2</v>
      </c>
      <c r="H63" s="155">
        <f>IF('AW Schulen'!$C165=0,"x",C63/'AW Schulen'!$C165)</f>
        <v>0.4</v>
      </c>
      <c r="I63" s="155">
        <f>IF('AW Schulen'!$F165=0,"x",D63/'AW Schulen'!$F165)</f>
        <v>0.4</v>
      </c>
      <c r="J63" s="155">
        <f>IF('AW Schulen'!$I165=0,"x",E63/'AW Schulen'!$I165)</f>
        <v>0.4</v>
      </c>
      <c r="K63" s="155">
        <f>IF('AW Schulen'!$L165=0,"x",F63/'AW Schulen'!$L165)</f>
        <v>0.4</v>
      </c>
      <c r="L63" s="156">
        <f>IF('AW Schulen'!$O165=0,"x",G63/'AW Schulen'!$O165)</f>
        <v>0.4</v>
      </c>
    </row>
    <row r="64" spans="1:12" ht="8.65" customHeight="1">
      <c r="A64" s="21" t="s">
        <v>96</v>
      </c>
      <c r="B64" s="120"/>
      <c r="C64" s="23">
        <f t="shared" ref="C64:E64" si="37">SUM(C48:C63)</f>
        <v>23</v>
      </c>
      <c r="D64" s="23">
        <f t="shared" si="37"/>
        <v>22</v>
      </c>
      <c r="E64" s="23">
        <f t="shared" si="37"/>
        <v>30</v>
      </c>
      <c r="F64" s="23">
        <f t="shared" ref="F64:G64" si="38">SUM(F48:F63)</f>
        <v>26</v>
      </c>
      <c r="G64" s="34">
        <f t="shared" si="38"/>
        <v>26</v>
      </c>
      <c r="H64" s="155">
        <f>IF('AW Schulen'!$C166=0,"x",C64/'AW Schulen'!$C166)</f>
        <v>0.12637362637362637</v>
      </c>
      <c r="I64" s="155">
        <f>IF('AW Schulen'!$F166=0,"x",D64/'AW Schulen'!$F166)</f>
        <v>0.11764705882352941</v>
      </c>
      <c r="J64" s="155">
        <f>IF('AW Schulen'!$I166=0,"x",E64/'AW Schulen'!$I166)</f>
        <v>0.16483516483516483</v>
      </c>
      <c r="K64" s="155">
        <f>IF('AW Schulen'!$L166=0,"x",F64/'AW Schulen'!$L166)</f>
        <v>0.13829787234042554</v>
      </c>
      <c r="L64" s="156">
        <f>IF('AW Schulen'!$O166=0,"x",G64/'AW Schulen'!$O166)</f>
        <v>0.1368421052631579</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[1]GtS!$H$58</f>
        <v>7</v>
      </c>
      <c r="D66" s="23">
        <f>[2]GtS!$H$61</f>
        <v>7</v>
      </c>
      <c r="E66" s="23">
        <f>[3]GtS!$H$61</f>
        <v>7</v>
      </c>
      <c r="F66" s="23">
        <f>[4]GtS!$H$61</f>
        <v>9</v>
      </c>
      <c r="G66" s="34">
        <f>[5]GtS!$H$61</f>
        <v>10</v>
      </c>
      <c r="H66" s="155">
        <f>IF('AW Schulen'!$C150=0,"x",C66/'AW Schulen'!$C150)</f>
        <v>0.1206896551724138</v>
      </c>
      <c r="I66" s="155">
        <f>IF('AW Schulen'!$F150=0,"x",D66/'AW Schulen'!$F150)</f>
        <v>0.1206896551724138</v>
      </c>
      <c r="J66" s="155">
        <f>IF('AW Schulen'!$I150=0,"x",E66/'AW Schulen'!$I150)</f>
        <v>0.1206896551724138</v>
      </c>
      <c r="K66" s="155">
        <f>IF('AW Schulen'!$L150=0,"x",F66/'AW Schulen'!$L150)</f>
        <v>0.15254237288135594</v>
      </c>
      <c r="L66" s="156">
        <f>IF('AW Schulen'!$O150=0,"x",G66/'AW Schulen'!$O150)</f>
        <v>0.17241379310344829</v>
      </c>
    </row>
    <row r="67" spans="1:12" ht="10.15" customHeight="1">
      <c r="A67" s="224" t="s">
        <v>81</v>
      </c>
      <c r="B67" s="120"/>
      <c r="C67" s="23">
        <f>[6]GtS!$H$58</f>
        <v>11</v>
      </c>
      <c r="D67" s="23">
        <f>[7]GtS!$H$61</f>
        <v>15</v>
      </c>
      <c r="E67" s="23">
        <f>[8]GtS!$H$61</f>
        <v>15</v>
      </c>
      <c r="F67" s="23">
        <f>[9]GtS!$H$61</f>
        <v>17</v>
      </c>
      <c r="G67" s="34">
        <f>[10]GtS!$H$61</f>
        <v>18</v>
      </c>
      <c r="H67" s="155">
        <f>IF('AW Schulen'!$C151=0,"x",C67/'AW Schulen'!$C151)</f>
        <v>0.52380952380952384</v>
      </c>
      <c r="I67" s="155">
        <f>IF('AW Schulen'!$F151=0,"x",D67/'AW Schulen'!$F151)</f>
        <v>0.7142857142857143</v>
      </c>
      <c r="J67" s="155">
        <f>IF('AW Schulen'!$I151=0,"x",E67/'AW Schulen'!$I151)</f>
        <v>0.68181818181818177</v>
      </c>
      <c r="K67" s="155">
        <f>IF('AW Schulen'!$L151=0,"x",F67/'AW Schulen'!$L151)</f>
        <v>0.77272727272727271</v>
      </c>
      <c r="L67" s="156">
        <f>IF('AW Schulen'!$O151=0,"x",G67/'AW Schulen'!$O151)</f>
        <v>0.78260869565217395</v>
      </c>
    </row>
    <row r="68" spans="1:12" ht="10.15" customHeight="1">
      <c r="A68" s="224" t="s">
        <v>82</v>
      </c>
      <c r="B68" s="120"/>
      <c r="C68" s="23">
        <f>[11]GtS!$H$58</f>
        <v>10</v>
      </c>
      <c r="D68" s="23">
        <f>[12]GtS!$H$61</f>
        <v>10</v>
      </c>
      <c r="E68" s="23">
        <f>[13]GtS!$H$61</f>
        <v>9</v>
      </c>
      <c r="F68" s="23">
        <f>[14]GtS!$H$61</f>
        <v>10</v>
      </c>
      <c r="G68" s="34">
        <f>[15]GtS!$H$61</f>
        <v>10</v>
      </c>
      <c r="H68" s="155">
        <f>IF('AW Schulen'!$C152=0,"x",C68/'AW Schulen'!$C152)</f>
        <v>0.90909090909090906</v>
      </c>
      <c r="I68" s="155">
        <f>IF('AW Schulen'!$F152=0,"x",D68/'AW Schulen'!$F152)</f>
        <v>1</v>
      </c>
      <c r="J68" s="155">
        <f>IF('AW Schulen'!$I152=0,"x",E68/'AW Schulen'!$I152)</f>
        <v>0.9</v>
      </c>
      <c r="K68" s="155">
        <f>IF('AW Schulen'!$L152=0,"x",F68/'AW Schulen'!$L152)</f>
        <v>1</v>
      </c>
      <c r="L68" s="156">
        <f>IF('AW Schulen'!$O152=0,"x",G68/'AW Schulen'!$O152)</f>
        <v>0.90909090909090906</v>
      </c>
    </row>
    <row r="69" spans="1:12" ht="9" customHeight="1">
      <c r="A69" s="21" t="s">
        <v>83</v>
      </c>
      <c r="B69" s="120"/>
      <c r="C69" s="23">
        <f>[16]GtS!$H$58</f>
        <v>1</v>
      </c>
      <c r="D69" s="23">
        <f>[17]GtS!$H$61</f>
        <v>1</v>
      </c>
      <c r="E69" s="23">
        <f>[18]GtS!$H$61</f>
        <v>1</v>
      </c>
      <c r="F69" s="23">
        <f>[19]GtS!$H$61</f>
        <v>0</v>
      </c>
      <c r="G69" s="34">
        <f>[20]GtS!$H$61</f>
        <v>0</v>
      </c>
      <c r="H69" s="155">
        <f>IF('AW Schulen'!$C153=0,"x",C69/'AW Schulen'!$C153)</f>
        <v>0.2</v>
      </c>
      <c r="I69" s="155">
        <f>IF('AW Schulen'!$F153=0,"x",D69/'AW Schulen'!$F153)</f>
        <v>0.2</v>
      </c>
      <c r="J69" s="155">
        <f>IF('AW Schulen'!$I153=0,"x",E69/'AW Schulen'!$I153)</f>
        <v>0.2</v>
      </c>
      <c r="K69" s="155">
        <f>IF('AW Schulen'!$L153=0,"x",F69/'AW Schulen'!$L153)</f>
        <v>0</v>
      </c>
      <c r="L69" s="156">
        <f>IF('AW Schulen'!$O153=0,"x",G69/'AW Schulen'!$O153)</f>
        <v>0</v>
      </c>
    </row>
    <row r="70" spans="1:12" ht="9" customHeight="1">
      <c r="A70" s="21" t="s">
        <v>84</v>
      </c>
      <c r="B70" s="120"/>
      <c r="C70" s="23">
        <f>[21]GtS!$H$58</f>
        <v>0</v>
      </c>
      <c r="D70" s="23">
        <f>[22]GtS!$H$61</f>
        <v>0</v>
      </c>
      <c r="E70" s="23">
        <f>[23]GtS!$H$61</f>
        <v>0</v>
      </c>
      <c r="F70" s="23">
        <f>[24]GtS!$H$61</f>
        <v>0</v>
      </c>
      <c r="G70" s="34">
        <f>[25]GtS!$H$61</f>
        <v>0</v>
      </c>
      <c r="H70" s="155">
        <f>IF('AW Schulen'!$C154=0,"x",C70/'AW Schulen'!$C154)</f>
        <v>0</v>
      </c>
      <c r="I70" s="155">
        <f>IF('AW Schulen'!$F154=0,"x",D70/'AW Schulen'!$F154)</f>
        <v>0</v>
      </c>
      <c r="J70" s="155">
        <f>IF('AW Schulen'!$I154=0,"x",E70/'AW Schulen'!$I154)</f>
        <v>0</v>
      </c>
      <c r="K70" s="155">
        <f>IF('AW Schulen'!$L154=0,"x",F70/'AW Schulen'!$L154)</f>
        <v>0</v>
      </c>
      <c r="L70" s="156">
        <f>IF('AW Schulen'!$O154=0,"x",G70/'AW Schulen'!$O154)</f>
        <v>0</v>
      </c>
    </row>
    <row r="71" spans="1:12" ht="9" customHeight="1">
      <c r="A71" s="21" t="s">
        <v>85</v>
      </c>
      <c r="B71" s="120"/>
      <c r="C71" s="35">
        <f>[26]GtS!$H$58</f>
        <v>0</v>
      </c>
      <c r="D71" s="23">
        <f>[27]GtS!$H$61</f>
        <v>0</v>
      </c>
      <c r="E71" s="23">
        <f>[28]GtS!$H$61</f>
        <v>0</v>
      </c>
      <c r="F71" s="23">
        <f>[29]GtS!$H$61</f>
        <v>0</v>
      </c>
      <c r="G71" s="34">
        <f>[30]GtS!$H$61</f>
        <v>0</v>
      </c>
      <c r="H71" s="35">
        <f>IF('AW Schulen'!$C155=0,"x",C71/'AW Schulen'!$C155)</f>
        <v>0</v>
      </c>
      <c r="I71" s="155">
        <f>IF('AW Schulen'!$F155=0,"x",D71/'AW Schulen'!$F155)</f>
        <v>0</v>
      </c>
      <c r="J71" s="155">
        <f>IF('AW Schulen'!$I155=0,"x",E71/'AW Schulen'!$I155)</f>
        <v>0</v>
      </c>
      <c r="K71" s="155">
        <f>IF('AW Schulen'!$L155=0,"x",F71/'AW Schulen'!$L155)</f>
        <v>0</v>
      </c>
      <c r="L71" s="156">
        <f>IF('AW Schulen'!$O155=0,"x",G71/'AW Schulen'!$O155)</f>
        <v>0</v>
      </c>
    </row>
    <row r="72" spans="1:12" ht="9" customHeight="1">
      <c r="A72" s="21" t="s">
        <v>86</v>
      </c>
      <c r="B72" s="120"/>
      <c r="C72" s="35">
        <f>[66]GtS!$H$58</f>
        <v>0</v>
      </c>
      <c r="D72" s="35">
        <f>[67]GtS!$H$61</f>
        <v>0</v>
      </c>
      <c r="E72" s="35">
        <f>[68]GtS!$H$61</f>
        <v>0</v>
      </c>
      <c r="F72" s="35">
        <f>[69]GtS!$H$61</f>
        <v>0</v>
      </c>
      <c r="G72" s="200">
        <f>[70]GtS!$H$61</f>
        <v>0</v>
      </c>
      <c r="H72" s="35">
        <f>IF('AW Schulen'!$C156=0,"x",C72/'AW Schulen'!$C156)</f>
        <v>0</v>
      </c>
      <c r="I72" s="57" t="str">
        <f>IF('AW Schulen'!$F210=0,".",D72/'AW Schulen'!$F210)</f>
        <v>.</v>
      </c>
      <c r="J72" s="57" t="str">
        <f>IF('AW Schulen'!$I210=0,".",E72/'AW Schulen'!$I210)</f>
        <v>.</v>
      </c>
      <c r="K72" s="57" t="str">
        <f>IF('AW Schulen'!$L210=0,".",F72/'AW Schulen'!$L210)</f>
        <v>.</v>
      </c>
      <c r="L72" s="195" t="str">
        <f>IF('AW Schulen'!$O210=0,".",G72/'AW Schulen'!$O210)</f>
        <v>.</v>
      </c>
    </row>
    <row r="73" spans="1:12" ht="9" customHeight="1">
      <c r="A73" s="21" t="s">
        <v>174</v>
      </c>
      <c r="B73" s="120"/>
      <c r="C73" s="23">
        <f>[31]GtS!$H$58</f>
        <v>1</v>
      </c>
      <c r="D73" s="23">
        <f>[32]GtS!$H$61</f>
        <v>0</v>
      </c>
      <c r="E73" s="23">
        <f>[33]GtS!$H$61</f>
        <v>0</v>
      </c>
      <c r="F73" s="23">
        <f>[34]GtS!$H$61</f>
        <v>0</v>
      </c>
      <c r="G73" s="34">
        <f>[35]GtS!$H$61</f>
        <v>0</v>
      </c>
      <c r="H73" s="155">
        <f>IF('AW Schulen'!$C157=0,"x",C73/'AW Schulen'!$C157)</f>
        <v>0.33333333333333331</v>
      </c>
      <c r="I73" s="155">
        <f>IF('AW Schulen'!$F157=0,"x",D73/'AW Schulen'!$F157)</f>
        <v>0</v>
      </c>
      <c r="J73" s="155">
        <f>IF('AW Schulen'!$I157=0,"x",E73/'AW Schulen'!$I157)</f>
        <v>0</v>
      </c>
      <c r="K73" s="155">
        <f>IF('AW Schulen'!$L157=0,"x",F73/'AW Schulen'!$L157)</f>
        <v>0</v>
      </c>
      <c r="L73" s="156">
        <f>IF('AW Schulen'!$O157=0,"x",G73/'AW Schulen'!$O157)</f>
        <v>0</v>
      </c>
    </row>
    <row r="74" spans="1:12" ht="9" customHeight="1">
      <c r="A74" s="21" t="s">
        <v>88</v>
      </c>
      <c r="B74" s="120"/>
      <c r="C74" s="35">
        <f>[71]GtS!$H$58</f>
        <v>0</v>
      </c>
      <c r="D74" s="35">
        <f>[72]GtS!$H$61</f>
        <v>0</v>
      </c>
      <c r="E74" s="35">
        <f>[73]GtS!$H$61</f>
        <v>0</v>
      </c>
      <c r="F74" s="35">
        <f>[74]GtS!$H$61</f>
        <v>0</v>
      </c>
      <c r="G74" s="200">
        <f>[75]GtS!$H$61</f>
        <v>0</v>
      </c>
      <c r="H74" s="35">
        <f>IF('AW Schulen'!$C158=0,"x",C74/'AW Schulen'!$C158)</f>
        <v>0</v>
      </c>
      <c r="I74" s="35">
        <f>IF('AW Schulen'!$F158=0,"x",D74/'AW Schulen'!$F158)</f>
        <v>0</v>
      </c>
      <c r="J74" s="35">
        <f>IF('AW Schulen'!$I158=0,"x",E74/'AW Schulen'!$I158)</f>
        <v>0</v>
      </c>
      <c r="K74" s="35">
        <f>IF('AW Schulen'!$L158=0,"x",F74/'AW Schulen'!$L158)</f>
        <v>0</v>
      </c>
      <c r="L74" s="200">
        <f>IF('AW Schulen'!$O158=0,"x",G74/'AW Schulen'!$O158)</f>
        <v>0</v>
      </c>
    </row>
    <row r="75" spans="1:12" ht="9" customHeight="1">
      <c r="A75" s="21" t="s">
        <v>89</v>
      </c>
      <c r="B75" s="120"/>
      <c r="C75" s="23">
        <f>[36]GtS!$H$58</f>
        <v>36</v>
      </c>
      <c r="D75" s="23">
        <f>[37]GtS!$H$61</f>
        <v>35</v>
      </c>
      <c r="E75" s="23">
        <f>[38]GtS!$H$61</f>
        <v>28</v>
      </c>
      <c r="F75" s="23">
        <f>[39]GtS!$H$61</f>
        <v>34</v>
      </c>
      <c r="G75" s="34">
        <f>[40]GtS!$H$61</f>
        <v>32</v>
      </c>
      <c r="H75" s="155">
        <f>IF('AW Schulen'!$C159=0,"x",C75/'AW Schulen'!$C159)</f>
        <v>0.9</v>
      </c>
      <c r="I75" s="155">
        <f>IF('AW Schulen'!$F159=0,"x",D75/'AW Schulen'!$F159)</f>
        <v>0.76086956521739135</v>
      </c>
      <c r="J75" s="155">
        <f>IF('AW Schulen'!$I159=0,"x",E75/'AW Schulen'!$I159)</f>
        <v>0.7</v>
      </c>
      <c r="K75" s="155">
        <f>IF('AW Schulen'!$L159=0,"x",F75/'AW Schulen'!$L159)</f>
        <v>0.80952380952380953</v>
      </c>
      <c r="L75" s="156">
        <f>IF('AW Schulen'!$O159=0,"x",G75/'AW Schulen'!$O159)</f>
        <v>0.7441860465116279</v>
      </c>
    </row>
    <row r="76" spans="1:12" ht="9" customHeight="1">
      <c r="A76" s="21" t="s">
        <v>90</v>
      </c>
      <c r="B76" s="120"/>
      <c r="C76" s="23">
        <f>[41]GtS!$H$58</f>
        <v>0</v>
      </c>
      <c r="D76" s="23">
        <f>[42]GtS!$H$61</f>
        <v>0</v>
      </c>
      <c r="E76" s="23">
        <f>[43]GtS!$H$61</f>
        <v>0</v>
      </c>
      <c r="F76" s="23">
        <f>[44]GtS!$H$61</f>
        <v>0</v>
      </c>
      <c r="G76" s="34">
        <f>[45]GtS!$H$61</f>
        <v>0</v>
      </c>
      <c r="H76" s="155">
        <f>IF('AW Schulen'!$C160=0,"x",C76/'AW Schulen'!$C160)</f>
        <v>0</v>
      </c>
      <c r="I76" s="155">
        <f>IF('AW Schulen'!$F160=0,"x",D76/'AW Schulen'!$F160)</f>
        <v>0</v>
      </c>
      <c r="J76" s="155">
        <f>IF('AW Schulen'!$I160=0,"x",E76/'AW Schulen'!$I160)</f>
        <v>0</v>
      </c>
      <c r="K76" s="155">
        <f>IF('AW Schulen'!$L160=0,"x",F76/'AW Schulen'!$L160)</f>
        <v>0</v>
      </c>
      <c r="L76" s="156">
        <f>IF('AW Schulen'!$O160=0,"x",G76/'AW Schulen'!$O160)</f>
        <v>0</v>
      </c>
    </row>
    <row r="77" spans="1:12" ht="9" customHeight="1">
      <c r="A77" s="21" t="s">
        <v>91</v>
      </c>
      <c r="B77" s="120"/>
      <c r="C77" s="23">
        <f>[46]GtS!$H$58</f>
        <v>2</v>
      </c>
      <c r="D77" s="23">
        <f>[47]GtS!$H$61</f>
        <v>2</v>
      </c>
      <c r="E77" s="23">
        <f>[48]GtS!$H$61</f>
        <v>3</v>
      </c>
      <c r="F77" s="23">
        <f>[49]GtS!$H$61</f>
        <v>3</v>
      </c>
      <c r="G77" s="34">
        <f>[50]GtS!$H$61</f>
        <v>3</v>
      </c>
      <c r="H77" s="155">
        <f>IF('AW Schulen'!$C161=0,"x",C77/'AW Schulen'!$C161)</f>
        <v>0.5</v>
      </c>
      <c r="I77" s="155">
        <f>IF('AW Schulen'!$F161=0,"x",D77/'AW Schulen'!$F161)</f>
        <v>0.5</v>
      </c>
      <c r="J77" s="155">
        <f>IF('AW Schulen'!$I161=0,"x",E77/'AW Schulen'!$I161)</f>
        <v>0.75</v>
      </c>
      <c r="K77" s="155">
        <f>IF('AW Schulen'!$L161=0,"x",F77/'AW Schulen'!$L161)</f>
        <v>0.75</v>
      </c>
      <c r="L77" s="156">
        <f>IF('AW Schulen'!$O161=0,"x",G77/'AW Schulen'!$O161)</f>
        <v>0.75</v>
      </c>
    </row>
    <row r="78" spans="1:12" ht="9" customHeight="1">
      <c r="A78" s="21" t="s">
        <v>92</v>
      </c>
      <c r="B78" s="120"/>
      <c r="C78" s="23">
        <f>[51]GtS!$H$58</f>
        <v>0</v>
      </c>
      <c r="D78" s="23">
        <f>[52]GtS!$H$61</f>
        <v>1</v>
      </c>
      <c r="E78" s="23">
        <f>[53]GtS!$H$61</f>
        <v>1</v>
      </c>
      <c r="F78" s="23">
        <f>[54]GtS!$H$61</f>
        <v>0</v>
      </c>
      <c r="G78" s="34">
        <f>[55]GtS!$H$61</f>
        <v>2</v>
      </c>
      <c r="H78" s="155">
        <f>IF('AW Schulen'!$C162=0,"x",C78/'AW Schulen'!$C162)</f>
        <v>0</v>
      </c>
      <c r="I78" s="155">
        <f>IF('AW Schulen'!$F162=0,"x",D78/'AW Schulen'!$F162)</f>
        <v>0.2</v>
      </c>
      <c r="J78" s="155">
        <f>IF('AW Schulen'!$I162=0,"x",E78/'AW Schulen'!$I162)</f>
        <v>0.16666666666666666</v>
      </c>
      <c r="K78" s="155">
        <f>IF('AW Schulen'!$L162=0,"x",F78/'AW Schulen'!$L162)</f>
        <v>0</v>
      </c>
      <c r="L78" s="156">
        <f>IF('AW Schulen'!$O162=0,"x",G78/'AW Schulen'!$O162)</f>
        <v>0.33333333333333331</v>
      </c>
    </row>
    <row r="79" spans="1:12" ht="9" customHeight="1">
      <c r="A79" s="21" t="s">
        <v>93</v>
      </c>
      <c r="B79" s="120"/>
      <c r="C79" s="35">
        <f>[76]GtS!$H$58</f>
        <v>0</v>
      </c>
      <c r="D79" s="35">
        <f>[77]GtS!$H$61</f>
        <v>0</v>
      </c>
      <c r="E79" s="35">
        <f>[78]GtS!$H$61</f>
        <v>0</v>
      </c>
      <c r="F79" s="35">
        <f>[79]GtS!$H$61</f>
        <v>0</v>
      </c>
      <c r="G79" s="200">
        <f>[80]GtS!$H$61</f>
        <v>0</v>
      </c>
      <c r="H79" s="35">
        <v>0</v>
      </c>
      <c r="I79" s="35">
        <v>0</v>
      </c>
      <c r="J79" s="183">
        <v>0</v>
      </c>
      <c r="K79" s="183">
        <v>0</v>
      </c>
      <c r="L79" s="197">
        <v>0</v>
      </c>
    </row>
    <row r="80" spans="1:12" ht="9" customHeight="1">
      <c r="A80" s="21" t="s">
        <v>94</v>
      </c>
      <c r="B80" s="120"/>
      <c r="C80" s="23">
        <f>[56]GtS!$H$58</f>
        <v>10</v>
      </c>
      <c r="D80" s="23">
        <f>[57]GtS!$H$61</f>
        <v>10</v>
      </c>
      <c r="E80" s="23">
        <f>[58]GtS!$H$61</f>
        <v>10</v>
      </c>
      <c r="F80" s="23">
        <f>[59]GtS!$H$61</f>
        <v>10</v>
      </c>
      <c r="G80" s="34">
        <f>[60]GtS!$H$61</f>
        <v>10</v>
      </c>
      <c r="H80" s="155">
        <f>IF('AW Schulen'!$C164=0,"x",C80/'AW Schulen'!$C164)</f>
        <v>0.83333333333333337</v>
      </c>
      <c r="I80" s="155">
        <f>IF('AW Schulen'!$F164=0,"x",D80/'AW Schulen'!$F164)</f>
        <v>0.83333333333333337</v>
      </c>
      <c r="J80" s="155">
        <f>IF('AW Schulen'!$I164=0,"x",E80/'AW Schulen'!$I164)</f>
        <v>0.83333333333333337</v>
      </c>
      <c r="K80" s="155">
        <f>IF('AW Schulen'!$L164=0,"x",F80/'AW Schulen'!$L164)</f>
        <v>0.83333333333333337</v>
      </c>
      <c r="L80" s="156">
        <f>IF('AW Schulen'!$O164=0,"x",G80/'AW Schulen'!$O164)</f>
        <v>0.83333333333333337</v>
      </c>
    </row>
    <row r="81" spans="1:12" ht="9" customHeight="1">
      <c r="A81" s="21" t="s">
        <v>95</v>
      </c>
      <c r="B81" s="120"/>
      <c r="C81" s="23">
        <f>[61]GtS!$H$58</f>
        <v>2</v>
      </c>
      <c r="D81" s="23">
        <f>[62]GtS!$H$61</f>
        <v>2</v>
      </c>
      <c r="E81" s="23">
        <f>[63]GtS!$H$61</f>
        <v>2</v>
      </c>
      <c r="F81" s="23">
        <f>[64]GtS!$H$61</f>
        <v>2</v>
      </c>
      <c r="G81" s="34">
        <f>[65]GtS!$H$61</f>
        <v>2</v>
      </c>
      <c r="H81" s="155">
        <f>IF('AW Schulen'!$C165=0,"x",C81/'AW Schulen'!$C165)</f>
        <v>0.4</v>
      </c>
      <c r="I81" s="155">
        <f>IF('AW Schulen'!$F165=0,"x",D81/'AW Schulen'!$F165)</f>
        <v>0.4</v>
      </c>
      <c r="J81" s="155">
        <f>IF('AW Schulen'!$I165=0,"x",E81/'AW Schulen'!$I165)</f>
        <v>0.4</v>
      </c>
      <c r="K81" s="155">
        <f>IF('AW Schulen'!$L165=0,"x",F81/'AW Schulen'!$L165)</f>
        <v>0.4</v>
      </c>
      <c r="L81" s="156">
        <f>IF('AW Schulen'!$O165=0,"x",G81/'AW Schulen'!$O165)</f>
        <v>0.4</v>
      </c>
    </row>
    <row r="82" spans="1:12" ht="9" customHeight="1">
      <c r="A82" s="24" t="s">
        <v>96</v>
      </c>
      <c r="B82" s="121"/>
      <c r="C82" s="26">
        <f t="shared" ref="C82:E82" si="39">SUM(C66:C81)</f>
        <v>80</v>
      </c>
      <c r="D82" s="26">
        <f t="shared" si="39"/>
        <v>83</v>
      </c>
      <c r="E82" s="26">
        <f t="shared" si="39"/>
        <v>76</v>
      </c>
      <c r="F82" s="26">
        <f t="shared" ref="F82:G82" si="40">SUM(F66:F81)</f>
        <v>85</v>
      </c>
      <c r="G82" s="47">
        <f t="shared" si="40"/>
        <v>87</v>
      </c>
      <c r="H82" s="157">
        <f>IF('AW Schulen'!$C166=0,"x",C82/'AW Schulen'!$C166)</f>
        <v>0.43956043956043955</v>
      </c>
      <c r="I82" s="157">
        <f>IF('AW Schulen'!$F166=0,"x",D82/'AW Schulen'!$F166)</f>
        <v>0.44385026737967914</v>
      </c>
      <c r="J82" s="157">
        <f>IF('AW Schulen'!$I166=0,"x",E82/'AW Schulen'!$I166)</f>
        <v>0.4175824175824176</v>
      </c>
      <c r="K82" s="157">
        <f>IF('AW Schulen'!$L166=0,"x",F82/'AW Schulen'!$L166)</f>
        <v>0.4521276595744681</v>
      </c>
      <c r="L82" s="158">
        <f>IF('AW Schulen'!$O166=0,"x",G82/'AW Schulen'!$O166)</f>
        <v>0.45789473684210524</v>
      </c>
    </row>
    <row r="83" spans="1:12" ht="19.5" customHeight="1">
      <c r="A83" s="396" t="s">
        <v>312</v>
      </c>
      <c r="B83" s="396"/>
      <c r="C83" s="396"/>
      <c r="D83" s="396"/>
      <c r="E83" s="396"/>
      <c r="F83" s="396"/>
      <c r="G83" s="396"/>
      <c r="H83" s="396"/>
      <c r="I83" s="396"/>
      <c r="J83" s="396"/>
      <c r="K83" s="396"/>
      <c r="L83" s="396"/>
    </row>
    <row r="84" spans="1:12" s="214" customFormat="1" ht="10.15" customHeight="1">
      <c r="A84" s="220" t="s">
        <v>205</v>
      </c>
      <c r="B84" s="220"/>
      <c r="C84" s="220"/>
      <c r="D84" s="220"/>
      <c r="E84" s="220"/>
      <c r="F84" s="318"/>
      <c r="G84" s="346"/>
      <c r="I84" s="236"/>
      <c r="J84" s="246"/>
      <c r="K84" s="315"/>
      <c r="L84" s="342"/>
    </row>
    <row r="85" spans="1:12" s="214" customFormat="1" ht="10.15" customHeight="1">
      <c r="A85" s="214" t="s">
        <v>103</v>
      </c>
      <c r="D85" s="236"/>
      <c r="E85" s="246"/>
      <c r="F85" s="315"/>
      <c r="G85" s="342"/>
      <c r="I85" s="236"/>
      <c r="J85" s="246"/>
      <c r="K85" s="315"/>
      <c r="L85" s="342"/>
    </row>
    <row r="86" spans="1:12" ht="10.15" customHeight="1">
      <c r="A86" s="220" t="s">
        <v>228</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38"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view="pageLayout" zoomScaleNormal="130" zoomScaleSheetLayoutView="175"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'2.3.8'!A1:J1+1</f>
        <v>33</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4.1" customHeight="1">
      <c r="A5" s="13" t="s">
        <v>36</v>
      </c>
      <c r="B5" s="39" t="s">
        <v>189</v>
      </c>
      <c r="C5" s="14"/>
      <c r="D5" s="14"/>
      <c r="E5" s="14"/>
      <c r="F5" s="14"/>
      <c r="G5" s="14"/>
    </row>
    <row r="6" spans="1:13" s="3" customFormat="1" ht="14.25" customHeight="1">
      <c r="A6" s="13" t="s">
        <v>239</v>
      </c>
      <c r="B6" s="48" t="s">
        <v>278</v>
      </c>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82">
        <v>0</v>
      </c>
      <c r="D12" s="42">
        <f t="shared" ref="D12:E27" si="0">SUM(D30+D48+D66)</f>
        <v>16</v>
      </c>
      <c r="E12" s="42">
        <f t="shared" si="0"/>
        <v>16</v>
      </c>
      <c r="F12" s="42">
        <f t="shared" ref="F12:G12" si="1">SUM(F30+F48+F66)</f>
        <v>18</v>
      </c>
      <c r="G12" s="44">
        <f t="shared" si="1"/>
        <v>20</v>
      </c>
      <c r="H12" s="182">
        <v>0</v>
      </c>
      <c r="I12" s="297">
        <f>IF('AW Schulen'!$F150=0,"x",(IF('AW Schulen'!$F168=0,"-",D12/'AW Schulen'!$F168)))</f>
        <v>0.27586206896551724</v>
      </c>
      <c r="J12" s="297">
        <f>IF('AW Schulen'!$I150=0,"x",(IF('AW Schulen'!$I168=0,"-",E12/'AW Schulen'!$I168)))</f>
        <v>0.27586206896551724</v>
      </c>
      <c r="K12" s="297">
        <f>IF('AW Schulen'!$L150=0,"x",(IF('AW Schulen'!$L168=0,"-",F12/'AW Schulen'!$L168)))</f>
        <v>0.31034482758620691</v>
      </c>
      <c r="L12" s="298">
        <f>IF('AW Schulen'!$O150=0,"x",(IF('AW Schulen'!$O168=0,"-",G12/'AW Schulen'!$O168)))</f>
        <v>0.35087719298245612</v>
      </c>
    </row>
    <row r="13" spans="1:13" ht="9" customHeight="1">
      <c r="A13" s="21" t="s">
        <v>81</v>
      </c>
      <c r="B13" s="120"/>
      <c r="C13" s="182">
        <v>0</v>
      </c>
      <c r="D13" s="42">
        <f t="shared" si="0"/>
        <v>1</v>
      </c>
      <c r="E13" s="42">
        <f t="shared" ref="E13:F13" si="2">SUM(E31+E49+E67)</f>
        <v>0</v>
      </c>
      <c r="F13" s="42" t="e">
        <f t="shared" si="2"/>
        <v>#VALUE!</v>
      </c>
      <c r="G13" s="44">
        <f t="shared" ref="G13" si="3">SUM(G31+G49+G67)</f>
        <v>0</v>
      </c>
      <c r="H13" s="182">
        <v>0</v>
      </c>
      <c r="I13" s="297">
        <f>IF('AW Schulen'!$F151=0,"x",(IF('AW Schulen'!$F169=0,"-",D13/'AW Schulen'!$F169)))</f>
        <v>4.7619047619047616E-2</v>
      </c>
      <c r="J13" s="297">
        <f>IF('AW Schulen'!$I151=0,"x",(IF('AW Schulen'!$I169=0,"-",E13/'AW Schulen'!$I169)))</f>
        <v>0</v>
      </c>
      <c r="K13" s="297" t="e">
        <f>IF('AW Schulen'!$L151=0,"x",(IF('AW Schulen'!$L169=0,"-",F13/'AW Schulen'!$L169)))</f>
        <v>#VALUE!</v>
      </c>
      <c r="L13" s="298">
        <f>IF('AW Schulen'!$O151=0,"x",(IF('AW Schulen'!$O169=0,"-",G13/'AW Schulen'!$O169)))</f>
        <v>0</v>
      </c>
    </row>
    <row r="14" spans="1:13" ht="9" customHeight="1">
      <c r="A14" s="21" t="s">
        <v>82</v>
      </c>
      <c r="B14" s="120"/>
      <c r="C14" s="182">
        <v>0</v>
      </c>
      <c r="D14" s="42">
        <f t="shared" si="0"/>
        <v>10</v>
      </c>
      <c r="E14" s="42">
        <f t="shared" ref="E14:F14" si="4">SUM(E32+E50+E68)</f>
        <v>9</v>
      </c>
      <c r="F14" s="42">
        <f t="shared" si="4"/>
        <v>10</v>
      </c>
      <c r="G14" s="44">
        <f t="shared" ref="G14" si="5">SUM(G32+G50+G68)</f>
        <v>10</v>
      </c>
      <c r="H14" s="182">
        <v>0</v>
      </c>
      <c r="I14" s="297">
        <f>IF('AW Schulen'!$F152=0,"x",(IF('AW Schulen'!$F170=0,"-",D14/'AW Schulen'!$F170)))</f>
        <v>1</v>
      </c>
      <c r="J14" s="297">
        <f>IF('AW Schulen'!$I152=0,"x",(IF('AW Schulen'!$I170=0,"-",E14/'AW Schulen'!$I170)))</f>
        <v>0.9</v>
      </c>
      <c r="K14" s="297">
        <f>IF('AW Schulen'!$L152=0,"x",(IF('AW Schulen'!$L170=0,"-",F14/'AW Schulen'!$L170)))</f>
        <v>1</v>
      </c>
      <c r="L14" s="298">
        <f>IF('AW Schulen'!$O152=0,"x",(IF('AW Schulen'!$O170=0,"-",G14/'AW Schulen'!$O170)))</f>
        <v>1</v>
      </c>
    </row>
    <row r="15" spans="1:13" ht="9" customHeight="1">
      <c r="A15" s="21" t="s">
        <v>83</v>
      </c>
      <c r="B15" s="120"/>
      <c r="C15" s="182">
        <v>0</v>
      </c>
      <c r="D15" s="42">
        <f t="shared" si="0"/>
        <v>4</v>
      </c>
      <c r="E15" s="42">
        <f t="shared" ref="E15:F15" si="6">SUM(E33+E51+E69)</f>
        <v>4</v>
      </c>
      <c r="F15" s="42">
        <f t="shared" si="6"/>
        <v>4</v>
      </c>
      <c r="G15" s="44">
        <f t="shared" ref="G15" si="7">SUM(G33+G51+G69)</f>
        <v>4</v>
      </c>
      <c r="H15" s="182">
        <v>0</v>
      </c>
      <c r="I15" s="297">
        <f>IF('AW Schulen'!$F153=0,"x",(IF('AW Schulen'!$F171=0,"-",D15/'AW Schulen'!$F171)))</f>
        <v>0.8</v>
      </c>
      <c r="J15" s="297">
        <f>IF('AW Schulen'!$I153=0,"x",(IF('AW Schulen'!$I171=0,"-",E15/'AW Schulen'!$I171)))</f>
        <v>0.8</v>
      </c>
      <c r="K15" s="297">
        <f>IF('AW Schulen'!$L153=0,"x",(IF('AW Schulen'!$L171=0,"-",F15/'AW Schulen'!$L171)))</f>
        <v>0.8</v>
      </c>
      <c r="L15" s="298">
        <f>IF('AW Schulen'!$O153=0,"x",(IF('AW Schulen'!$O171=0,"-",G15/'AW Schulen'!$O171)))</f>
        <v>0.8</v>
      </c>
    </row>
    <row r="16" spans="1:13" ht="9" customHeight="1">
      <c r="A16" s="21" t="s">
        <v>84</v>
      </c>
      <c r="B16" s="120"/>
      <c r="C16" s="182">
        <v>0</v>
      </c>
      <c r="D16" s="42">
        <f t="shared" si="0"/>
        <v>1</v>
      </c>
      <c r="E16" s="42">
        <f t="shared" ref="E16:F16" si="8">SUM(E34+E52+E70)</f>
        <v>1</v>
      </c>
      <c r="F16" s="42">
        <f t="shared" si="8"/>
        <v>1</v>
      </c>
      <c r="G16" s="44">
        <f t="shared" ref="G16" si="9">SUM(G34+G52+G70)</f>
        <v>1</v>
      </c>
      <c r="H16" s="182">
        <v>0</v>
      </c>
      <c r="I16" s="297">
        <f>IF('AW Schulen'!$F154=0,"x",(IF('AW Schulen'!$F172=0,"-",D16/'AW Schulen'!$F172)))</f>
        <v>0.33333333333333331</v>
      </c>
      <c r="J16" s="297">
        <f>IF('AW Schulen'!$I154=0,"x",(IF('AW Schulen'!$I172=0,"-",E16/'AW Schulen'!$I172)))</f>
        <v>0.33333333333333331</v>
      </c>
      <c r="K16" s="297">
        <f>IF('AW Schulen'!$L154=0,"x",(IF('AW Schulen'!$L172=0,"-",F16/'AW Schulen'!$L172)))</f>
        <v>0.33333333333333331</v>
      </c>
      <c r="L16" s="298">
        <f>IF('AW Schulen'!$O154=0,"x",(IF('AW Schulen'!$O172=0,"-",G16/'AW Schulen'!$O172)))</f>
        <v>0.33333333333333331</v>
      </c>
    </row>
    <row r="17" spans="1:12" ht="9" customHeight="1">
      <c r="A17" s="21" t="s">
        <v>85</v>
      </c>
      <c r="B17" s="120"/>
      <c r="C17" s="182">
        <v>0</v>
      </c>
      <c r="D17" s="42">
        <f t="shared" si="0"/>
        <v>0</v>
      </c>
      <c r="E17" s="42">
        <f t="shared" ref="E17:F17" si="10">SUM(E35+E53+E71)</f>
        <v>0</v>
      </c>
      <c r="F17" s="42">
        <f t="shared" si="10"/>
        <v>0</v>
      </c>
      <c r="G17" s="44">
        <f t="shared" ref="G17" si="11">SUM(G35+G53+G71)</f>
        <v>0</v>
      </c>
      <c r="H17" s="182">
        <v>0</v>
      </c>
      <c r="I17" s="297">
        <f>IF('AW Schulen'!$F155=0,"x",(IF('AW Schulen'!$F173=0,"-",D17/'AW Schulen'!$F173)))</f>
        <v>0</v>
      </c>
      <c r="J17" s="297" t="str">
        <f>IF('AW Schulen'!$I155=0,"x",(IF('AW Schulen'!$I173=0,"-",E17/'AW Schulen'!$I173)))</f>
        <v>-</v>
      </c>
      <c r="K17" s="297">
        <f>IF('AW Schulen'!$L155=0,"x",(IF('AW Schulen'!$L173=0,"-",F17/'AW Schulen'!$L173)))</f>
        <v>0</v>
      </c>
      <c r="L17" s="298">
        <f>IF('AW Schulen'!$O155=0,"x",(IF('AW Schulen'!$O173=0,"-",G17/'AW Schulen'!$O173)))</f>
        <v>0</v>
      </c>
    </row>
    <row r="18" spans="1:12" ht="9" customHeight="1">
      <c r="A18" s="21" t="s">
        <v>86</v>
      </c>
      <c r="B18" s="120"/>
      <c r="C18" s="182">
        <v>0</v>
      </c>
      <c r="D18" s="111">
        <f t="shared" si="0"/>
        <v>0</v>
      </c>
      <c r="E18" s="111">
        <f t="shared" ref="E18:F18" si="12">SUM(E36+E54+E72)</f>
        <v>0</v>
      </c>
      <c r="F18" s="111">
        <f t="shared" si="12"/>
        <v>0</v>
      </c>
      <c r="G18" s="112">
        <f t="shared" ref="G18" si="13">SUM(G36+G54+G72)</f>
        <v>0</v>
      </c>
      <c r="H18" s="182">
        <v>0</v>
      </c>
      <c r="I18" s="182">
        <v>0</v>
      </c>
      <c r="J18" s="182">
        <v>0</v>
      </c>
      <c r="K18" s="182">
        <v>0</v>
      </c>
      <c r="L18" s="196">
        <v>0</v>
      </c>
    </row>
    <row r="19" spans="1:12" ht="9" customHeight="1">
      <c r="A19" s="21" t="s">
        <v>87</v>
      </c>
      <c r="B19" s="120"/>
      <c r="C19" s="182">
        <v>0</v>
      </c>
      <c r="D19" s="297" t="s">
        <v>261</v>
      </c>
      <c r="E19" s="297" t="s">
        <v>261</v>
      </c>
      <c r="F19" s="297" t="s">
        <v>261</v>
      </c>
      <c r="G19" s="298" t="s">
        <v>261</v>
      </c>
      <c r="H19" s="182">
        <v>0</v>
      </c>
      <c r="I19" s="297" t="s">
        <v>261</v>
      </c>
      <c r="J19" s="297" t="s">
        <v>261</v>
      </c>
      <c r="K19" s="297" t="s">
        <v>261</v>
      </c>
      <c r="L19" s="298" t="s">
        <v>261</v>
      </c>
    </row>
    <row r="20" spans="1:12" ht="9" customHeight="1">
      <c r="A20" s="21" t="s">
        <v>88</v>
      </c>
      <c r="B20" s="120"/>
      <c r="C20" s="182">
        <v>0</v>
      </c>
      <c r="D20" s="111">
        <f t="shared" si="0"/>
        <v>0</v>
      </c>
      <c r="E20" s="111">
        <f t="shared" ref="E20:F20" si="14">SUM(E38+E56+E74)</f>
        <v>0</v>
      </c>
      <c r="F20" s="111">
        <f t="shared" si="14"/>
        <v>0</v>
      </c>
      <c r="G20" s="112">
        <f t="shared" ref="G20" si="15">SUM(G38+G56+G74)</f>
        <v>0</v>
      </c>
      <c r="H20" s="182">
        <v>0</v>
      </c>
      <c r="I20" s="297" t="str">
        <f>IF('AW Schulen'!$F158=0,"x",(IF('AW Schulen'!$F176=0,"-",D20/'AW Schulen'!$F176)))</f>
        <v>-</v>
      </c>
      <c r="J20" s="297">
        <f>IF('AW Schulen'!$I158=0,"x",(IF('AW Schulen'!$I176=0,"-",E20/'AW Schulen'!$I176)))</f>
        <v>0</v>
      </c>
      <c r="K20" s="297">
        <f>IF('AW Schulen'!$L158=0,"x",(IF('AW Schulen'!$L176=0,"-",F20/'AW Schulen'!$L176)))</f>
        <v>0</v>
      </c>
      <c r="L20" s="298">
        <f>IF('AW Schulen'!$O158=0,"x",(IF('AW Schulen'!$O176=0,"-",G20/'AW Schulen'!$O176)))</f>
        <v>0</v>
      </c>
    </row>
    <row r="21" spans="1:12" ht="9" customHeight="1">
      <c r="A21" s="21" t="s">
        <v>89</v>
      </c>
      <c r="B21" s="120"/>
      <c r="C21" s="182">
        <v>0</v>
      </c>
      <c r="D21" s="42">
        <f t="shared" si="0"/>
        <v>36</v>
      </c>
      <c r="E21" s="42">
        <f t="shared" ref="E21:F21" si="16">SUM(E39+E57+E75)</f>
        <v>40</v>
      </c>
      <c r="F21" s="42">
        <f t="shared" si="16"/>
        <v>42</v>
      </c>
      <c r="G21" s="44">
        <f t="shared" ref="G21" si="17">SUM(G39+G57+G75)</f>
        <v>37</v>
      </c>
      <c r="H21" s="182">
        <v>0</v>
      </c>
      <c r="I21" s="297">
        <f>IF('AW Schulen'!$F159=0,"x",(IF('AW Schulen'!$F177=0,"-",D21/'AW Schulen'!$F177)))</f>
        <v>0.9</v>
      </c>
      <c r="J21" s="297">
        <f>IF('AW Schulen'!$I159=0,"x",(IF('AW Schulen'!$I177=0,"-",E21/'AW Schulen'!$I177)))</f>
        <v>1</v>
      </c>
      <c r="K21" s="297">
        <f>IF('AW Schulen'!$L159=0,"x",(IF('AW Schulen'!$L177=0,"-",F21/'AW Schulen'!$L177)))</f>
        <v>1</v>
      </c>
      <c r="L21" s="298">
        <f>IF('AW Schulen'!$O159=0,"x",(IF('AW Schulen'!$O177=0,"-",G21/'AW Schulen'!$O177)))</f>
        <v>0.86046511627906974</v>
      </c>
    </row>
    <row r="22" spans="1:12" ht="9" customHeight="1">
      <c r="A22" s="21" t="s">
        <v>90</v>
      </c>
      <c r="B22" s="120"/>
      <c r="C22" s="182">
        <v>0</v>
      </c>
      <c r="D22" s="42">
        <f t="shared" si="0"/>
        <v>7</v>
      </c>
      <c r="E22" s="42">
        <f t="shared" ref="E22:F22" si="18">SUM(E40+E58+E76)</f>
        <v>6</v>
      </c>
      <c r="F22" s="42">
        <f t="shared" si="18"/>
        <v>6</v>
      </c>
      <c r="G22" s="44">
        <f t="shared" ref="G22" si="19">SUM(G40+G58+G76)</f>
        <v>6</v>
      </c>
      <c r="H22" s="182">
        <v>0</v>
      </c>
      <c r="I22" s="297" t="str">
        <f>IF('AW Schulen'!$F160=0,"x",(IF('AW Schulen'!$F178=0,"-",D22/'AW Schulen'!$F178)))</f>
        <v>-</v>
      </c>
      <c r="J22" s="297" t="str">
        <f>IF('AW Schulen'!$I160=0,"x",(IF('AW Schulen'!$I178=0,"-",E22/'AW Schulen'!$I178)))</f>
        <v>-</v>
      </c>
      <c r="K22" s="297">
        <f>IF('AW Schulen'!$L160=0,"x",(IF('AW Schulen'!$L178=0,"-",F22/'AW Schulen'!$L178)))</f>
        <v>0.75</v>
      </c>
      <c r="L22" s="298">
        <f>IF('AW Schulen'!$O160=0,"x",(IF('AW Schulen'!$O178=0,"-",G22/'AW Schulen'!$O178)))</f>
        <v>0.75</v>
      </c>
    </row>
    <row r="23" spans="1:12" ht="9" customHeight="1">
      <c r="A23" s="21" t="s">
        <v>91</v>
      </c>
      <c r="B23" s="120"/>
      <c r="C23" s="182">
        <v>0</v>
      </c>
      <c r="D23" s="42">
        <f t="shared" si="0"/>
        <v>2</v>
      </c>
      <c r="E23" s="42">
        <f t="shared" ref="E23:F23" si="20">SUM(E41+E59+E77)</f>
        <v>3</v>
      </c>
      <c r="F23" s="42">
        <f t="shared" si="20"/>
        <v>3</v>
      </c>
      <c r="G23" s="44">
        <f t="shared" ref="G23" si="21">SUM(G41+G59+G77)</f>
        <v>3</v>
      </c>
      <c r="H23" s="182">
        <v>0</v>
      </c>
      <c r="I23" s="297">
        <f>IF('AW Schulen'!$F161=0,"x",(IF('AW Schulen'!$F179=0,"-",D23/'AW Schulen'!$F179)))</f>
        <v>0.5</v>
      </c>
      <c r="J23" s="297">
        <f>IF('AW Schulen'!$I161=0,"x",(IF('AW Schulen'!$I179=0,"-",E23/'AW Schulen'!$I179)))</f>
        <v>0.75</v>
      </c>
      <c r="K23" s="297">
        <f>IF('AW Schulen'!$L161=0,"x",(IF('AW Schulen'!$L179=0,"-",F23/'AW Schulen'!$L179)))</f>
        <v>0.75</v>
      </c>
      <c r="L23" s="298">
        <f>IF('AW Schulen'!$O161=0,"x",(IF('AW Schulen'!$O179=0,"-",G23/'AW Schulen'!$O179)))</f>
        <v>0.75</v>
      </c>
    </row>
    <row r="24" spans="1:12" ht="9" customHeight="1">
      <c r="A24" s="21" t="s">
        <v>260</v>
      </c>
      <c r="B24" s="120"/>
      <c r="C24" s="182">
        <v>0</v>
      </c>
      <c r="D24" s="111">
        <f t="shared" si="0"/>
        <v>0</v>
      </c>
      <c r="E24" s="111">
        <f t="shared" ref="E24:F24" si="22">SUM(E42+E60+E78)</f>
        <v>0</v>
      </c>
      <c r="F24" s="111">
        <f t="shared" si="22"/>
        <v>0</v>
      </c>
      <c r="G24" s="112">
        <f t="shared" ref="G24" si="23">SUM(G42+G60+G78)</f>
        <v>0</v>
      </c>
      <c r="H24" s="182">
        <v>0</v>
      </c>
      <c r="I24" s="182">
        <f>IF('AW Schulen'!$I162=0,"x",(IF('AW Schulen'!$I180=0,".",D24/'AW Schulen'!$I180)))</f>
        <v>0</v>
      </c>
      <c r="J24" s="182">
        <f>IF('AW Schulen'!$I162=0,"x",(IF('AW Schulen'!$I180=0,"-",E24/'AW Schulen'!$I180)))</f>
        <v>0</v>
      </c>
      <c r="K24" s="182">
        <f>IF('AW Schulen'!$L162=0,"x",(IF('AW Schulen'!$L180=0,"-",F24/'AW Schulen'!$L180)))</f>
        <v>0</v>
      </c>
      <c r="L24" s="196">
        <f>IF('AW Schulen'!$O162=0,"x",(IF('AW Schulen'!$O180=0,"-",G24/'AW Schulen'!$O180)))</f>
        <v>0</v>
      </c>
    </row>
    <row r="25" spans="1:12" ht="9" customHeight="1">
      <c r="A25" s="21" t="s">
        <v>93</v>
      </c>
      <c r="B25" s="120"/>
      <c r="C25" s="182">
        <v>0</v>
      </c>
      <c r="D25" s="111">
        <f t="shared" si="0"/>
        <v>0</v>
      </c>
      <c r="E25" s="111">
        <f t="shared" ref="E25:F25" si="24">SUM(E43+E61+E79)</f>
        <v>0</v>
      </c>
      <c r="F25" s="111">
        <f t="shared" si="24"/>
        <v>0</v>
      </c>
      <c r="G25" s="112">
        <f t="shared" ref="G25" si="25">SUM(G43+G61+G79)</f>
        <v>0</v>
      </c>
      <c r="H25" s="182">
        <v>0</v>
      </c>
      <c r="I25" s="182">
        <v>0</v>
      </c>
      <c r="J25" s="182">
        <v>0</v>
      </c>
      <c r="K25" s="182">
        <v>0</v>
      </c>
      <c r="L25" s="196">
        <v>0</v>
      </c>
    </row>
    <row r="26" spans="1:12" ht="9" customHeight="1">
      <c r="A26" s="21" t="s">
        <v>94</v>
      </c>
      <c r="B26" s="120"/>
      <c r="C26" s="182">
        <v>0</v>
      </c>
      <c r="D26" s="42">
        <f t="shared" si="0"/>
        <v>10</v>
      </c>
      <c r="E26" s="42">
        <f t="shared" ref="E26:F26" si="26">SUM(E44+E62+E80)</f>
        <v>10</v>
      </c>
      <c r="F26" s="42">
        <f t="shared" si="26"/>
        <v>10</v>
      </c>
      <c r="G26" s="44">
        <f t="shared" ref="G26" si="27">SUM(G44+G62+G80)</f>
        <v>10</v>
      </c>
      <c r="H26" s="182">
        <v>0</v>
      </c>
      <c r="I26" s="297">
        <f>IF('AW Schulen'!$F164=0,"x",(IF('AW Schulen'!$F182=0,"-",D26/'AW Schulen'!$F182)))</f>
        <v>0.83333333333333337</v>
      </c>
      <c r="J26" s="297">
        <f>IF('AW Schulen'!$I164=0,"x",(IF('AW Schulen'!$I182=0,"-",E26/'AW Schulen'!$I182)))</f>
        <v>0.83333333333333337</v>
      </c>
      <c r="K26" s="297">
        <f>IF('AW Schulen'!$L164=0,"x",(IF('AW Schulen'!$L182=0,"-",F26/'AW Schulen'!$L182)))</f>
        <v>0.83333333333333337</v>
      </c>
      <c r="L26" s="298">
        <f>IF('AW Schulen'!$O164=0,"x",(IF('AW Schulen'!$O182=0,"-",G26/'AW Schulen'!$O182)))</f>
        <v>0.83333333333333337</v>
      </c>
    </row>
    <row r="27" spans="1:12" ht="9" customHeight="1">
      <c r="A27" s="21" t="s">
        <v>95</v>
      </c>
      <c r="B27" s="120"/>
      <c r="C27" s="182">
        <v>0</v>
      </c>
      <c r="D27" s="42">
        <f t="shared" si="0"/>
        <v>5</v>
      </c>
      <c r="E27" s="42">
        <f t="shared" ref="E27:F27" si="28">SUM(E45+E63+E81)</f>
        <v>5</v>
      </c>
      <c r="F27" s="42">
        <f t="shared" si="28"/>
        <v>5</v>
      </c>
      <c r="G27" s="44">
        <f t="shared" ref="G27" si="29">SUM(G45+G63+G81)</f>
        <v>5</v>
      </c>
      <c r="H27" s="182">
        <v>0</v>
      </c>
      <c r="I27" s="297">
        <f>IF('AW Schulen'!$F165=0,"x",(IF('AW Schulen'!$F183=0,"-",D27/'AW Schulen'!$F183)))</f>
        <v>1</v>
      </c>
      <c r="J27" s="297">
        <f>IF('AW Schulen'!$I165=0,"x",(IF('AW Schulen'!$I183=0,"-",E27/'AW Schulen'!$I183)))</f>
        <v>1</v>
      </c>
      <c r="K27" s="297">
        <f>IF('AW Schulen'!$L165=0,"x",(IF('AW Schulen'!$L183=0,"-",F27/'AW Schulen'!$L183)))</f>
        <v>1</v>
      </c>
      <c r="L27" s="298">
        <f>IF('AW Schulen'!$O165=0,"x",(IF('AW Schulen'!$O183=0,"-",G27/'AW Schulen'!$O183)))</f>
        <v>1</v>
      </c>
    </row>
    <row r="28" spans="1:12" ht="9" customHeight="1">
      <c r="A28" s="21" t="s">
        <v>96</v>
      </c>
      <c r="B28" s="120"/>
      <c r="C28" s="182">
        <v>0</v>
      </c>
      <c r="D28" s="42">
        <f t="shared" ref="D28" si="30">SUM(D46+D64+D82)</f>
        <v>92</v>
      </c>
      <c r="E28" s="42">
        <f t="shared" ref="E28:F28" si="31">SUM(E46+E64+E82)</f>
        <v>94</v>
      </c>
      <c r="F28" s="42">
        <f t="shared" si="31"/>
        <v>99</v>
      </c>
      <c r="G28" s="44">
        <f t="shared" ref="G28" si="32">SUM(G46+G64+G82)</f>
        <v>96</v>
      </c>
      <c r="H28" s="182">
        <v>0</v>
      </c>
      <c r="I28" s="297">
        <f>IF('AW Schulen'!$F166=0,"x",(IF('AW Schulen'!$F184=0,"-",D28/'AW Schulen'!$F184)))</f>
        <v>0.56097560975609762</v>
      </c>
      <c r="J28" s="297">
        <f>IF('AW Schulen'!$I166=0,"x",(IF('AW Schulen'!$I184=0,"-",E28/'AW Schulen'!$I184)))</f>
        <v>0.5696969696969697</v>
      </c>
      <c r="K28" s="297">
        <f>IF('AW Schulen'!$L166=0,"x",(IF('AW Schulen'!$L184=0,"-",F28/'AW Schulen'!$L184)))</f>
        <v>0.532258064516129</v>
      </c>
      <c r="L28" s="298">
        <f>IF('AW Schulen'!$O166=0,"x",(IF('AW Schulen'!$O184=0,"-",G28/'AW Schulen'!$O184)))</f>
        <v>0.51063829787234039</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183">
        <v>0</v>
      </c>
      <c r="D30" s="23">
        <f>[2]GtS!$F$62</f>
        <v>5</v>
      </c>
      <c r="E30" s="23">
        <f>[3]GtS!$F$62</f>
        <v>5</v>
      </c>
      <c r="F30" s="23">
        <f>[4]GtS!$F$62</f>
        <v>5</v>
      </c>
      <c r="G30" s="34">
        <f>[5]GtS!$F$62</f>
        <v>4</v>
      </c>
      <c r="H30" s="183">
        <v>0</v>
      </c>
      <c r="I30" s="299">
        <f>IF('AW Schulen'!$F150=0,"x",(IF('AW Schulen'!$F168=0,"-",D30/'AW Schulen'!$F168)))</f>
        <v>8.6206896551724144E-2</v>
      </c>
      <c r="J30" s="299">
        <f>IF('AW Schulen'!$I150=0,"x",(IF('AW Schulen'!$I168=0,"-",E30/'AW Schulen'!$I168)))</f>
        <v>8.6206896551724144E-2</v>
      </c>
      <c r="K30" s="299">
        <f>IF('AW Schulen'!$L150=0,"x",(IF('AW Schulen'!$L168=0,"-",F30/'AW Schulen'!$L168)))</f>
        <v>8.6206896551724144E-2</v>
      </c>
      <c r="L30" s="300">
        <f>IF('AW Schulen'!$O150=0,"x",(IF('AW Schulen'!$O168=0,"-",G30/'AW Schulen'!$O168)))</f>
        <v>7.0175438596491224E-2</v>
      </c>
    </row>
    <row r="31" spans="1:12" ht="9" customHeight="1">
      <c r="A31" s="21" t="s">
        <v>81</v>
      </c>
      <c r="B31" s="120"/>
      <c r="C31" s="183">
        <v>0</v>
      </c>
      <c r="D31" s="23">
        <f>[7]GtS!$F$62</f>
        <v>0</v>
      </c>
      <c r="E31" s="23">
        <f>[8]GtS!$F$62</f>
        <v>0</v>
      </c>
      <c r="F31" s="23" t="str">
        <f>[9]GtS!$F$62</f>
        <v xml:space="preserve">                                      -   </v>
      </c>
      <c r="G31" s="34">
        <f>[10]GtS!$F$62</f>
        <v>0</v>
      </c>
      <c r="H31" s="183">
        <v>0</v>
      </c>
      <c r="I31" s="299">
        <f>IF('AW Schulen'!$F151=0,"x",(IF('AW Schulen'!$F169=0,"-",D31/'AW Schulen'!$F169)))</f>
        <v>0</v>
      </c>
      <c r="J31" s="299">
        <f>IF('AW Schulen'!$I151=0,"x",(IF('AW Schulen'!$I169=0,"-",E31/'AW Schulen'!$I169)))</f>
        <v>0</v>
      </c>
      <c r="K31" s="299" t="e">
        <f>IF('AW Schulen'!$L151=0,"x",(IF('AW Schulen'!$L169=0,"-",F31/'AW Schulen'!$L169)))</f>
        <v>#VALUE!</v>
      </c>
      <c r="L31" s="300">
        <f>IF('AW Schulen'!$O151=0,"x",(IF('AW Schulen'!$O169=0,"-",G31/'AW Schulen'!$O169)))</f>
        <v>0</v>
      </c>
    </row>
    <row r="32" spans="1:12" ht="9" customHeight="1">
      <c r="A32" s="21" t="s">
        <v>82</v>
      </c>
      <c r="B32" s="120"/>
      <c r="C32" s="183">
        <v>0</v>
      </c>
      <c r="D32" s="23">
        <f>[12]GtS!$F$62</f>
        <v>0</v>
      </c>
      <c r="E32" s="23">
        <f>[13]GtS!$F$62</f>
        <v>0</v>
      </c>
      <c r="F32" s="23">
        <f>[14]GtS!$F$62</f>
        <v>0</v>
      </c>
      <c r="G32" s="34">
        <f>[15]GtS!$F$62</f>
        <v>0</v>
      </c>
      <c r="H32" s="183">
        <v>0</v>
      </c>
      <c r="I32" s="299">
        <f>IF('AW Schulen'!$F152=0,"x",(IF('AW Schulen'!$F170=0,"-",D32/'AW Schulen'!$F170)))</f>
        <v>0</v>
      </c>
      <c r="J32" s="299">
        <f>IF('AW Schulen'!$I152=0,"x",(IF('AW Schulen'!$I170=0,"-",E32/'AW Schulen'!$I170)))</f>
        <v>0</v>
      </c>
      <c r="K32" s="299">
        <f>IF('AW Schulen'!$L152=0,"x",(IF('AW Schulen'!$L170=0,"-",F32/'AW Schulen'!$L170)))</f>
        <v>0</v>
      </c>
      <c r="L32" s="300">
        <f>IF('AW Schulen'!$O152=0,"x",(IF('AW Schulen'!$O170=0,"-",G32/'AW Schulen'!$O170)))</f>
        <v>0</v>
      </c>
    </row>
    <row r="33" spans="1:12" ht="9" customHeight="1">
      <c r="A33" s="21" t="s">
        <v>83</v>
      </c>
      <c r="B33" s="120"/>
      <c r="C33" s="183">
        <v>0</v>
      </c>
      <c r="D33" s="23">
        <f>[17]GtS!$F$62</f>
        <v>0</v>
      </c>
      <c r="E33" s="23">
        <f>[18]GtS!$F$62</f>
        <v>0</v>
      </c>
      <c r="F33" s="23">
        <f>[19]GtS!$F$62</f>
        <v>0</v>
      </c>
      <c r="G33" s="34">
        <f>[20]GtS!$F$62</f>
        <v>0</v>
      </c>
      <c r="H33" s="183">
        <v>0</v>
      </c>
      <c r="I33" s="299">
        <f>IF('AW Schulen'!$F153=0,"x",(IF('AW Schulen'!$F171=0,"-",D33/'AW Schulen'!$F171)))</f>
        <v>0</v>
      </c>
      <c r="J33" s="299">
        <f>IF('AW Schulen'!$I153=0,"x",(IF('AW Schulen'!$I171=0,"-",E33/'AW Schulen'!$I171)))</f>
        <v>0</v>
      </c>
      <c r="K33" s="299">
        <f>IF('AW Schulen'!$L153=0,"x",(IF('AW Schulen'!$L171=0,"-",F33/'AW Schulen'!$L171)))</f>
        <v>0</v>
      </c>
      <c r="L33" s="300">
        <f>IF('AW Schulen'!$O153=0,"x",(IF('AW Schulen'!$O171=0,"-",G33/'AW Schulen'!$O171)))</f>
        <v>0</v>
      </c>
    </row>
    <row r="34" spans="1:12" ht="9" customHeight="1">
      <c r="A34" s="21" t="s">
        <v>84</v>
      </c>
      <c r="B34" s="120"/>
      <c r="C34" s="183">
        <v>0</v>
      </c>
      <c r="D34" s="23">
        <f>[22]GtS!$F$62</f>
        <v>0</v>
      </c>
      <c r="E34" s="23">
        <f>[23]GtS!$F$62</f>
        <v>0</v>
      </c>
      <c r="F34" s="23">
        <f>[24]GtS!$F$62</f>
        <v>0</v>
      </c>
      <c r="G34" s="34">
        <f>[25]GtS!$F$62</f>
        <v>0</v>
      </c>
      <c r="H34" s="183">
        <v>0</v>
      </c>
      <c r="I34" s="299">
        <f>IF('AW Schulen'!$F154=0,"x",(IF('AW Schulen'!$F172=0,"-",D34/'AW Schulen'!$F172)))</f>
        <v>0</v>
      </c>
      <c r="J34" s="299">
        <f>IF('AW Schulen'!$I154=0,"x",(IF('AW Schulen'!$I172=0,"-",E34/'AW Schulen'!$I172)))</f>
        <v>0</v>
      </c>
      <c r="K34" s="299">
        <f>IF('AW Schulen'!$L154=0,"x",(IF('AW Schulen'!$L172=0,"-",F34/'AW Schulen'!$L172)))</f>
        <v>0</v>
      </c>
      <c r="L34" s="300">
        <f>IF('AW Schulen'!$O154=0,"x",(IF('AW Schulen'!$O172=0,"-",G34/'AW Schulen'!$O172)))</f>
        <v>0</v>
      </c>
    </row>
    <row r="35" spans="1:12" ht="9" customHeight="1">
      <c r="A35" s="21" t="s">
        <v>85</v>
      </c>
      <c r="B35" s="120"/>
      <c r="C35" s="183">
        <v>0</v>
      </c>
      <c r="D35" s="23">
        <f>[27]GtS!$F$62</f>
        <v>0</v>
      </c>
      <c r="E35" s="23">
        <f>[28]GtS!$F$62</f>
        <v>0</v>
      </c>
      <c r="F35" s="23">
        <f>[29]GtS!$F$62</f>
        <v>0</v>
      </c>
      <c r="G35" s="34">
        <f>[30]GtS!$F$62</f>
        <v>0</v>
      </c>
      <c r="H35" s="183">
        <v>0</v>
      </c>
      <c r="I35" s="299">
        <f>IF('AW Schulen'!$F155=0,"x",(IF('AW Schulen'!$F173=0,"-",D35/'AW Schulen'!$F173)))</f>
        <v>0</v>
      </c>
      <c r="J35" s="299" t="str">
        <f>IF('AW Schulen'!$I155=0,"x",(IF('AW Schulen'!$I173=0,"-",E35/'AW Schulen'!$I173)))</f>
        <v>-</v>
      </c>
      <c r="K35" s="299">
        <f>IF('AW Schulen'!$L155=0,"x",(IF('AW Schulen'!$L173=0,"-",F35/'AW Schulen'!$L173)))</f>
        <v>0</v>
      </c>
      <c r="L35" s="300">
        <f>IF('AW Schulen'!$O155=0,"x",(IF('AW Schulen'!$O173=0,"-",G35/'AW Schulen'!$O173)))</f>
        <v>0</v>
      </c>
    </row>
    <row r="36" spans="1:12" ht="9" customHeight="1">
      <c r="A36" s="21" t="s">
        <v>86</v>
      </c>
      <c r="B36" s="120"/>
      <c r="C36" s="183">
        <v>0</v>
      </c>
      <c r="D36" s="35">
        <f>[67]GtS!$F$62</f>
        <v>0</v>
      </c>
      <c r="E36" s="35">
        <f>[68]GtS!$F$62</f>
        <v>0</v>
      </c>
      <c r="F36" s="35">
        <f>[69]GtS!$F$62</f>
        <v>0</v>
      </c>
      <c r="G36" s="200">
        <f>[70]GtS!$F$62</f>
        <v>0</v>
      </c>
      <c r="H36" s="183">
        <v>0</v>
      </c>
      <c r="I36" s="183">
        <v>0</v>
      </c>
      <c r="J36" s="183">
        <v>0</v>
      </c>
      <c r="K36" s="183">
        <v>0</v>
      </c>
      <c r="L36" s="197">
        <v>0</v>
      </c>
    </row>
    <row r="37" spans="1:12" ht="9" customHeight="1">
      <c r="A37" s="21" t="s">
        <v>87</v>
      </c>
      <c r="B37" s="120"/>
      <c r="C37" s="183">
        <v>0</v>
      </c>
      <c r="D37" s="46" t="s">
        <v>261</v>
      </c>
      <c r="E37" s="46" t="s">
        <v>261</v>
      </c>
      <c r="F37" s="46" t="s">
        <v>261</v>
      </c>
      <c r="G37" s="260" t="s">
        <v>261</v>
      </c>
      <c r="H37" s="183">
        <v>0</v>
      </c>
      <c r="I37" s="183" t="s">
        <v>261</v>
      </c>
      <c r="J37" s="183" t="s">
        <v>261</v>
      </c>
      <c r="K37" s="183" t="s">
        <v>261</v>
      </c>
      <c r="L37" s="197" t="s">
        <v>261</v>
      </c>
    </row>
    <row r="38" spans="1:12" ht="9" customHeight="1">
      <c r="A38" s="21" t="s">
        <v>88</v>
      </c>
      <c r="B38" s="120"/>
      <c r="C38" s="183">
        <v>0</v>
      </c>
      <c r="D38" s="35">
        <f>[72]GtS!$F$62</f>
        <v>0</v>
      </c>
      <c r="E38" s="35">
        <f>[73]GtS!$F$62</f>
        <v>0</v>
      </c>
      <c r="F38" s="35">
        <f>[74]GtS!$F$62</f>
        <v>0</v>
      </c>
      <c r="G38" s="200">
        <f>[75]GtS!$F$62</f>
        <v>0</v>
      </c>
      <c r="H38" s="183">
        <v>0</v>
      </c>
      <c r="I38" s="183">
        <v>0</v>
      </c>
      <c r="J38" s="183">
        <v>0</v>
      </c>
      <c r="K38" s="183">
        <v>0</v>
      </c>
      <c r="L38" s="197">
        <v>0</v>
      </c>
    </row>
    <row r="39" spans="1:12" ht="9" customHeight="1">
      <c r="A39" s="21" t="s">
        <v>89</v>
      </c>
      <c r="B39" s="120"/>
      <c r="C39" s="183">
        <v>0</v>
      </c>
      <c r="D39" s="23">
        <f>[37]GtS!$F$62</f>
        <v>1</v>
      </c>
      <c r="E39" s="23">
        <f>[38]GtS!$F$62</f>
        <v>5</v>
      </c>
      <c r="F39" s="23">
        <f>[39]GtS!$F$62</f>
        <v>6</v>
      </c>
      <c r="G39" s="34">
        <f>[40]GtS!$F$62</f>
        <v>2</v>
      </c>
      <c r="H39" s="183">
        <v>0</v>
      </c>
      <c r="I39" s="299">
        <f>IF('AW Schulen'!$F159=0,"x",(IF('AW Schulen'!$F177=0,"-",D39/'AW Schulen'!$F177)))</f>
        <v>2.5000000000000001E-2</v>
      </c>
      <c r="J39" s="299">
        <f>IF('AW Schulen'!$I159=0,"x",(IF('AW Schulen'!$I177=0,"-",E39/'AW Schulen'!$I177)))</f>
        <v>0.125</v>
      </c>
      <c r="K39" s="299">
        <f>IF('AW Schulen'!$L159=0,"x",(IF('AW Schulen'!$L177=0,"-",F39/'AW Schulen'!$L177)))</f>
        <v>0.14285714285714285</v>
      </c>
      <c r="L39" s="300">
        <f>IF('AW Schulen'!$O159=0,"x",(IF('AW Schulen'!$O177=0,"-",G39/'AW Schulen'!$O177)))</f>
        <v>4.6511627906976744E-2</v>
      </c>
    </row>
    <row r="40" spans="1:12" ht="9" customHeight="1">
      <c r="A40" s="21" t="s">
        <v>90</v>
      </c>
      <c r="B40" s="120"/>
      <c r="C40" s="183">
        <v>0</v>
      </c>
      <c r="D40" s="23">
        <f>[42]GtS!$F$62</f>
        <v>0</v>
      </c>
      <c r="E40" s="23">
        <f>[43]GtS!$F$62</f>
        <v>0</v>
      </c>
      <c r="F40" s="23">
        <f>[44]GtS!$F$62</f>
        <v>0</v>
      </c>
      <c r="G40" s="34">
        <f>[45]GtS!$F$62</f>
        <v>0</v>
      </c>
      <c r="H40" s="183">
        <v>0</v>
      </c>
      <c r="I40" s="299" t="str">
        <f>IF('AW Schulen'!$F160=0,"x",(IF('AW Schulen'!$F178=0,"-",D40/'AW Schulen'!$F178)))</f>
        <v>-</v>
      </c>
      <c r="J40" s="299" t="str">
        <f>IF('AW Schulen'!$I160=0,"x",(IF('AW Schulen'!$I178=0,"-",E40/'AW Schulen'!$I178)))</f>
        <v>-</v>
      </c>
      <c r="K40" s="299">
        <f>IF('AW Schulen'!$L160=0,"x",(IF('AW Schulen'!$L178=0,"-",F40/'AW Schulen'!$L178)))</f>
        <v>0</v>
      </c>
      <c r="L40" s="300">
        <f>IF('AW Schulen'!$O160=0,"x",(IF('AW Schulen'!$O178=0,"-",G40/'AW Schulen'!$O178)))</f>
        <v>0</v>
      </c>
    </row>
    <row r="41" spans="1:12" ht="9" customHeight="1">
      <c r="A41" s="21" t="s">
        <v>91</v>
      </c>
      <c r="B41" s="120"/>
      <c r="C41" s="183">
        <v>0</v>
      </c>
      <c r="D41" s="23">
        <f>[47]GtS!$F$62</f>
        <v>0</v>
      </c>
      <c r="E41" s="23">
        <f>[48]GtS!$F$62</f>
        <v>0</v>
      </c>
      <c r="F41" s="23">
        <f>[49]GtS!$F$62</f>
        <v>0</v>
      </c>
      <c r="G41" s="34">
        <f>[50]GtS!$F$62</f>
        <v>0</v>
      </c>
      <c r="H41" s="183">
        <v>0</v>
      </c>
      <c r="I41" s="299">
        <f>IF('AW Schulen'!$F161=0,"x",(IF('AW Schulen'!$F179=0,"-",D41/'AW Schulen'!$F179)))</f>
        <v>0</v>
      </c>
      <c r="J41" s="299">
        <f>IF('AW Schulen'!$I161=0,"x",(IF('AW Schulen'!$I179=0,"-",E41/'AW Schulen'!$I179)))</f>
        <v>0</v>
      </c>
      <c r="K41" s="299">
        <f>IF('AW Schulen'!$L161=0,"x",(IF('AW Schulen'!$L179=0,"-",F41/'AW Schulen'!$L179)))</f>
        <v>0</v>
      </c>
      <c r="L41" s="300">
        <f>IF('AW Schulen'!$O161=0,"x",(IF('AW Schulen'!$O179=0,"-",G41/'AW Schulen'!$O179)))</f>
        <v>0</v>
      </c>
    </row>
    <row r="42" spans="1:12" ht="9" customHeight="1">
      <c r="A42" s="21" t="s">
        <v>260</v>
      </c>
      <c r="B42" s="120"/>
      <c r="C42" s="183">
        <v>0</v>
      </c>
      <c r="D42" s="35">
        <f>[52]GtS!$F$62</f>
        <v>0</v>
      </c>
      <c r="E42" s="35">
        <f>[53]GtS!$F$62</f>
        <v>0</v>
      </c>
      <c r="F42" s="35">
        <f>[54]GtS!$F$62</f>
        <v>0</v>
      </c>
      <c r="G42" s="200">
        <f>[55]GtS!$F$62</f>
        <v>0</v>
      </c>
      <c r="H42" s="183">
        <v>0</v>
      </c>
      <c r="I42" s="299" t="str">
        <f>IF('AW Schulen'!$F162=0,"x",(IF('AW Schulen'!$F180=0,".",D42/'AW Schulen'!$F180)))</f>
        <v>.</v>
      </c>
      <c r="J42" s="183">
        <f>IF('AW Schulen'!$I162=0,"x",(IF('AW Schulen'!$I180=0,".",E42/'AW Schulen'!$I180)))</f>
        <v>0</v>
      </c>
      <c r="K42" s="183">
        <f>IF('AW Schulen'!$L162=0,"x",(IF('AW Schulen'!$L180=0,".",F42/'AW Schulen'!$L180)))</f>
        <v>0</v>
      </c>
      <c r="L42" s="197">
        <f>IF('AW Schulen'!$O162=0,"x",(IF('AW Schulen'!$O180=0,".",G42/'AW Schulen'!$O180)))</f>
        <v>0</v>
      </c>
    </row>
    <row r="43" spans="1:12" ht="9" customHeight="1">
      <c r="A43" s="21" t="s">
        <v>93</v>
      </c>
      <c r="B43" s="120"/>
      <c r="C43" s="183">
        <v>0</v>
      </c>
      <c r="D43" s="35">
        <f>[77]GtS!$F$62</f>
        <v>0</v>
      </c>
      <c r="E43" s="35">
        <f>[78]GtS!$F$62</f>
        <v>0</v>
      </c>
      <c r="F43" s="35">
        <f>[79]GtS!$F$62</f>
        <v>0</v>
      </c>
      <c r="G43" s="200">
        <f>[80]GtS!$F$62</f>
        <v>0</v>
      </c>
      <c r="H43" s="183">
        <v>0</v>
      </c>
      <c r="I43" s="183">
        <v>0</v>
      </c>
      <c r="J43" s="183">
        <v>0</v>
      </c>
      <c r="K43" s="183">
        <v>0</v>
      </c>
      <c r="L43" s="197">
        <v>0</v>
      </c>
    </row>
    <row r="44" spans="1:12" ht="9" customHeight="1">
      <c r="A44" s="21" t="s">
        <v>94</v>
      </c>
      <c r="B44" s="120"/>
      <c r="C44" s="183">
        <v>0</v>
      </c>
      <c r="D44" s="23">
        <f>[57]GtS!$F$62</f>
        <v>0</v>
      </c>
      <c r="E44" s="23">
        <f>[58]GtS!$F$62</f>
        <v>0</v>
      </c>
      <c r="F44" s="23">
        <f>[59]GtS!$F$62</f>
        <v>0</v>
      </c>
      <c r="G44" s="34">
        <f>[60]GtS!$F$62</f>
        <v>0</v>
      </c>
      <c r="H44" s="183">
        <v>0</v>
      </c>
      <c r="I44" s="299">
        <f>IF('AW Schulen'!$F164=0,"x",(IF('AW Schulen'!$F182=0,"-",D44/'AW Schulen'!$F182)))</f>
        <v>0</v>
      </c>
      <c r="J44" s="299">
        <f>IF('AW Schulen'!$I164=0,"x",(IF('AW Schulen'!$I182=0,"-",E44/'AW Schulen'!$I182)))</f>
        <v>0</v>
      </c>
      <c r="K44" s="299">
        <f>IF('AW Schulen'!$L164=0,"x",(IF('AW Schulen'!$L182=0,"-",F44/'AW Schulen'!$L182)))</f>
        <v>0</v>
      </c>
      <c r="L44" s="300">
        <f>IF('AW Schulen'!$O164=0,"x",(IF('AW Schulen'!$O182=0,"-",G44/'AW Schulen'!$O182)))</f>
        <v>0</v>
      </c>
    </row>
    <row r="45" spans="1:12" ht="9" customHeight="1">
      <c r="A45" s="21" t="s">
        <v>95</v>
      </c>
      <c r="B45" s="120"/>
      <c r="C45" s="183">
        <v>0</v>
      </c>
      <c r="D45" s="23">
        <f>[62]GtS!$F$62</f>
        <v>1</v>
      </c>
      <c r="E45" s="23">
        <f>[63]GtS!$F$62</f>
        <v>1</v>
      </c>
      <c r="F45" s="23">
        <f>[64]GtS!$F$62</f>
        <v>1</v>
      </c>
      <c r="G45" s="34">
        <f>[65]GtS!$F$62</f>
        <v>1</v>
      </c>
      <c r="H45" s="183">
        <v>0</v>
      </c>
      <c r="I45" s="299">
        <f>IF('AW Schulen'!$F165=0,"x",(IF('AW Schulen'!$F183=0,"-",D45/'AW Schulen'!$F183)))</f>
        <v>0.2</v>
      </c>
      <c r="J45" s="299">
        <f>IF('AW Schulen'!$I165=0,"x",(IF('AW Schulen'!$I183=0,"-",E45/'AW Schulen'!$I183)))</f>
        <v>0.2</v>
      </c>
      <c r="K45" s="299">
        <f>IF('AW Schulen'!$L165=0,"x",(IF('AW Schulen'!$L183=0,"-",F45/'AW Schulen'!$L183)))</f>
        <v>0.2</v>
      </c>
      <c r="L45" s="300">
        <f>IF('AW Schulen'!$O165=0,"x",(IF('AW Schulen'!$O183=0,"-",G45/'AW Schulen'!$O183)))</f>
        <v>0.2</v>
      </c>
    </row>
    <row r="46" spans="1:12" ht="9" customHeight="1">
      <c r="A46" s="21" t="s">
        <v>96</v>
      </c>
      <c r="B46" s="120"/>
      <c r="C46" s="183">
        <v>0</v>
      </c>
      <c r="D46" s="23">
        <f t="shared" ref="D46:E46" si="33">SUM(D30:D45)</f>
        <v>7</v>
      </c>
      <c r="E46" s="23">
        <f t="shared" si="33"/>
        <v>11</v>
      </c>
      <c r="F46" s="23">
        <f t="shared" ref="F46:G46" si="34">SUM(F30:F45)</f>
        <v>12</v>
      </c>
      <c r="G46" s="34">
        <f t="shared" si="34"/>
        <v>7</v>
      </c>
      <c r="H46" s="183">
        <v>0</v>
      </c>
      <c r="I46" s="299">
        <f>IF('AW Schulen'!$F166=0,"x",(IF('AW Schulen'!$F184=0,"-",D46/'AW Schulen'!$F184)))</f>
        <v>4.2682926829268296E-2</v>
      </c>
      <c r="J46" s="299">
        <f>IF('AW Schulen'!$I166=0,"x",(IF('AW Schulen'!$I184=0,"-",E46/'AW Schulen'!$I184)))</f>
        <v>6.6666666666666666E-2</v>
      </c>
      <c r="K46" s="299">
        <f>IF('AW Schulen'!$L166=0,"x",(IF('AW Schulen'!$L184=0,"-",F46/'AW Schulen'!$L184)))</f>
        <v>6.4516129032258063E-2</v>
      </c>
      <c r="L46" s="300">
        <f>IF('AW Schulen'!$O166=0,"x",(IF('AW Schulen'!$O184=0,"-",G46/'AW Schulen'!$O184)))</f>
        <v>3.7234042553191488E-2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183">
        <v>0</v>
      </c>
      <c r="D48" s="23">
        <f>[2]GtS!$G$62</f>
        <v>4</v>
      </c>
      <c r="E48" s="23">
        <f>[3]GtS!$G$62</f>
        <v>4</v>
      </c>
      <c r="F48" s="23">
        <f>[4]GtS!$G$62</f>
        <v>4</v>
      </c>
      <c r="G48" s="34">
        <f>[5]GtS!$G$62</f>
        <v>6</v>
      </c>
      <c r="H48" s="183">
        <v>0</v>
      </c>
      <c r="I48" s="299">
        <f>IF('AW Schulen'!$F150=0,"x",(IF('AW Schulen'!$F168=0,"-",D48/'AW Schulen'!$F168)))</f>
        <v>6.8965517241379309E-2</v>
      </c>
      <c r="J48" s="299">
        <f>IF('AW Schulen'!$I150=0,"x",(IF('AW Schulen'!$I168=0,"-",E48/'AW Schulen'!$I168)))</f>
        <v>6.8965517241379309E-2</v>
      </c>
      <c r="K48" s="299">
        <f>IF('AW Schulen'!$L150=0,"x",(IF('AW Schulen'!$L168=0,"-",F48/'AW Schulen'!$L168)))</f>
        <v>6.8965517241379309E-2</v>
      </c>
      <c r="L48" s="300">
        <f>IF('AW Schulen'!$O150=0,"x",(IF('AW Schulen'!$O168=0,"-",G48/'AW Schulen'!$O168)))</f>
        <v>0.10526315789473684</v>
      </c>
    </row>
    <row r="49" spans="1:12" ht="9" customHeight="1">
      <c r="A49" s="21" t="s">
        <v>81</v>
      </c>
      <c r="B49" s="120"/>
      <c r="C49" s="183">
        <v>0</v>
      </c>
      <c r="D49" s="23">
        <f>[7]GtS!$G$62</f>
        <v>0</v>
      </c>
      <c r="E49" s="23">
        <f>[8]GtS!$G$62</f>
        <v>0</v>
      </c>
      <c r="F49" s="23" t="str">
        <f>[9]GtS!$G$62</f>
        <v xml:space="preserve">                                      -   </v>
      </c>
      <c r="G49" s="34">
        <f>[10]GtS!$G$62</f>
        <v>0</v>
      </c>
      <c r="H49" s="183">
        <v>0</v>
      </c>
      <c r="I49" s="299">
        <f>IF('AW Schulen'!$F151=0,"x",(IF('AW Schulen'!$F169=0,"-",D49/'AW Schulen'!$F169)))</f>
        <v>0</v>
      </c>
      <c r="J49" s="299">
        <f>IF('AW Schulen'!$I151=0,"x",(IF('AW Schulen'!$I169=0,"-",E49/'AW Schulen'!$I169)))</f>
        <v>0</v>
      </c>
      <c r="K49" s="299" t="e">
        <f>IF('AW Schulen'!$L151=0,"x",(IF('AW Schulen'!$L169=0,"-",F49/'AW Schulen'!$L169)))</f>
        <v>#VALUE!</v>
      </c>
      <c r="L49" s="300">
        <f>IF('AW Schulen'!$O151=0,"x",(IF('AW Schulen'!$O169=0,"-",G49/'AW Schulen'!$O169)))</f>
        <v>0</v>
      </c>
    </row>
    <row r="50" spans="1:12" ht="9" customHeight="1">
      <c r="A50" s="21" t="s">
        <v>82</v>
      </c>
      <c r="B50" s="120"/>
      <c r="C50" s="183">
        <v>0</v>
      </c>
      <c r="D50" s="23">
        <f>[12]GtS!$G$62</f>
        <v>0</v>
      </c>
      <c r="E50" s="23">
        <f>[13]GtS!$G$62</f>
        <v>0</v>
      </c>
      <c r="F50" s="23">
        <f>[14]GtS!$G$62</f>
        <v>0</v>
      </c>
      <c r="G50" s="34">
        <f>[15]GtS!$G$62</f>
        <v>0</v>
      </c>
      <c r="H50" s="183">
        <v>0</v>
      </c>
      <c r="I50" s="299">
        <f>IF('AW Schulen'!$F152=0,"x",(IF('AW Schulen'!$F170=0,"-",D50/'AW Schulen'!$F170)))</f>
        <v>0</v>
      </c>
      <c r="J50" s="299">
        <f>IF('AW Schulen'!$I152=0,"x",(IF('AW Schulen'!$I170=0,"-",E50/'AW Schulen'!$I170)))</f>
        <v>0</v>
      </c>
      <c r="K50" s="299">
        <f>IF('AW Schulen'!$L152=0,"x",(IF('AW Schulen'!$L170=0,"-",F50/'AW Schulen'!$L170)))</f>
        <v>0</v>
      </c>
      <c r="L50" s="300">
        <f>IF('AW Schulen'!$O152=0,"x",(IF('AW Schulen'!$O170=0,"-",G50/'AW Schulen'!$O170)))</f>
        <v>0</v>
      </c>
    </row>
    <row r="51" spans="1:12" ht="9" customHeight="1">
      <c r="A51" s="21" t="s">
        <v>83</v>
      </c>
      <c r="B51" s="120"/>
      <c r="C51" s="183">
        <v>0</v>
      </c>
      <c r="D51" s="23">
        <f>[17]GtS!$G$62</f>
        <v>0</v>
      </c>
      <c r="E51" s="23">
        <f>[18]GtS!$G$62</f>
        <v>0</v>
      </c>
      <c r="F51" s="23">
        <f>[19]GtS!$G$62</f>
        <v>0</v>
      </c>
      <c r="G51" s="34">
        <f>[20]GtS!$G$62</f>
        <v>0</v>
      </c>
      <c r="H51" s="183">
        <v>0</v>
      </c>
      <c r="I51" s="299">
        <f>IF('AW Schulen'!$F153=0,"x",(IF('AW Schulen'!$F171=0,"-",D51/'AW Schulen'!$F171)))</f>
        <v>0</v>
      </c>
      <c r="J51" s="299">
        <f>IF('AW Schulen'!$I153=0,"x",(IF('AW Schulen'!$I171=0,"-",E51/'AW Schulen'!$I171)))</f>
        <v>0</v>
      </c>
      <c r="K51" s="299">
        <f>IF('AW Schulen'!$L153=0,"x",(IF('AW Schulen'!$L171=0,"-",F51/'AW Schulen'!$L171)))</f>
        <v>0</v>
      </c>
      <c r="L51" s="300">
        <f>IF('AW Schulen'!$O153=0,"x",(IF('AW Schulen'!$O171=0,"-",G51/'AW Schulen'!$O171)))</f>
        <v>0</v>
      </c>
    </row>
    <row r="52" spans="1:12" ht="9" customHeight="1">
      <c r="A52" s="21" t="s">
        <v>84</v>
      </c>
      <c r="B52" s="120"/>
      <c r="C52" s="183">
        <v>0</v>
      </c>
      <c r="D52" s="23">
        <f>[22]GtS!$G$62</f>
        <v>1</v>
      </c>
      <c r="E52" s="23">
        <f>[23]GtS!$G$62</f>
        <v>1</v>
      </c>
      <c r="F52" s="23">
        <f>[24]GtS!$G$62</f>
        <v>1</v>
      </c>
      <c r="G52" s="34">
        <f>[25]GtS!$G$62</f>
        <v>1</v>
      </c>
      <c r="H52" s="183">
        <v>0</v>
      </c>
      <c r="I52" s="299">
        <f>IF('AW Schulen'!$F154=0,"x",(IF('AW Schulen'!$F172=0,"-",D52/'AW Schulen'!$F172)))</f>
        <v>0.33333333333333331</v>
      </c>
      <c r="J52" s="299">
        <f>IF('AW Schulen'!$I154=0,"x",(IF('AW Schulen'!$I172=0,"-",E52/'AW Schulen'!$I172)))</f>
        <v>0.33333333333333331</v>
      </c>
      <c r="K52" s="299">
        <f>IF('AW Schulen'!$L154=0,"x",(IF('AW Schulen'!$L172=0,"-",F52/'AW Schulen'!$L172)))</f>
        <v>0.33333333333333331</v>
      </c>
      <c r="L52" s="300">
        <f>IF('AW Schulen'!$O154=0,"x",(IF('AW Schulen'!$O172=0,"-",G52/'AW Schulen'!$O172)))</f>
        <v>0.33333333333333331</v>
      </c>
    </row>
    <row r="53" spans="1:12" ht="9" customHeight="1">
      <c r="A53" s="21" t="s">
        <v>85</v>
      </c>
      <c r="B53" s="120"/>
      <c r="C53" s="183">
        <v>0</v>
      </c>
      <c r="D53" s="23">
        <f>[27]GtS!$G$62</f>
        <v>0</v>
      </c>
      <c r="E53" s="23">
        <f>[28]GtS!$G$62</f>
        <v>0</v>
      </c>
      <c r="F53" s="23">
        <f>[29]GtS!$G$62</f>
        <v>0</v>
      </c>
      <c r="G53" s="34">
        <f>[30]GtS!$G$62</f>
        <v>0</v>
      </c>
      <c r="H53" s="183">
        <v>0</v>
      </c>
      <c r="I53" s="299">
        <f>IF('AW Schulen'!$F155=0,"x",(IF('AW Schulen'!$F173=0,"-",D53/'AW Schulen'!$F173)))</f>
        <v>0</v>
      </c>
      <c r="J53" s="299" t="str">
        <f>IF('AW Schulen'!$I155=0,"x",(IF('AW Schulen'!$I173=0,"-",E53/'AW Schulen'!$I173)))</f>
        <v>-</v>
      </c>
      <c r="K53" s="299">
        <f>IF('AW Schulen'!$L155=0,"x",(IF('AW Schulen'!$L173=0,"-",F53/'AW Schulen'!$L173)))</f>
        <v>0</v>
      </c>
      <c r="L53" s="300">
        <f>IF('AW Schulen'!$O155=0,"x",(IF('AW Schulen'!$O173=0,"-",G53/'AW Schulen'!$O173)))</f>
        <v>0</v>
      </c>
    </row>
    <row r="54" spans="1:12" ht="9" customHeight="1">
      <c r="A54" s="21" t="s">
        <v>86</v>
      </c>
      <c r="B54" s="120"/>
      <c r="C54" s="183">
        <v>0</v>
      </c>
      <c r="D54" s="35">
        <f>[67]GtS!$G$62</f>
        <v>0</v>
      </c>
      <c r="E54" s="35">
        <f>[68]GtS!$G$62</f>
        <v>0</v>
      </c>
      <c r="F54" s="35">
        <f>[69]GtS!$G$62</f>
        <v>0</v>
      </c>
      <c r="G54" s="200">
        <f>[70]GtS!$G$62</f>
        <v>0</v>
      </c>
      <c r="H54" s="183">
        <v>0</v>
      </c>
      <c r="I54" s="183">
        <v>0</v>
      </c>
      <c r="J54" s="183">
        <v>0</v>
      </c>
      <c r="K54" s="183">
        <v>0</v>
      </c>
      <c r="L54" s="197">
        <v>0</v>
      </c>
    </row>
    <row r="55" spans="1:12" ht="9" customHeight="1">
      <c r="A55" s="21" t="s">
        <v>87</v>
      </c>
      <c r="B55" s="120"/>
      <c r="C55" s="183">
        <v>0</v>
      </c>
      <c r="D55" s="46" t="s">
        <v>261</v>
      </c>
      <c r="E55" s="46" t="s">
        <v>261</v>
      </c>
      <c r="F55" s="46" t="s">
        <v>261</v>
      </c>
      <c r="G55" s="260" t="s">
        <v>261</v>
      </c>
      <c r="H55" s="183">
        <v>0</v>
      </c>
      <c r="I55" s="299" t="s">
        <v>261</v>
      </c>
      <c r="J55" s="299" t="s">
        <v>261</v>
      </c>
      <c r="K55" s="299" t="s">
        <v>261</v>
      </c>
      <c r="L55" s="300" t="s">
        <v>261</v>
      </c>
    </row>
    <row r="56" spans="1:12" ht="9" customHeight="1">
      <c r="A56" s="21" t="s">
        <v>88</v>
      </c>
      <c r="B56" s="120"/>
      <c r="C56" s="183">
        <v>0</v>
      </c>
      <c r="D56" s="35">
        <f>[72]GtS!$G$62</f>
        <v>0</v>
      </c>
      <c r="E56" s="35">
        <f>[73]GtS!$G$62</f>
        <v>0</v>
      </c>
      <c r="F56" s="35">
        <f>[74]GtS!$G$62</f>
        <v>0</v>
      </c>
      <c r="G56" s="200">
        <f>[75]GtS!$G$62</f>
        <v>0</v>
      </c>
      <c r="H56" s="183">
        <v>0</v>
      </c>
      <c r="I56" s="183">
        <v>0</v>
      </c>
      <c r="J56" s="183">
        <v>0</v>
      </c>
      <c r="K56" s="183">
        <v>0</v>
      </c>
      <c r="L56" s="197">
        <v>0</v>
      </c>
    </row>
    <row r="57" spans="1:12" ht="9" customHeight="1">
      <c r="A57" s="21" t="s">
        <v>89</v>
      </c>
      <c r="B57" s="120"/>
      <c r="C57" s="183">
        <v>0</v>
      </c>
      <c r="D57" s="23">
        <f>[37]GtS!$G$62</f>
        <v>0</v>
      </c>
      <c r="E57" s="23">
        <f>[38]GtS!$G$62</f>
        <v>7</v>
      </c>
      <c r="F57" s="23">
        <f>[39]GtS!$G$62</f>
        <v>2</v>
      </c>
      <c r="G57" s="34">
        <f>[40]GtS!$G$62</f>
        <v>0</v>
      </c>
      <c r="H57" s="183">
        <v>0</v>
      </c>
      <c r="I57" s="299">
        <f>IF('AW Schulen'!$F159=0,"x",(IF('AW Schulen'!$F177=0,"-",D57/'AW Schulen'!$F177)))</f>
        <v>0</v>
      </c>
      <c r="J57" s="299">
        <f>IF('AW Schulen'!$I159=0,"x",(IF('AW Schulen'!$I177=0,"-",E57/'AW Schulen'!$I177)))</f>
        <v>0.17499999999999999</v>
      </c>
      <c r="K57" s="299">
        <f>IF('AW Schulen'!$L159=0,"x",(IF('AW Schulen'!$L177=0,"-",F57/'AW Schulen'!$L177)))</f>
        <v>4.7619047619047616E-2</v>
      </c>
      <c r="L57" s="300">
        <f>IF('AW Schulen'!$O159=0,"x",(IF('AW Schulen'!$O177=0,"-",G57/'AW Schulen'!$O177)))</f>
        <v>0</v>
      </c>
    </row>
    <row r="58" spans="1:12" ht="9" customHeight="1">
      <c r="A58" s="21" t="s">
        <v>90</v>
      </c>
      <c r="B58" s="120"/>
      <c r="C58" s="183">
        <v>0</v>
      </c>
      <c r="D58" s="23">
        <f>[42]GtS!$G$62</f>
        <v>7</v>
      </c>
      <c r="E58" s="23">
        <f>[43]GtS!$G$62</f>
        <v>6</v>
      </c>
      <c r="F58" s="23">
        <f>[44]GtS!$G$62</f>
        <v>6</v>
      </c>
      <c r="G58" s="34">
        <f>[45]GtS!$G$62</f>
        <v>6</v>
      </c>
      <c r="H58" s="183">
        <v>0</v>
      </c>
      <c r="I58" s="299" t="str">
        <f>IF('AW Schulen'!$F160=0,"x",(IF('AW Schulen'!$F178=0,"-",D58/'AW Schulen'!$F178)))</f>
        <v>-</v>
      </c>
      <c r="J58" s="299" t="str">
        <f>IF('AW Schulen'!$I160=0,"x",(IF('AW Schulen'!$I178=0,"-",E58/'AW Schulen'!$I178)))</f>
        <v>-</v>
      </c>
      <c r="K58" s="299">
        <f>IF('AW Schulen'!$L160=0,"x",(IF('AW Schulen'!$L178=0,"-",F58/'AW Schulen'!$L178)))</f>
        <v>0.75</v>
      </c>
      <c r="L58" s="300">
        <f>IF('AW Schulen'!$O160=0,"x",(IF('AW Schulen'!$O178=0,"-",G58/'AW Schulen'!$O178)))</f>
        <v>0.75</v>
      </c>
    </row>
    <row r="59" spans="1:12" ht="9" customHeight="1">
      <c r="A59" s="21" t="s">
        <v>91</v>
      </c>
      <c r="B59" s="120"/>
      <c r="C59" s="183">
        <v>0</v>
      </c>
      <c r="D59" s="23">
        <f>[47]GtS!$G$62</f>
        <v>0</v>
      </c>
      <c r="E59" s="23">
        <f>[48]GtS!$G$62</f>
        <v>0</v>
      </c>
      <c r="F59" s="23">
        <f>[49]GtS!$G$62</f>
        <v>0</v>
      </c>
      <c r="G59" s="34">
        <f>[50]GtS!$G$62</f>
        <v>0</v>
      </c>
      <c r="H59" s="183">
        <v>0</v>
      </c>
      <c r="I59" s="299">
        <f>IF('AW Schulen'!$F161=0,"x",(IF('AW Schulen'!$F179=0,"-",D59/'AW Schulen'!$F179)))</f>
        <v>0</v>
      </c>
      <c r="J59" s="299">
        <f>IF('AW Schulen'!$I161=0,"x",(IF('AW Schulen'!$I179=0,"-",E59/'AW Schulen'!$I179)))</f>
        <v>0</v>
      </c>
      <c r="K59" s="299">
        <f>IF('AW Schulen'!$L161=0,"x",(IF('AW Schulen'!$L179=0,"-",F59/'AW Schulen'!$L179)))</f>
        <v>0</v>
      </c>
      <c r="L59" s="300">
        <f>IF('AW Schulen'!$O161=0,"x",(IF('AW Schulen'!$O179=0,"-",G59/'AW Schulen'!$O179)))</f>
        <v>0</v>
      </c>
    </row>
    <row r="60" spans="1:12" ht="9" customHeight="1">
      <c r="A60" s="21" t="s">
        <v>260</v>
      </c>
      <c r="B60" s="120"/>
      <c r="C60" s="183">
        <v>0</v>
      </c>
      <c r="D60" s="35">
        <f>[52]GtS!$G$62</f>
        <v>0</v>
      </c>
      <c r="E60" s="35">
        <f>[53]GtS!$G$62</f>
        <v>0</v>
      </c>
      <c r="F60" s="35">
        <f>[54]GtS!$G$62</f>
        <v>0</v>
      </c>
      <c r="G60" s="200">
        <f>[55]GtS!$G$62</f>
        <v>0</v>
      </c>
      <c r="H60" s="183">
        <v>0</v>
      </c>
      <c r="I60" s="299" t="str">
        <f>IF('AW Schulen'!$F162=0,"x",(IF('AW Schulen'!$F180=0,".",D60/'AW Schulen'!$F180)))</f>
        <v>.</v>
      </c>
      <c r="J60" s="183">
        <f>IF('AW Schulen'!$I162=0,"x",(IF('AW Schulen'!$I180=0,"-",E60/'AW Schulen'!$I180)))</f>
        <v>0</v>
      </c>
      <c r="K60" s="183">
        <f>IF('AW Schulen'!$L162=0,"x",(IF('AW Schulen'!$L180=0,"-",F60/'AW Schulen'!$L180)))</f>
        <v>0</v>
      </c>
      <c r="L60" s="197">
        <f>IF('AW Schulen'!$O162=0,"x",(IF('AW Schulen'!$O180=0,"-",G60/'AW Schulen'!$O180)))</f>
        <v>0</v>
      </c>
    </row>
    <row r="61" spans="1:12" ht="9" customHeight="1">
      <c r="A61" s="21" t="s">
        <v>93</v>
      </c>
      <c r="B61" s="120"/>
      <c r="C61" s="183">
        <v>0</v>
      </c>
      <c r="D61" s="35">
        <f>[77]GtS!$G$62</f>
        <v>0</v>
      </c>
      <c r="E61" s="35">
        <f>[78]GtS!$G$62</f>
        <v>0</v>
      </c>
      <c r="F61" s="35">
        <f>[79]GtS!$G$62</f>
        <v>0</v>
      </c>
      <c r="G61" s="200">
        <f>[80]GtS!$G$62</f>
        <v>0</v>
      </c>
      <c r="H61" s="183">
        <v>0</v>
      </c>
      <c r="I61" s="183">
        <v>0</v>
      </c>
      <c r="J61" s="183">
        <v>0</v>
      </c>
      <c r="K61" s="183">
        <v>0</v>
      </c>
      <c r="L61" s="197">
        <v>0</v>
      </c>
    </row>
    <row r="62" spans="1:12" ht="9" customHeight="1">
      <c r="A62" s="21" t="s">
        <v>94</v>
      </c>
      <c r="B62" s="120"/>
      <c r="C62" s="183">
        <v>0</v>
      </c>
      <c r="D62" s="23">
        <f>[57]GtS!$G$62</f>
        <v>0</v>
      </c>
      <c r="E62" s="23">
        <f>[58]GtS!$G$62</f>
        <v>0</v>
      </c>
      <c r="F62" s="23">
        <f>[59]GtS!$G$62</f>
        <v>0</v>
      </c>
      <c r="G62" s="34">
        <f>[60]GtS!$G$62</f>
        <v>0</v>
      </c>
      <c r="H62" s="183">
        <v>0</v>
      </c>
      <c r="I62" s="299">
        <f>IF('AW Schulen'!$F164=0,"x",(IF('AW Schulen'!$F182=0,"-",D62/'AW Schulen'!$F182)))</f>
        <v>0</v>
      </c>
      <c r="J62" s="299">
        <f>IF('AW Schulen'!$I164=0,"x",(IF('AW Schulen'!$I182=0,"-",E62/'AW Schulen'!$I182)))</f>
        <v>0</v>
      </c>
      <c r="K62" s="299">
        <f>IF('AW Schulen'!$L164=0,"x",(IF('AW Schulen'!$L182=0,"-",F62/'AW Schulen'!$L182)))</f>
        <v>0</v>
      </c>
      <c r="L62" s="300">
        <f>IF('AW Schulen'!$O164=0,"x",(IF('AW Schulen'!$O182=0,"-",G62/'AW Schulen'!$O182)))</f>
        <v>0</v>
      </c>
    </row>
    <row r="63" spans="1:12" ht="9" customHeight="1">
      <c r="A63" s="21" t="s">
        <v>95</v>
      </c>
      <c r="B63" s="120"/>
      <c r="C63" s="183">
        <v>0</v>
      </c>
      <c r="D63" s="23">
        <f>[62]GtS!$G$62</f>
        <v>2</v>
      </c>
      <c r="E63" s="23">
        <f>[63]GtS!$G$62</f>
        <v>2</v>
      </c>
      <c r="F63" s="23">
        <f>[64]GtS!$G$62</f>
        <v>2</v>
      </c>
      <c r="G63" s="34">
        <f>[65]GtS!$G$62</f>
        <v>2</v>
      </c>
      <c r="H63" s="183">
        <v>0</v>
      </c>
      <c r="I63" s="299">
        <f>IF('AW Schulen'!$F165=0,"x",(IF('AW Schulen'!$F183=0,"-",D63/'AW Schulen'!$F183)))</f>
        <v>0.4</v>
      </c>
      <c r="J63" s="299">
        <f>IF('AW Schulen'!$I165=0,"x",(IF('AW Schulen'!$I183=0,"-",E63/'AW Schulen'!$I183)))</f>
        <v>0.4</v>
      </c>
      <c r="K63" s="299">
        <f>IF('AW Schulen'!$L165=0,"x",(IF('AW Schulen'!$L183=0,"-",F63/'AW Schulen'!$L183)))</f>
        <v>0.4</v>
      </c>
      <c r="L63" s="300">
        <f>IF('AW Schulen'!$O165=0,"x",(IF('AW Schulen'!$O183=0,"-",G63/'AW Schulen'!$O183)))</f>
        <v>0.4</v>
      </c>
    </row>
    <row r="64" spans="1:12" ht="8.65" customHeight="1">
      <c r="A64" s="21" t="s">
        <v>96</v>
      </c>
      <c r="B64" s="120"/>
      <c r="C64" s="183">
        <v>0</v>
      </c>
      <c r="D64" s="23">
        <f t="shared" ref="D64:E64" si="35">SUM(D48:D63)</f>
        <v>14</v>
      </c>
      <c r="E64" s="23">
        <f t="shared" si="35"/>
        <v>20</v>
      </c>
      <c r="F64" s="23">
        <f t="shared" ref="F64:G64" si="36">SUM(F48:F63)</f>
        <v>15</v>
      </c>
      <c r="G64" s="34">
        <f t="shared" si="36"/>
        <v>15</v>
      </c>
      <c r="H64" s="183">
        <v>0</v>
      </c>
      <c r="I64" s="299">
        <f>IF('AW Schulen'!$F166=0,"x",(IF('AW Schulen'!$F184=0,"-",D64/'AW Schulen'!$F184)))</f>
        <v>8.5365853658536592E-2</v>
      </c>
      <c r="J64" s="299">
        <f>IF('AW Schulen'!$I166=0,"x",(IF('AW Schulen'!$I184=0,"-",E64/'AW Schulen'!$I184)))</f>
        <v>0.12121212121212122</v>
      </c>
      <c r="K64" s="299">
        <f>IF('AW Schulen'!$L166=0,"x",(IF('AW Schulen'!$L184=0,"-",F64/'AW Schulen'!$L184)))</f>
        <v>8.0645161290322578E-2</v>
      </c>
      <c r="L64" s="300">
        <f>IF('AW Schulen'!$O166=0,"x",(IF('AW Schulen'!$O184=0,"-",G64/'AW Schulen'!$O184)))</f>
        <v>7.9787234042553196E-2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183">
        <v>0</v>
      </c>
      <c r="D66" s="23">
        <f>[2]GtS!$H$62</f>
        <v>7</v>
      </c>
      <c r="E66" s="23">
        <f>[3]GtS!$H$62</f>
        <v>7</v>
      </c>
      <c r="F66" s="23">
        <f>[4]GtS!$H$62</f>
        <v>9</v>
      </c>
      <c r="G66" s="34">
        <f>[5]GtS!$H$62</f>
        <v>10</v>
      </c>
      <c r="H66" s="183">
        <v>0</v>
      </c>
      <c r="I66" s="299">
        <f>IF('AW Schulen'!$F150=0,"x",(IF('AW Schulen'!$F168=0,"-",D66/'AW Schulen'!$F168)))</f>
        <v>0.1206896551724138</v>
      </c>
      <c r="J66" s="299">
        <f>IF('AW Schulen'!$I150=0,"x",(IF('AW Schulen'!$I168=0,"-",E66/'AW Schulen'!$I168)))</f>
        <v>0.1206896551724138</v>
      </c>
      <c r="K66" s="299">
        <f>IF('AW Schulen'!$L150=0,"x",(IF('AW Schulen'!$L168=0,"-",F66/'AW Schulen'!$L168)))</f>
        <v>0.15517241379310345</v>
      </c>
      <c r="L66" s="300">
        <f>IF('AW Schulen'!$O150=0,"x",(IF('AW Schulen'!$O168=0,"-",G66/'AW Schulen'!$O168)))</f>
        <v>0.17543859649122806</v>
      </c>
    </row>
    <row r="67" spans="1:12" ht="10.15" customHeight="1">
      <c r="A67" s="224" t="s">
        <v>81</v>
      </c>
      <c r="B67" s="120"/>
      <c r="C67" s="183">
        <v>0</v>
      </c>
      <c r="D67" s="23">
        <f>[7]GtS!$H$62</f>
        <v>1</v>
      </c>
      <c r="E67" s="23">
        <f>[8]GtS!$H$62</f>
        <v>0</v>
      </c>
      <c r="F67" s="23" t="str">
        <f>[9]GtS!$H$62</f>
        <v xml:space="preserve">                                      -   </v>
      </c>
      <c r="G67" s="34">
        <f>[10]GtS!$H$62</f>
        <v>0</v>
      </c>
      <c r="H67" s="183">
        <v>0</v>
      </c>
      <c r="I67" s="299">
        <f>IF('AW Schulen'!$F151=0,"x",(IF('AW Schulen'!$F169=0,"-",D67/'AW Schulen'!$F169)))</f>
        <v>4.7619047619047616E-2</v>
      </c>
      <c r="J67" s="299">
        <f>IF('AW Schulen'!$I151=0,"x",(IF('AW Schulen'!$I169=0,"-",E67/'AW Schulen'!$I169)))</f>
        <v>0</v>
      </c>
      <c r="K67" s="299" t="e">
        <f>IF('AW Schulen'!$L151=0,"x",(IF('AW Schulen'!$L169=0,"-",F67/'AW Schulen'!$L169)))</f>
        <v>#VALUE!</v>
      </c>
      <c r="L67" s="300">
        <f>IF('AW Schulen'!$O151=0,"x",(IF('AW Schulen'!$O169=0,"-",G67/'AW Schulen'!$O169)))</f>
        <v>0</v>
      </c>
    </row>
    <row r="68" spans="1:12" ht="10.15" customHeight="1">
      <c r="A68" s="224" t="s">
        <v>82</v>
      </c>
      <c r="B68" s="120"/>
      <c r="C68" s="183">
        <v>0</v>
      </c>
      <c r="D68" s="23">
        <f>[12]GtS!$H$62</f>
        <v>10</v>
      </c>
      <c r="E68" s="23">
        <f>[13]GtS!$H$62</f>
        <v>9</v>
      </c>
      <c r="F68" s="23">
        <f>[14]GtS!$H$62</f>
        <v>10</v>
      </c>
      <c r="G68" s="34">
        <f>[15]GtS!$H$62</f>
        <v>10</v>
      </c>
      <c r="H68" s="183">
        <v>0</v>
      </c>
      <c r="I68" s="299">
        <f>IF('AW Schulen'!$F152=0,"x",(IF('AW Schulen'!$F170=0,"-",D68/'AW Schulen'!$F170)))</f>
        <v>1</v>
      </c>
      <c r="J68" s="299">
        <f>IF('AW Schulen'!$I152=0,"x",(IF('AW Schulen'!$I170=0,"-",E68/'AW Schulen'!$I170)))</f>
        <v>0.9</v>
      </c>
      <c r="K68" s="299">
        <f>IF('AW Schulen'!$L152=0,"x",(IF('AW Schulen'!$L170=0,"-",F68/'AW Schulen'!$L170)))</f>
        <v>1</v>
      </c>
      <c r="L68" s="300">
        <f>IF('AW Schulen'!$O152=0,"x",(IF('AW Schulen'!$O170=0,"-",G68/'AW Schulen'!$O170)))</f>
        <v>1</v>
      </c>
    </row>
    <row r="69" spans="1:12" ht="9" customHeight="1">
      <c r="A69" s="21" t="s">
        <v>83</v>
      </c>
      <c r="B69" s="120"/>
      <c r="C69" s="183">
        <v>0</v>
      </c>
      <c r="D69" s="23">
        <f>[17]GtS!$H$62</f>
        <v>4</v>
      </c>
      <c r="E69" s="23">
        <f>[18]GtS!$H$62</f>
        <v>4</v>
      </c>
      <c r="F69" s="23">
        <f>[19]GtS!$H$62</f>
        <v>4</v>
      </c>
      <c r="G69" s="34">
        <f>[20]GtS!$H$62</f>
        <v>4</v>
      </c>
      <c r="H69" s="183">
        <v>0</v>
      </c>
      <c r="I69" s="299">
        <f>IF('AW Schulen'!$F153=0,"x",(IF('AW Schulen'!$F171=0,"-",D69/'AW Schulen'!$F171)))</f>
        <v>0.8</v>
      </c>
      <c r="J69" s="299">
        <f>IF('AW Schulen'!$I153=0,"x",(IF('AW Schulen'!$I171=0,"-",E69/'AW Schulen'!$I171)))</f>
        <v>0.8</v>
      </c>
      <c r="K69" s="299">
        <f>IF('AW Schulen'!$L153=0,"x",(IF('AW Schulen'!$L171=0,"-",F69/'AW Schulen'!$L171)))</f>
        <v>0.8</v>
      </c>
      <c r="L69" s="300">
        <f>IF('AW Schulen'!$O153=0,"x",(IF('AW Schulen'!$O171=0,"-",G69/'AW Schulen'!$O171)))</f>
        <v>0.8</v>
      </c>
    </row>
    <row r="70" spans="1:12" ht="9" customHeight="1">
      <c r="A70" s="21" t="s">
        <v>84</v>
      </c>
      <c r="B70" s="120"/>
      <c r="C70" s="183">
        <v>0</v>
      </c>
      <c r="D70" s="23">
        <f>[22]GtS!$H$62</f>
        <v>0</v>
      </c>
      <c r="E70" s="23">
        <f>[23]GtS!$H$62</f>
        <v>0</v>
      </c>
      <c r="F70" s="23">
        <f>[24]GtS!$H$62</f>
        <v>0</v>
      </c>
      <c r="G70" s="34">
        <f>[25]GtS!$H$62</f>
        <v>0</v>
      </c>
      <c r="H70" s="183">
        <v>0</v>
      </c>
      <c r="I70" s="299">
        <f>IF('AW Schulen'!$F154=0,"x",(IF('AW Schulen'!$F172=0,"-",D70/'AW Schulen'!$F172)))</f>
        <v>0</v>
      </c>
      <c r="J70" s="299">
        <f>IF('AW Schulen'!$I154=0,"x",(IF('AW Schulen'!$I172=0,"-",E70/'AW Schulen'!$I172)))</f>
        <v>0</v>
      </c>
      <c r="K70" s="299">
        <f>IF('AW Schulen'!$L154=0,"x",(IF('AW Schulen'!$L172=0,"-",F70/'AW Schulen'!$L172)))</f>
        <v>0</v>
      </c>
      <c r="L70" s="300">
        <f>IF('AW Schulen'!$O154=0,"x",(IF('AW Schulen'!$O172=0,"-",G70/'AW Schulen'!$O172)))</f>
        <v>0</v>
      </c>
    </row>
    <row r="71" spans="1:12" ht="9" customHeight="1">
      <c r="A71" s="21" t="s">
        <v>85</v>
      </c>
      <c r="B71" s="120"/>
      <c r="C71" s="183">
        <v>0</v>
      </c>
      <c r="D71" s="23">
        <f>[27]GtS!$H$62</f>
        <v>0</v>
      </c>
      <c r="E71" s="23">
        <f>[28]GtS!$H$62</f>
        <v>0</v>
      </c>
      <c r="F71" s="23">
        <f>[29]GtS!$H$62</f>
        <v>0</v>
      </c>
      <c r="G71" s="34">
        <f>[30]GtS!$H$62</f>
        <v>0</v>
      </c>
      <c r="H71" s="183">
        <v>0</v>
      </c>
      <c r="I71" s="299">
        <f>IF('AW Schulen'!$F155=0,"x",(IF('AW Schulen'!$F173=0,"-",D71/'AW Schulen'!$F173)))</f>
        <v>0</v>
      </c>
      <c r="J71" s="299" t="str">
        <f>IF('AW Schulen'!$I155=0,"x",(IF('AW Schulen'!$I173=0,"-",E71/'AW Schulen'!$I173)))</f>
        <v>-</v>
      </c>
      <c r="K71" s="299">
        <f>IF('AW Schulen'!$L155=0,"x",(IF('AW Schulen'!$L173=0,"-",F71/'AW Schulen'!$L173)))</f>
        <v>0</v>
      </c>
      <c r="L71" s="300">
        <f>IF('AW Schulen'!$O155=0,"x",(IF('AW Schulen'!$O173=0,"-",G71/'AW Schulen'!$O173)))</f>
        <v>0</v>
      </c>
    </row>
    <row r="72" spans="1:12" ht="9" customHeight="1">
      <c r="A72" s="21" t="s">
        <v>86</v>
      </c>
      <c r="B72" s="120"/>
      <c r="C72" s="183">
        <v>0</v>
      </c>
      <c r="D72" s="35">
        <f>[67]GtS!$H$62</f>
        <v>0</v>
      </c>
      <c r="E72" s="35">
        <f>[68]GtS!$H$62</f>
        <v>0</v>
      </c>
      <c r="F72" s="35">
        <f>[69]GtS!$H$62</f>
        <v>0</v>
      </c>
      <c r="G72" s="200">
        <f>[70]GtS!$H$62</f>
        <v>0</v>
      </c>
      <c r="H72" s="183">
        <v>0</v>
      </c>
      <c r="I72" s="183">
        <v>0</v>
      </c>
      <c r="J72" s="183">
        <v>0</v>
      </c>
      <c r="K72" s="183">
        <v>0</v>
      </c>
      <c r="L72" s="197">
        <v>0</v>
      </c>
    </row>
    <row r="73" spans="1:12" ht="9" customHeight="1">
      <c r="A73" s="21" t="s">
        <v>87</v>
      </c>
      <c r="B73" s="120"/>
      <c r="C73" s="183">
        <v>0</v>
      </c>
      <c r="D73" s="46" t="s">
        <v>261</v>
      </c>
      <c r="E73" s="46" t="s">
        <v>261</v>
      </c>
      <c r="F73" s="46" t="s">
        <v>261</v>
      </c>
      <c r="G73" s="260" t="s">
        <v>261</v>
      </c>
      <c r="H73" s="183">
        <v>0</v>
      </c>
      <c r="I73" s="299" t="s">
        <v>261</v>
      </c>
      <c r="J73" s="299" t="s">
        <v>261</v>
      </c>
      <c r="K73" s="299" t="s">
        <v>261</v>
      </c>
      <c r="L73" s="300" t="s">
        <v>261</v>
      </c>
    </row>
    <row r="74" spans="1:12" ht="9" customHeight="1">
      <c r="A74" s="21" t="s">
        <v>88</v>
      </c>
      <c r="B74" s="120"/>
      <c r="C74" s="183">
        <v>0</v>
      </c>
      <c r="D74" s="35">
        <f>[72]GtS!$H$62</f>
        <v>0</v>
      </c>
      <c r="E74" s="35">
        <f>[73]GtS!$H$62</f>
        <v>0</v>
      </c>
      <c r="F74" s="35">
        <f>[74]GtS!$H$62</f>
        <v>0</v>
      </c>
      <c r="G74" s="200">
        <f>[75]GtS!$H$62</f>
        <v>0</v>
      </c>
      <c r="H74" s="183">
        <v>0</v>
      </c>
      <c r="I74" s="183">
        <v>0</v>
      </c>
      <c r="J74" s="183">
        <v>0</v>
      </c>
      <c r="K74" s="183">
        <v>0</v>
      </c>
      <c r="L74" s="197">
        <v>0</v>
      </c>
    </row>
    <row r="75" spans="1:12" ht="9" customHeight="1">
      <c r="A75" s="21" t="s">
        <v>89</v>
      </c>
      <c r="B75" s="120"/>
      <c r="C75" s="183">
        <v>0</v>
      </c>
      <c r="D75" s="23">
        <f>[37]GtS!$H$62</f>
        <v>35</v>
      </c>
      <c r="E75" s="23">
        <f>[38]GtS!$H$62</f>
        <v>28</v>
      </c>
      <c r="F75" s="23">
        <f>[39]GtS!$H$62</f>
        <v>34</v>
      </c>
      <c r="G75" s="34">
        <f>[40]GtS!$H$62</f>
        <v>35</v>
      </c>
      <c r="H75" s="183">
        <v>0</v>
      </c>
      <c r="I75" s="299">
        <f>IF('AW Schulen'!$F159=0,"x",(IF('AW Schulen'!$F177=0,"-",D75/'AW Schulen'!$F177)))</f>
        <v>0.875</v>
      </c>
      <c r="J75" s="299">
        <f>IF('AW Schulen'!$I159=0,"x",(IF('AW Schulen'!$I177=0,"-",E75/'AW Schulen'!$I177)))</f>
        <v>0.7</v>
      </c>
      <c r="K75" s="299">
        <f>IF('AW Schulen'!$L159=0,"x",(IF('AW Schulen'!$L177=0,"-",F75/'AW Schulen'!$L177)))</f>
        <v>0.80952380952380953</v>
      </c>
      <c r="L75" s="300">
        <f>IF('AW Schulen'!$O159=0,"x",(IF('AW Schulen'!$O177=0,"-",G75/'AW Schulen'!$O177)))</f>
        <v>0.81395348837209303</v>
      </c>
    </row>
    <row r="76" spans="1:12" ht="9" customHeight="1">
      <c r="A76" s="21" t="s">
        <v>90</v>
      </c>
      <c r="B76" s="120"/>
      <c r="C76" s="183">
        <v>0</v>
      </c>
      <c r="D76" s="23">
        <f>[42]GtS!$H$62</f>
        <v>0</v>
      </c>
      <c r="E76" s="23">
        <f>[43]GtS!$H$62</f>
        <v>0</v>
      </c>
      <c r="F76" s="23">
        <f>[44]GtS!$H$62</f>
        <v>0</v>
      </c>
      <c r="G76" s="34">
        <f>[45]GtS!$H$62</f>
        <v>0</v>
      </c>
      <c r="H76" s="183">
        <v>0</v>
      </c>
      <c r="I76" s="299" t="str">
        <f>IF('AW Schulen'!$F160=0,"x",(IF('AW Schulen'!$F178=0,"-",D76/'AW Schulen'!$F178)))</f>
        <v>-</v>
      </c>
      <c r="J76" s="299" t="str">
        <f>IF('AW Schulen'!$I160=0,"x",(IF('AW Schulen'!$I178=0,"-",E76/'AW Schulen'!$I178)))</f>
        <v>-</v>
      </c>
      <c r="K76" s="299">
        <f>IF('AW Schulen'!$L160=0,"x",(IF('AW Schulen'!$L178=0,"-",F76/'AW Schulen'!$L178)))</f>
        <v>0</v>
      </c>
      <c r="L76" s="300">
        <f>IF('AW Schulen'!$O160=0,"x",(IF('AW Schulen'!$O178=0,"-",G76/'AW Schulen'!$O178)))</f>
        <v>0</v>
      </c>
    </row>
    <row r="77" spans="1:12" ht="9" customHeight="1">
      <c r="A77" s="21" t="s">
        <v>91</v>
      </c>
      <c r="B77" s="120"/>
      <c r="C77" s="183">
        <v>0</v>
      </c>
      <c r="D77" s="23">
        <f>[47]GtS!$H$62</f>
        <v>2</v>
      </c>
      <c r="E77" s="23">
        <f>[48]GtS!$H$62</f>
        <v>3</v>
      </c>
      <c r="F77" s="23">
        <f>[49]GtS!$H$62</f>
        <v>3</v>
      </c>
      <c r="G77" s="34">
        <f>[50]GtS!$H$62</f>
        <v>3</v>
      </c>
      <c r="H77" s="183">
        <v>0</v>
      </c>
      <c r="I77" s="299">
        <f>IF('AW Schulen'!$F161=0,"x",(IF('AW Schulen'!$F179=0,"-",D77/'AW Schulen'!$F179)))</f>
        <v>0.5</v>
      </c>
      <c r="J77" s="299">
        <f>IF('AW Schulen'!$I161=0,"x",(IF('AW Schulen'!$I179=0,"-",E77/'AW Schulen'!$I179)))</f>
        <v>0.75</v>
      </c>
      <c r="K77" s="299">
        <f>IF('AW Schulen'!$L161=0,"x",(IF('AW Schulen'!$L179=0,"-",F77/'AW Schulen'!$L179)))</f>
        <v>0.75</v>
      </c>
      <c r="L77" s="300">
        <f>IF('AW Schulen'!$O161=0,"x",(IF('AW Schulen'!$O179=0,"-",G77/'AW Schulen'!$O179)))</f>
        <v>0.75</v>
      </c>
    </row>
    <row r="78" spans="1:12" ht="9" customHeight="1">
      <c r="A78" s="21" t="s">
        <v>260</v>
      </c>
      <c r="B78" s="120"/>
      <c r="C78" s="183">
        <v>0</v>
      </c>
      <c r="D78" s="35">
        <f>[52]GtS!$H$62</f>
        <v>0</v>
      </c>
      <c r="E78" s="35">
        <f>[53]GtS!$H$62</f>
        <v>0</v>
      </c>
      <c r="F78" s="35">
        <f>[54]GtS!$H$62</f>
        <v>0</v>
      </c>
      <c r="G78" s="200">
        <f>[55]GtS!$H$62</f>
        <v>0</v>
      </c>
      <c r="H78" s="183">
        <v>0</v>
      </c>
      <c r="I78" s="183">
        <v>0</v>
      </c>
      <c r="J78" s="183">
        <f>IF('AW Schulen'!$I162=0,"x",(IF('AW Schulen'!$I180=0,"-",E78/'AW Schulen'!$I180)))</f>
        <v>0</v>
      </c>
      <c r="K78" s="183">
        <f>IF('AW Schulen'!$L162=0,"x",(IF('AW Schulen'!$L180=0,"-",F78/'AW Schulen'!$L180)))</f>
        <v>0</v>
      </c>
      <c r="L78" s="197">
        <f>IF('AW Schulen'!$O162=0,"x",(IF('AW Schulen'!$O180=0,"-",G78/'AW Schulen'!$O180)))</f>
        <v>0</v>
      </c>
    </row>
    <row r="79" spans="1:12" ht="9" customHeight="1">
      <c r="A79" s="21" t="s">
        <v>93</v>
      </c>
      <c r="B79" s="120"/>
      <c r="C79" s="183">
        <v>0</v>
      </c>
      <c r="D79" s="35">
        <f>[77]GtS!$H$62</f>
        <v>0</v>
      </c>
      <c r="E79" s="35">
        <f>[78]GtS!$H$62</f>
        <v>0</v>
      </c>
      <c r="F79" s="35">
        <f>[79]GtS!$H$62</f>
        <v>0</v>
      </c>
      <c r="G79" s="200">
        <f>[80]GtS!$H$62</f>
        <v>0</v>
      </c>
      <c r="H79" s="183">
        <v>0</v>
      </c>
      <c r="I79" s="183">
        <v>0</v>
      </c>
      <c r="J79" s="183">
        <v>0</v>
      </c>
      <c r="K79" s="183">
        <v>0</v>
      </c>
      <c r="L79" s="197">
        <v>0</v>
      </c>
    </row>
    <row r="80" spans="1:12" ht="9" customHeight="1">
      <c r="A80" s="21" t="s">
        <v>94</v>
      </c>
      <c r="B80" s="120"/>
      <c r="C80" s="183">
        <v>0</v>
      </c>
      <c r="D80" s="23">
        <f>[57]GtS!$H$62</f>
        <v>10</v>
      </c>
      <c r="E80" s="23">
        <f>[58]GtS!$H$62</f>
        <v>10</v>
      </c>
      <c r="F80" s="23">
        <f>[59]GtS!$H$62</f>
        <v>10</v>
      </c>
      <c r="G80" s="34">
        <f>[60]GtS!$H$62</f>
        <v>10</v>
      </c>
      <c r="H80" s="183">
        <v>0</v>
      </c>
      <c r="I80" s="299">
        <f>IF('AW Schulen'!$F164=0,"x",(IF('AW Schulen'!$F182=0,"-",D80/'AW Schulen'!$F182)))</f>
        <v>0.83333333333333337</v>
      </c>
      <c r="J80" s="299">
        <f>IF('AW Schulen'!$I164=0,"x",(IF('AW Schulen'!$I182=0,"-",E80/'AW Schulen'!$I182)))</f>
        <v>0.83333333333333337</v>
      </c>
      <c r="K80" s="299">
        <f>IF('AW Schulen'!$L164=0,"x",(IF('AW Schulen'!$L182=0,"-",F80/'AW Schulen'!$L182)))</f>
        <v>0.83333333333333337</v>
      </c>
      <c r="L80" s="300">
        <f>IF('AW Schulen'!$O164=0,"x",(IF('AW Schulen'!$O182=0,"-",G80/'AW Schulen'!$O182)))</f>
        <v>0.83333333333333337</v>
      </c>
    </row>
    <row r="81" spans="1:12" ht="9" customHeight="1">
      <c r="A81" s="21" t="s">
        <v>95</v>
      </c>
      <c r="B81" s="120"/>
      <c r="C81" s="183">
        <v>0</v>
      </c>
      <c r="D81" s="23">
        <f>[62]GtS!$H$62</f>
        <v>2</v>
      </c>
      <c r="E81" s="23">
        <f>[63]GtS!$H$62</f>
        <v>2</v>
      </c>
      <c r="F81" s="23">
        <f>[64]GtS!$H$62</f>
        <v>2</v>
      </c>
      <c r="G81" s="34">
        <f>[65]GtS!$H$62</f>
        <v>2</v>
      </c>
      <c r="H81" s="183">
        <v>0</v>
      </c>
      <c r="I81" s="299">
        <f>IF('AW Schulen'!$F165=0,"x",(IF('AW Schulen'!$F183=0,"-",D81/'AW Schulen'!$F183)))</f>
        <v>0.4</v>
      </c>
      <c r="J81" s="299">
        <f>IF('AW Schulen'!$I165=0,"x",(IF('AW Schulen'!$I183=0,"-",E81/'AW Schulen'!$I183)))</f>
        <v>0.4</v>
      </c>
      <c r="K81" s="299">
        <f>IF('AW Schulen'!$L165=0,"x",(IF('AW Schulen'!$L183=0,"-",F81/'AW Schulen'!$L183)))</f>
        <v>0.4</v>
      </c>
      <c r="L81" s="300">
        <f>IF('AW Schulen'!$O165=0,"x",(IF('AW Schulen'!$O183=0,"-",G81/'AW Schulen'!$O183)))</f>
        <v>0.4</v>
      </c>
    </row>
    <row r="82" spans="1:12" ht="9" customHeight="1">
      <c r="A82" s="24" t="s">
        <v>96</v>
      </c>
      <c r="B82" s="121"/>
      <c r="C82" s="290">
        <v>0</v>
      </c>
      <c r="D82" s="26">
        <f t="shared" ref="D82:E82" si="37">SUM(D66:D81)</f>
        <v>71</v>
      </c>
      <c r="E82" s="26">
        <f t="shared" si="37"/>
        <v>63</v>
      </c>
      <c r="F82" s="26">
        <f t="shared" ref="F82:G82" si="38">SUM(F66:F81)</f>
        <v>72</v>
      </c>
      <c r="G82" s="47">
        <f t="shared" si="38"/>
        <v>74</v>
      </c>
      <c r="H82" s="290">
        <v>0</v>
      </c>
      <c r="I82" s="301">
        <f>IF('AW Schulen'!$F166=0,"x",(IF('AW Schulen'!$F184=0,"-",D82/'AW Schulen'!$F184)))</f>
        <v>0.43292682926829268</v>
      </c>
      <c r="J82" s="301">
        <f>IF('AW Schulen'!$I166=0,"x",(IF('AW Schulen'!$I184=0,"-",E82/'AW Schulen'!$I184)))</f>
        <v>0.38181818181818183</v>
      </c>
      <c r="K82" s="301">
        <f>IF('AW Schulen'!$L166=0,"x",(IF('AW Schulen'!$L184=0,"-",F82/'AW Schulen'!$L184)))</f>
        <v>0.38709677419354838</v>
      </c>
      <c r="L82" s="302">
        <f>IF('AW Schulen'!$O166=0,"x",(IF('AW Schulen'!$O184=0,"-",G82/'AW Schulen'!$O184)))</f>
        <v>0.39361702127659576</v>
      </c>
    </row>
    <row r="83" spans="1:12" ht="19.5" customHeight="1">
      <c r="A83" s="396" t="s">
        <v>312</v>
      </c>
      <c r="B83" s="396"/>
      <c r="C83" s="396"/>
      <c r="D83" s="396"/>
      <c r="E83" s="396"/>
      <c r="F83" s="396"/>
      <c r="G83" s="396"/>
      <c r="H83" s="396"/>
      <c r="I83" s="396"/>
      <c r="J83" s="396"/>
      <c r="K83" s="396"/>
      <c r="L83" s="396"/>
    </row>
    <row r="84" spans="1:12" s="274" customFormat="1" ht="10.15" customHeight="1">
      <c r="A84" s="220" t="s">
        <v>205</v>
      </c>
      <c r="B84" s="220"/>
      <c r="C84" s="220"/>
      <c r="D84" s="220"/>
      <c r="E84" s="220"/>
      <c r="F84" s="318"/>
      <c r="G84" s="346"/>
      <c r="K84" s="315"/>
      <c r="L84" s="342"/>
    </row>
    <row r="85" spans="1:12" s="274" customFormat="1" ht="10.15" customHeight="1">
      <c r="A85" s="400" t="s">
        <v>285</v>
      </c>
      <c r="B85" s="400"/>
      <c r="C85" s="400"/>
      <c r="D85" s="400"/>
      <c r="E85" s="400"/>
      <c r="F85" s="400"/>
      <c r="G85" s="400"/>
      <c r="H85" s="400"/>
      <c r="K85" s="315"/>
      <c r="L85" s="342"/>
    </row>
    <row r="86" spans="1:12" ht="10.15" customHeight="1">
      <c r="A86" s="306" t="s">
        <v>310</v>
      </c>
    </row>
    <row r="87" spans="1:12" ht="10.15" customHeight="1"/>
  </sheetData>
  <mergeCells count="9">
    <mergeCell ref="A1:L1"/>
    <mergeCell ref="A85:H85"/>
    <mergeCell ref="C9:G9"/>
    <mergeCell ref="H9:L9"/>
    <mergeCell ref="A11:L11"/>
    <mergeCell ref="A29:L29"/>
    <mergeCell ref="A47:L47"/>
    <mergeCell ref="A65:L65"/>
    <mergeCell ref="A83:L83"/>
  </mergeCells>
  <conditionalFormatting sqref="M25">
    <cfRule type="cellIs" dxfId="37"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M85"/>
  <sheetViews>
    <sheetView view="pageBreakPreview" topLeftCell="A61" zoomScale="175" zoomScaleNormal="130" zoomScaleSheetLayoutView="175" workbookViewId="0">
      <selection activeCell="N23" sqref="N23:N24"/>
    </sheetView>
  </sheetViews>
  <sheetFormatPr baseColWidth="10" defaultColWidth="11.42578125" defaultRowHeight="9"/>
  <cols>
    <col min="1" max="1" width="9" style="2" customWidth="1"/>
    <col min="2" max="2" width="0.42578125" style="2" customWidth="1"/>
    <col min="3" max="12" width="6.7109375" style="2" customWidth="1"/>
    <col min="13" max="16384" width="11.42578125" style="2"/>
  </cols>
  <sheetData>
    <row r="1" spans="1:13" ht="12.75" customHeight="1">
      <c r="A1" s="383">
        <f>'2.3.8.1'!A1:J1+1</f>
        <v>34</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28</v>
      </c>
      <c r="B4" s="12" t="s">
        <v>186</v>
      </c>
      <c r="C4" s="14"/>
      <c r="D4" s="14"/>
      <c r="E4" s="14"/>
      <c r="F4" s="14"/>
      <c r="G4" s="14"/>
    </row>
    <row r="5" spans="1:13" s="1" customFormat="1" ht="12.6" customHeight="1">
      <c r="A5" s="13" t="s">
        <v>37</v>
      </c>
      <c r="B5" s="12" t="s">
        <v>106</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97</v>
      </c>
      <c r="I9" s="385"/>
      <c r="J9" s="385"/>
      <c r="K9" s="385"/>
      <c r="L9" s="386"/>
    </row>
    <row r="10" spans="1:13" ht="10.15" customHeight="1">
      <c r="A10" s="17"/>
      <c r="B10" s="28"/>
      <c r="C10" s="19">
        <v>2012</v>
      </c>
      <c r="D10" s="19">
        <v>2013</v>
      </c>
      <c r="E10" s="19">
        <v>2014</v>
      </c>
      <c r="F10" s="19">
        <v>2015</v>
      </c>
      <c r="G10" s="20">
        <v>2016</v>
      </c>
      <c r="H10" s="19">
        <v>2012</v>
      </c>
      <c r="I10" s="19">
        <v>2013</v>
      </c>
      <c r="J10" s="19">
        <v>2014</v>
      </c>
      <c r="K10" s="19">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D28" si="0">SUM(C30+C48+C66)</f>
        <v>104</v>
      </c>
      <c r="D12" s="42">
        <f t="shared" si="0"/>
        <v>103</v>
      </c>
      <c r="E12" s="42">
        <f t="shared" ref="E12:F12" si="1">SUM(E30+E48+E66)</f>
        <v>103</v>
      </c>
      <c r="F12" s="42">
        <f t="shared" si="1"/>
        <v>103</v>
      </c>
      <c r="G12" s="44">
        <f t="shared" ref="G12" si="2">SUM(G30+G48+G66)</f>
        <v>103</v>
      </c>
      <c r="H12" s="153">
        <f>IF('AW Schulen'!$C186=0,"x",C12/'AW Schulen'!$C186)</f>
        <v>0.66666666666666663</v>
      </c>
      <c r="I12" s="153">
        <f>IF('AW Schulen'!$F186=0,"x",D12/'AW Schulen'!$F186)</f>
        <v>0.66883116883116878</v>
      </c>
      <c r="J12" s="153">
        <f>IF('AW Schulen'!$I186=0,"x",E12/'AW Schulen'!$I186)</f>
        <v>0.6645161290322581</v>
      </c>
      <c r="K12" s="153">
        <f>IF('AW Schulen'!$L186=0,"x",F12/'AW Schulen'!$L186)</f>
        <v>0.67320261437908502</v>
      </c>
      <c r="L12" s="154">
        <f>IF('AW Schulen'!$O186=0,"x",G12/'AW Schulen'!$O186)</f>
        <v>0.66883116883116878</v>
      </c>
    </row>
    <row r="13" spans="1:13" ht="9" customHeight="1">
      <c r="A13" s="21" t="s">
        <v>81</v>
      </c>
      <c r="B13" s="120"/>
      <c r="C13" s="42">
        <f t="shared" si="0"/>
        <v>135</v>
      </c>
      <c r="D13" s="42">
        <f t="shared" si="0"/>
        <v>137</v>
      </c>
      <c r="E13" s="42">
        <f t="shared" ref="E13:F13" si="3">SUM(E31+E49+E67)</f>
        <v>152</v>
      </c>
      <c r="F13" s="42" t="e">
        <f t="shared" si="3"/>
        <v>#VALUE!</v>
      </c>
      <c r="G13" s="44">
        <f t="shared" ref="G13" si="4">SUM(G31+G49+G67)</f>
        <v>158</v>
      </c>
      <c r="H13" s="153">
        <f>IF('AW Schulen'!$C187=0,"x",C13/'AW Schulen'!$C187)</f>
        <v>0.703125</v>
      </c>
      <c r="I13" s="153">
        <f>IF('AW Schulen'!$F187=0,"x",D13/'AW Schulen'!$F187)</f>
        <v>0.71354166666666663</v>
      </c>
      <c r="J13" s="153">
        <f>IF('AW Schulen'!$I187=0,"x",E13/'AW Schulen'!$I187)</f>
        <v>0.79166666666666663</v>
      </c>
      <c r="K13" s="153" t="e">
        <f>IF('AW Schulen'!$L187=0,"x",F13/'AW Schulen'!$L187)</f>
        <v>#VALUE!</v>
      </c>
      <c r="L13" s="154">
        <f>IF('AW Schulen'!$O187=0,"x",G13/'AW Schulen'!$O187)</f>
        <v>0.81865284974093266</v>
      </c>
    </row>
    <row r="14" spans="1:13" ht="9" customHeight="1">
      <c r="A14" s="21" t="s">
        <v>82</v>
      </c>
      <c r="B14" s="120"/>
      <c r="C14" s="42">
        <f t="shared" si="0"/>
        <v>3</v>
      </c>
      <c r="D14" s="42">
        <f t="shared" si="0"/>
        <v>3</v>
      </c>
      <c r="E14" s="42">
        <f t="shared" ref="E14:F14" si="5">SUM(E32+E50+E68)</f>
        <v>5</v>
      </c>
      <c r="F14" s="42">
        <f t="shared" si="5"/>
        <v>5</v>
      </c>
      <c r="G14" s="44">
        <f t="shared" ref="G14" si="6">SUM(G32+G50+G68)</f>
        <v>3</v>
      </c>
      <c r="H14" s="153">
        <f>IF('AW Schulen'!$C188=0,"x",C14/'AW Schulen'!$C188)</f>
        <v>0.3</v>
      </c>
      <c r="I14" s="153">
        <f>IF('AW Schulen'!$F188=0,"x",D14/'AW Schulen'!$F188)</f>
        <v>0.33333333333333331</v>
      </c>
      <c r="J14" s="153">
        <f>IF('AW Schulen'!$I188=0,"x",E14/'AW Schulen'!$I188)</f>
        <v>0.55555555555555558</v>
      </c>
      <c r="K14" s="153">
        <f>IF('AW Schulen'!$L188=0,"x",F14/'AW Schulen'!$L188)</f>
        <v>0.55555555555555558</v>
      </c>
      <c r="L14" s="154">
        <f>IF('AW Schulen'!$O188=0,"x",G14/'AW Schulen'!$O188)</f>
        <v>0.375</v>
      </c>
    </row>
    <row r="15" spans="1:13" ht="9" customHeight="1">
      <c r="A15" s="21" t="s">
        <v>83</v>
      </c>
      <c r="B15" s="120"/>
      <c r="C15" s="42">
        <f t="shared" si="0"/>
        <v>11</v>
      </c>
      <c r="D15" s="42">
        <f t="shared" si="0"/>
        <v>13</v>
      </c>
      <c r="E15" s="42">
        <f t="shared" ref="E15:F15" si="7">SUM(E33+E51+E69)</f>
        <v>12</v>
      </c>
      <c r="F15" s="42">
        <f t="shared" si="7"/>
        <v>12</v>
      </c>
      <c r="G15" s="44">
        <f t="shared" ref="G15" si="8">SUM(G33+G51+G69)</f>
        <v>12</v>
      </c>
      <c r="H15" s="153">
        <f>IF('AW Schulen'!$C189=0,"x",C15/'AW Schulen'!$C189)</f>
        <v>0.91666666666666663</v>
      </c>
      <c r="I15" s="153">
        <f>IF('AW Schulen'!$F189=0,"x",D15/'AW Schulen'!$F189)</f>
        <v>0.9285714285714286</v>
      </c>
      <c r="J15" s="153">
        <f>IF('AW Schulen'!$I189=0,"x",E15/'AW Schulen'!$I189)</f>
        <v>0.92307692307692313</v>
      </c>
      <c r="K15" s="153">
        <f>IF('AW Schulen'!$L189=0,"x",F15/'AW Schulen'!$L189)</f>
        <v>0.92307692307692313</v>
      </c>
      <c r="L15" s="154">
        <f>IF('AW Schulen'!$O189=0,"x",G15/'AW Schulen'!$O189)</f>
        <v>0.92307692307692313</v>
      </c>
    </row>
    <row r="16" spans="1:13" ht="9" customHeight="1">
      <c r="A16" s="21" t="s">
        <v>84</v>
      </c>
      <c r="B16" s="120"/>
      <c r="C16" s="42">
        <f t="shared" si="0"/>
        <v>1</v>
      </c>
      <c r="D16" s="42">
        <f t="shared" si="0"/>
        <v>0</v>
      </c>
      <c r="E16" s="42">
        <f t="shared" ref="E16:F16" si="9">SUM(E34+E52+E70)</f>
        <v>0</v>
      </c>
      <c r="F16" s="42">
        <f t="shared" si="9"/>
        <v>0</v>
      </c>
      <c r="G16" s="44">
        <f t="shared" ref="G16" si="10">SUM(G34+G52+G70)</f>
        <v>0</v>
      </c>
      <c r="H16" s="153">
        <f>IF('AW Schulen'!$C190=0,"x",C16/'AW Schulen'!$C190)</f>
        <v>1</v>
      </c>
      <c r="I16" s="153">
        <f>IF('AW Schulen'!$F190=0,"x",D16/'AW Schulen'!$F190)</f>
        <v>0</v>
      </c>
      <c r="J16" s="153">
        <f>IF('AW Schulen'!$I190=0,"x",E16/'AW Schulen'!$I190)</f>
        <v>0</v>
      </c>
      <c r="K16" s="153">
        <f>IF('AW Schulen'!$L190=0,"x",F16/'AW Schulen'!$L190)</f>
        <v>0</v>
      </c>
      <c r="L16" s="154">
        <f>IF('AW Schulen'!$O190=0,"x",G16/'AW Schulen'!$O190)</f>
        <v>0</v>
      </c>
    </row>
    <row r="17" spans="1:12" ht="9" customHeight="1">
      <c r="A17" s="21" t="s">
        <v>85</v>
      </c>
      <c r="B17" s="120"/>
      <c r="C17" s="42">
        <f t="shared" si="0"/>
        <v>5</v>
      </c>
      <c r="D17" s="42">
        <f t="shared" si="0"/>
        <v>5</v>
      </c>
      <c r="E17" s="42">
        <f t="shared" ref="E17:F17" si="11">SUM(E35+E53+E71)</f>
        <v>5</v>
      </c>
      <c r="F17" s="42">
        <f t="shared" si="11"/>
        <v>5</v>
      </c>
      <c r="G17" s="44">
        <f t="shared" ref="G17" si="12">SUM(G35+G53+G71)</f>
        <v>5</v>
      </c>
      <c r="H17" s="153">
        <f>IF('AW Schulen'!$C191=0,"x",C17/'AW Schulen'!$C191)</f>
        <v>1</v>
      </c>
      <c r="I17" s="153">
        <f>IF('AW Schulen'!$F191=0,"x",D17/'AW Schulen'!$F191)</f>
        <v>1</v>
      </c>
      <c r="J17" s="153">
        <f>IF('AW Schulen'!$I191=0,"x",E17/'AW Schulen'!$I191)</f>
        <v>1</v>
      </c>
      <c r="K17" s="153">
        <f>IF('AW Schulen'!$L191=0,"x",F17/'AW Schulen'!$L191)</f>
        <v>1</v>
      </c>
      <c r="L17" s="154">
        <f>IF('AW Schulen'!$O191=0,"x",G17/'AW Schulen'!$O191)</f>
        <v>1</v>
      </c>
    </row>
    <row r="18" spans="1:12" ht="9" customHeight="1">
      <c r="A18" s="21" t="s">
        <v>86</v>
      </c>
      <c r="B18" s="120"/>
      <c r="C18" s="111">
        <f t="shared" si="0"/>
        <v>0</v>
      </c>
      <c r="D18" s="111">
        <f t="shared" si="0"/>
        <v>0</v>
      </c>
      <c r="E18" s="111">
        <f t="shared" ref="E18:F18" si="13">SUM(E36+E54+E72)</f>
        <v>0</v>
      </c>
      <c r="F18" s="111">
        <f t="shared" si="13"/>
        <v>0</v>
      </c>
      <c r="G18" s="112">
        <f t="shared" ref="G18" si="14">SUM(G36+G54+G72)</f>
        <v>0</v>
      </c>
      <c r="H18" s="111">
        <f>IF('AW Schulen'!$C192=0,"x",C18/'AW Schulen'!$C192)</f>
        <v>0</v>
      </c>
      <c r="I18" s="54" t="str">
        <f>IF('AW Schulen'!$F192=0,".",D18/'AW Schulen'!$F192)</f>
        <v>.</v>
      </c>
      <c r="J18" s="54" t="str">
        <f>IF('AW Schulen'!$I192=0,".",E18/'AW Schulen'!$I192)</f>
        <v>.</v>
      </c>
      <c r="K18" s="54" t="str">
        <f>IF('AW Schulen'!$L192=0,".",F18/'AW Schulen'!$L192)</f>
        <v>.</v>
      </c>
      <c r="L18" s="114" t="str">
        <f>IF('AW Schulen'!$O192=0,".",G18/'AW Schulen'!$O192)</f>
        <v>.</v>
      </c>
    </row>
    <row r="19" spans="1:12" ht="9" customHeight="1">
      <c r="A19" s="21" t="s">
        <v>176</v>
      </c>
      <c r="B19" s="120"/>
      <c r="C19" s="42">
        <f t="shared" si="0"/>
        <v>7</v>
      </c>
      <c r="D19" s="42">
        <f t="shared" si="0"/>
        <v>7</v>
      </c>
      <c r="E19" s="42">
        <f t="shared" ref="E19:F19" si="15">SUM(E37+E55+E73)</f>
        <v>7</v>
      </c>
      <c r="F19" s="42">
        <f t="shared" si="15"/>
        <v>5</v>
      </c>
      <c r="G19" s="44">
        <f t="shared" ref="G19" si="16">SUM(G37+G55+G73)</f>
        <v>4</v>
      </c>
      <c r="H19" s="153">
        <f>IF('AW Schulen'!$C193=0,"x",C19/'AW Schulen'!$C193)</f>
        <v>0.63636363636363635</v>
      </c>
      <c r="I19" s="153">
        <f>IF('AW Schulen'!$F193=0,"x",D19/'AW Schulen'!$F193)</f>
        <v>0.63636363636363635</v>
      </c>
      <c r="J19" s="153">
        <f>IF('AW Schulen'!$I193=0,"x",E19/'AW Schulen'!$I193)</f>
        <v>0.63636363636363635</v>
      </c>
      <c r="K19" s="153">
        <f>IF('AW Schulen'!$L193=0,"x",F19/'AW Schulen'!$L193)</f>
        <v>0.45454545454545453</v>
      </c>
      <c r="L19" s="154">
        <f>IF('AW Schulen'!$O193=0,"x",G19/'AW Schulen'!$O193)</f>
        <v>0.36363636363636365</v>
      </c>
    </row>
    <row r="20" spans="1:12" ht="9" customHeight="1">
      <c r="A20" s="21" t="s">
        <v>88</v>
      </c>
      <c r="B20" s="120"/>
      <c r="C20" s="111">
        <f t="shared" si="0"/>
        <v>0</v>
      </c>
      <c r="D20" s="111">
        <f t="shared" si="0"/>
        <v>0</v>
      </c>
      <c r="E20" s="111">
        <f t="shared" ref="E20:F20" si="17">SUM(E38+E56+E74)</f>
        <v>0</v>
      </c>
      <c r="F20" s="111">
        <f t="shared" si="17"/>
        <v>0</v>
      </c>
      <c r="G20" s="112">
        <f t="shared" ref="G20" si="18">SUM(G38+G56+G74)</f>
        <v>0</v>
      </c>
      <c r="H20" s="111">
        <f>IF('AW Schulen'!$C194=0,"x",C20/'AW Schulen'!$C194)</f>
        <v>0</v>
      </c>
      <c r="I20" s="111">
        <f>IF('AW Schulen'!$F194=0,"x",D20/'AW Schulen'!$F194)</f>
        <v>0</v>
      </c>
      <c r="J20" s="111">
        <f>IF('AW Schulen'!$I194=0,"x",E20/'AW Schulen'!$I194)</f>
        <v>0</v>
      </c>
      <c r="K20" s="111">
        <f>IF('AW Schulen'!$L194=0,"x",F20/'AW Schulen'!$L194)</f>
        <v>0</v>
      </c>
      <c r="L20" s="112">
        <f>IF('AW Schulen'!$O194=0,"x",G20/'AW Schulen'!$O194)</f>
        <v>0</v>
      </c>
    </row>
    <row r="21" spans="1:12" ht="9" customHeight="1">
      <c r="A21" s="21" t="s">
        <v>89</v>
      </c>
      <c r="B21" s="120"/>
      <c r="C21" s="42">
        <f t="shared" si="0"/>
        <v>56</v>
      </c>
      <c r="D21" s="42">
        <f t="shared" si="0"/>
        <v>46</v>
      </c>
      <c r="E21" s="42">
        <f t="shared" ref="E21:F21" si="19">SUM(E39+E57+E75)</f>
        <v>58</v>
      </c>
      <c r="F21" s="42">
        <f t="shared" si="19"/>
        <v>72</v>
      </c>
      <c r="G21" s="44">
        <f t="shared" ref="G21" si="20">SUM(G39+G57+G75)</f>
        <v>74</v>
      </c>
      <c r="H21" s="153">
        <f>IF('AW Schulen'!$C195=0,"x",C21/'AW Schulen'!$C195)</f>
        <v>0.6588235294117647</v>
      </c>
      <c r="I21" s="153">
        <f>IF('AW Schulen'!$F195=0,"x",D21/'AW Schulen'!$F195)</f>
        <v>0.61333333333333329</v>
      </c>
      <c r="J21" s="153">
        <f>IF('AW Schulen'!$I195=0,"x",E21/'AW Schulen'!$I195)</f>
        <v>0.78378378378378377</v>
      </c>
      <c r="K21" s="153">
        <f>IF('AW Schulen'!$L195=0,"x",F21/'AW Schulen'!$L195)</f>
        <v>0.8089887640449438</v>
      </c>
      <c r="L21" s="154">
        <f>IF('AW Schulen'!$O195=0,"x",G21/'AW Schulen'!$O195)</f>
        <v>0.80434782608695654</v>
      </c>
    </row>
    <row r="22" spans="1:12" ht="9" customHeight="1">
      <c r="A22" s="21" t="s">
        <v>90</v>
      </c>
      <c r="B22" s="120"/>
      <c r="C22" s="42">
        <f t="shared" si="0"/>
        <v>21</v>
      </c>
      <c r="D22" s="42">
        <f t="shared" si="0"/>
        <v>21</v>
      </c>
      <c r="E22" s="42">
        <f t="shared" ref="E22:F22" si="21">SUM(E40+E58+E76)</f>
        <v>21</v>
      </c>
      <c r="F22" s="42">
        <f t="shared" si="21"/>
        <v>21</v>
      </c>
      <c r="G22" s="44">
        <f t="shared" ref="G22" si="22">SUM(G40+G58+G76)</f>
        <v>20</v>
      </c>
      <c r="H22" s="153">
        <f>IF('AW Schulen'!$C196=0,"x",C22/'AW Schulen'!$C196)</f>
        <v>0.91304347826086951</v>
      </c>
      <c r="I22" s="153">
        <f>IF('AW Schulen'!$F196=0,"x",D22/'AW Schulen'!$F196)</f>
        <v>0.91304347826086951</v>
      </c>
      <c r="J22" s="153">
        <f>IF('AW Schulen'!$I196=0,"x",E22/'AW Schulen'!$I196)</f>
        <v>0.91304347826086951</v>
      </c>
      <c r="K22" s="153">
        <f>IF('AW Schulen'!$L196=0,"x",F22/'AW Schulen'!$L196)</f>
        <v>0.91304347826086951</v>
      </c>
      <c r="L22" s="154">
        <f>IF('AW Schulen'!$O196=0,"x",G22/'AW Schulen'!$O196)</f>
        <v>0.86956521739130432</v>
      </c>
    </row>
    <row r="23" spans="1:12" ht="9" customHeight="1">
      <c r="A23" s="21" t="s">
        <v>91</v>
      </c>
      <c r="B23" s="120"/>
      <c r="C23" s="42">
        <f t="shared" si="0"/>
        <v>4</v>
      </c>
      <c r="D23" s="42">
        <f t="shared" si="0"/>
        <v>4</v>
      </c>
      <c r="E23" s="42">
        <f t="shared" ref="E23:F23" si="23">SUM(E41+E59+E77)</f>
        <v>4</v>
      </c>
      <c r="F23" s="42">
        <f t="shared" si="23"/>
        <v>4</v>
      </c>
      <c r="G23" s="44">
        <f t="shared" ref="G23" si="24">SUM(G41+G59+G77)</f>
        <v>4</v>
      </c>
      <c r="H23" s="153">
        <f>IF('AW Schulen'!$C197=0,"x",C23/'AW Schulen'!$C197)</f>
        <v>0.8</v>
      </c>
      <c r="I23" s="153">
        <f>IF('AW Schulen'!$F197=0,"x",D23/'AW Schulen'!$F197)</f>
        <v>0.8</v>
      </c>
      <c r="J23" s="153">
        <f>IF('AW Schulen'!$I197=0,"x",E23/'AW Schulen'!$I197)</f>
        <v>0.8</v>
      </c>
      <c r="K23" s="153">
        <f>IF('AW Schulen'!$L197=0,"x",F23/'AW Schulen'!$L197)</f>
        <v>0.8</v>
      </c>
      <c r="L23" s="154">
        <f>IF('AW Schulen'!$O197=0,"x",G23/'AW Schulen'!$O197)</f>
        <v>0.8</v>
      </c>
    </row>
    <row r="24" spans="1:12" ht="9" customHeight="1">
      <c r="A24" s="21" t="s">
        <v>92</v>
      </c>
      <c r="B24" s="120"/>
      <c r="C24" s="42">
        <f t="shared" si="0"/>
        <v>6</v>
      </c>
      <c r="D24" s="42">
        <f t="shared" si="0"/>
        <v>6</v>
      </c>
      <c r="E24" s="42">
        <f t="shared" ref="E24:F24" si="25">SUM(E42+E60+E78)</f>
        <v>5</v>
      </c>
      <c r="F24" s="42">
        <f t="shared" si="25"/>
        <v>5</v>
      </c>
      <c r="G24" s="44">
        <f t="shared" ref="G24" si="26">SUM(G42+G60+G78)</f>
        <v>5</v>
      </c>
      <c r="H24" s="153">
        <f>IF('AW Schulen'!$C198=0,"x",C24/'AW Schulen'!$C198)</f>
        <v>0.3</v>
      </c>
      <c r="I24" s="153">
        <f>IF('AW Schulen'!$F198=0,"x",D24/'AW Schulen'!$F198)</f>
        <v>0.3</v>
      </c>
      <c r="J24" s="153">
        <f>IF('AW Schulen'!$I198=0,"x",E24/'AW Schulen'!$I198)</f>
        <v>0.25</v>
      </c>
      <c r="K24" s="153">
        <f>IF('AW Schulen'!$L198=0,"x",F24/'AW Schulen'!$L198)</f>
        <v>0.23809523809523808</v>
      </c>
      <c r="L24" s="154">
        <f>IF('AW Schulen'!$O198=0,"x",G24/'AW Schulen'!$O198)</f>
        <v>0.25</v>
      </c>
    </row>
    <row r="25" spans="1:12" ht="9" customHeight="1">
      <c r="A25" s="21" t="s">
        <v>93</v>
      </c>
      <c r="B25" s="120"/>
      <c r="C25" s="55">
        <f t="shared" si="0"/>
        <v>0</v>
      </c>
      <c r="D25" s="55">
        <f t="shared" si="0"/>
        <v>0</v>
      </c>
      <c r="E25" s="55">
        <f t="shared" ref="E25:F25" si="27">SUM(E43+E61+E79)</f>
        <v>0</v>
      </c>
      <c r="F25" s="55">
        <f t="shared" si="27"/>
        <v>0</v>
      </c>
      <c r="G25" s="56">
        <f t="shared" ref="G25" si="28">SUM(G43+G61+G79)</f>
        <v>0</v>
      </c>
      <c r="H25" s="54" t="str">
        <f>IF('AW Schulen'!$C199=0,".",C25/'AW Schulen'!$C199)</f>
        <v>.</v>
      </c>
      <c r="I25" s="54" t="str">
        <f>IF('AW Schulen'!$F199=0,".",D25/'AW Schulen'!$F199)</f>
        <v>.</v>
      </c>
      <c r="J25" s="54" t="str">
        <f>IF('AW Schulen'!$I199=0,".",E25/'AW Schulen'!$I199)</f>
        <v>.</v>
      </c>
      <c r="K25" s="54" t="str">
        <f>IF('AW Schulen'!$L199=0,".",F25/'AW Schulen'!$L199)</f>
        <v>.</v>
      </c>
      <c r="L25" s="114" t="str">
        <f>IF('AW Schulen'!$O199=0,".",G25/'AW Schulen'!$O199)</f>
        <v>.</v>
      </c>
    </row>
    <row r="26" spans="1:12" ht="9" customHeight="1">
      <c r="A26" s="21" t="s">
        <v>94</v>
      </c>
      <c r="B26" s="120"/>
      <c r="C26" s="55">
        <f t="shared" si="0"/>
        <v>5</v>
      </c>
      <c r="D26" s="55">
        <f t="shared" si="0"/>
        <v>5</v>
      </c>
      <c r="E26" s="55">
        <f t="shared" ref="E26:F26" si="29">SUM(E44+E62+E80)</f>
        <v>8</v>
      </c>
      <c r="F26" s="55">
        <f t="shared" si="29"/>
        <v>9</v>
      </c>
      <c r="G26" s="56">
        <f t="shared" ref="G26" si="30">SUM(G44+G62+G80)</f>
        <v>8</v>
      </c>
      <c r="H26" s="153">
        <f>IF('AW Schulen'!$C200=0,"x",C26/'AW Schulen'!$C200)</f>
        <v>0.33333333333333331</v>
      </c>
      <c r="I26" s="153">
        <f>IF('AW Schulen'!$F200=0,"x",D26/'AW Schulen'!$F200)</f>
        <v>0.3125</v>
      </c>
      <c r="J26" s="153">
        <f>IF('AW Schulen'!$I200=0,"x",E26/'AW Schulen'!$I200)</f>
        <v>0.38095238095238093</v>
      </c>
      <c r="K26" s="153">
        <f>IF('AW Schulen'!$L200=0,"x",F26/'AW Schulen'!$L200)</f>
        <v>0.32142857142857145</v>
      </c>
      <c r="L26" s="154">
        <f>IF('AW Schulen'!$O200=0,"x",G26/'AW Schulen'!$O200)</f>
        <v>0.53333333333333333</v>
      </c>
    </row>
    <row r="27" spans="1:12" ht="9" customHeight="1">
      <c r="A27" s="21" t="s">
        <v>95</v>
      </c>
      <c r="B27" s="120"/>
      <c r="C27" s="42">
        <f t="shared" si="0"/>
        <v>22</v>
      </c>
      <c r="D27" s="42">
        <f t="shared" si="0"/>
        <v>22</v>
      </c>
      <c r="E27" s="42">
        <f t="shared" ref="E27:F27" si="31">SUM(E45+E63+E81)</f>
        <v>22</v>
      </c>
      <c r="F27" s="42">
        <f t="shared" si="31"/>
        <v>22</v>
      </c>
      <c r="G27" s="44">
        <f t="shared" ref="G27" si="32">SUM(G45+G63+G81)</f>
        <v>24</v>
      </c>
      <c r="H27" s="153">
        <f>IF('AW Schulen'!$C201=0,"x",C27/'AW Schulen'!$C201)</f>
        <v>1</v>
      </c>
      <c r="I27" s="153">
        <f>IF('AW Schulen'!$F201=0,"x",D27/'AW Schulen'!$F201)</f>
        <v>1</v>
      </c>
      <c r="J27" s="153">
        <f>IF('AW Schulen'!$I201=0,"x",E27/'AW Schulen'!$I201)</f>
        <v>1</v>
      </c>
      <c r="K27" s="153">
        <f>IF('AW Schulen'!$L201=0,"x",F27/'AW Schulen'!$L201)</f>
        <v>1</v>
      </c>
      <c r="L27" s="154">
        <f>IF('AW Schulen'!$O201=0,"x",G27/'AW Schulen'!$O201)</f>
        <v>1</v>
      </c>
    </row>
    <row r="28" spans="1:12" ht="9" customHeight="1">
      <c r="A28" s="21" t="s">
        <v>96</v>
      </c>
      <c r="B28" s="120"/>
      <c r="C28" s="42">
        <f t="shared" si="0"/>
        <v>380</v>
      </c>
      <c r="D28" s="42">
        <f t="shared" si="0"/>
        <v>372</v>
      </c>
      <c r="E28" s="42">
        <f t="shared" ref="E28:F28" si="33">SUM(E46+E64+E82)</f>
        <v>402</v>
      </c>
      <c r="F28" s="42">
        <f t="shared" si="33"/>
        <v>417</v>
      </c>
      <c r="G28" s="44">
        <f t="shared" ref="G28" si="34">SUM(G46+G64+G82)</f>
        <v>420</v>
      </c>
      <c r="H28" s="153">
        <f>IF('AW Schulen'!$C202=0,"x",C28/'AW Schulen'!$C202)</f>
        <v>0.68222621184919208</v>
      </c>
      <c r="I28" s="153">
        <f>IF('AW Schulen'!$F202=0,"x",D28/'AW Schulen'!$F202)</f>
        <v>0.68007312614259596</v>
      </c>
      <c r="J28" s="153">
        <f>IF('AW Schulen'!$I202=0,"x",E28/'AW Schulen'!$I202)</f>
        <v>0.72958257713248642</v>
      </c>
      <c r="K28" s="153">
        <f>IF('AW Schulen'!$L202=0,"x",F28/'AW Schulen'!$L202)</f>
        <v>0.72774869109947649</v>
      </c>
      <c r="L28" s="154">
        <f>IF('AW Schulen'!$O202=0,"x",G28/'AW Schulen'!$O202)</f>
        <v>0.74468085106382975</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[1]GtS!$F$59</f>
        <v>103</v>
      </c>
      <c r="D30" s="23">
        <f>[2]GtS!$F$63</f>
        <v>102</v>
      </c>
      <c r="E30" s="23">
        <f>[3]GtS!$F$63</f>
        <v>102</v>
      </c>
      <c r="F30" s="23">
        <f>[4]GtS!$F$63</f>
        <v>102</v>
      </c>
      <c r="G30" s="34">
        <f>[5]GtS!$F$63</f>
        <v>102</v>
      </c>
      <c r="H30" s="155">
        <f>IF('AW Schulen'!$C186=0,"x",C30/'AW Schulen'!$C186)</f>
        <v>0.66025641025641024</v>
      </c>
      <c r="I30" s="155">
        <f>IF('AW Schulen'!$F186=0,"x",D30/'AW Schulen'!$F186)</f>
        <v>0.66233766233766234</v>
      </c>
      <c r="J30" s="155">
        <f>IF('AW Schulen'!$I186=0,"x",E30/'AW Schulen'!$I186)</f>
        <v>0.65806451612903227</v>
      </c>
      <c r="K30" s="155">
        <f>IF('AW Schulen'!$L186=0,"x",F30/'AW Schulen'!$L186)</f>
        <v>0.66666666666666663</v>
      </c>
      <c r="L30" s="156">
        <f>IF('AW Schulen'!$O186=0,"x",G30/'AW Schulen'!$O186)</f>
        <v>0.66233766233766234</v>
      </c>
    </row>
    <row r="31" spans="1:12" ht="9" customHeight="1">
      <c r="A31" s="21" t="s">
        <v>81</v>
      </c>
      <c r="B31" s="120"/>
      <c r="C31" s="23">
        <f>[6]GtS!$F$59</f>
        <v>0</v>
      </c>
      <c r="D31" s="23">
        <f>[7]GtS!$F$63</f>
        <v>0</v>
      </c>
      <c r="E31" s="23">
        <f>[8]GtS!$F$63</f>
        <v>0</v>
      </c>
      <c r="F31" s="23" t="str">
        <f>[9]GtS!$F$63</f>
        <v xml:space="preserve">                                      -   </v>
      </c>
      <c r="G31" s="34">
        <f>[10]GtS!$F$63</f>
        <v>0</v>
      </c>
      <c r="H31" s="155">
        <f>IF('AW Schulen'!$C187=0,"x",C31/'AW Schulen'!$C187)</f>
        <v>0</v>
      </c>
      <c r="I31" s="155">
        <f>IF('AW Schulen'!$F187=0,"x",D31/'AW Schulen'!$F187)</f>
        <v>0</v>
      </c>
      <c r="J31" s="155">
        <f>IF('AW Schulen'!$I187=0,"x",E31/'AW Schulen'!$I187)</f>
        <v>0</v>
      </c>
      <c r="K31" s="155" t="e">
        <f>IF('AW Schulen'!$L187=0,"x",F31/'AW Schulen'!$L187)</f>
        <v>#VALUE!</v>
      </c>
      <c r="L31" s="156">
        <f>IF('AW Schulen'!$O187=0,"x",G31/'AW Schulen'!$O187)</f>
        <v>0</v>
      </c>
    </row>
    <row r="32" spans="1:12" ht="9" customHeight="1">
      <c r="A32" s="21" t="s">
        <v>82</v>
      </c>
      <c r="B32" s="120"/>
      <c r="C32" s="23">
        <f>[11]GtS!$F$59</f>
        <v>3</v>
      </c>
      <c r="D32" s="23">
        <f>[12]GtS!$F$63</f>
        <v>3</v>
      </c>
      <c r="E32" s="23">
        <f>[13]GtS!$F$63</f>
        <v>4</v>
      </c>
      <c r="F32" s="23">
        <f>[14]GtS!$F$63</f>
        <v>3</v>
      </c>
      <c r="G32" s="34">
        <f>[15]GtS!$F$63</f>
        <v>3</v>
      </c>
      <c r="H32" s="155">
        <f>IF('AW Schulen'!$C188=0,"x",C32/'AW Schulen'!$C188)</f>
        <v>0.3</v>
      </c>
      <c r="I32" s="155">
        <f>IF('AW Schulen'!$F188=0,"x",D32/'AW Schulen'!$F188)</f>
        <v>0.33333333333333331</v>
      </c>
      <c r="J32" s="155">
        <f>IF('AW Schulen'!$I188=0,"x",E32/'AW Schulen'!$I188)</f>
        <v>0.44444444444444442</v>
      </c>
      <c r="K32" s="155">
        <f>IF('AW Schulen'!$L188=0,"x",F32/'AW Schulen'!$L188)</f>
        <v>0.33333333333333331</v>
      </c>
      <c r="L32" s="156">
        <f>IF('AW Schulen'!$O188=0,"x",G32/'AW Schulen'!$O188)</f>
        <v>0.375</v>
      </c>
    </row>
    <row r="33" spans="1:12" ht="9" customHeight="1">
      <c r="A33" s="21" t="s">
        <v>83</v>
      </c>
      <c r="B33" s="120"/>
      <c r="C33" s="23">
        <f>[16]GtS!$F$59</f>
        <v>11</v>
      </c>
      <c r="D33" s="23">
        <f>[17]GtS!$F$63</f>
        <v>13</v>
      </c>
      <c r="E33" s="23">
        <f>[18]GtS!$F$63</f>
        <v>12</v>
      </c>
      <c r="F33" s="23">
        <f>[19]GtS!$F$63</f>
        <v>12</v>
      </c>
      <c r="G33" s="34">
        <f>[20]GtS!$F$63</f>
        <v>12</v>
      </c>
      <c r="H33" s="155">
        <f>IF('AW Schulen'!$C189=0,"x",C33/'AW Schulen'!$C189)</f>
        <v>0.91666666666666663</v>
      </c>
      <c r="I33" s="155">
        <f>IF('AW Schulen'!$F189=0,"x",D33/'AW Schulen'!$F189)</f>
        <v>0.9285714285714286</v>
      </c>
      <c r="J33" s="155">
        <f>IF('AW Schulen'!$I189=0,"x",E33/'AW Schulen'!$I189)</f>
        <v>0.92307692307692313</v>
      </c>
      <c r="K33" s="155">
        <f>IF('AW Schulen'!$L189=0,"x",F33/'AW Schulen'!$L189)</f>
        <v>0.92307692307692313</v>
      </c>
      <c r="L33" s="156">
        <f>IF('AW Schulen'!$O189=0,"x",G33/'AW Schulen'!$O189)</f>
        <v>0.92307692307692313</v>
      </c>
    </row>
    <row r="34" spans="1:12" ht="9" customHeight="1">
      <c r="A34" s="21" t="s">
        <v>84</v>
      </c>
      <c r="B34" s="120"/>
      <c r="C34" s="23">
        <f>[21]GtS!$F$59</f>
        <v>0</v>
      </c>
      <c r="D34" s="23">
        <f>[22]GtS!$F$63</f>
        <v>0</v>
      </c>
      <c r="E34" s="23">
        <f>[23]GtS!$F$63</f>
        <v>0</v>
      </c>
      <c r="F34" s="23">
        <f>[24]GtS!$F$63</f>
        <v>0</v>
      </c>
      <c r="G34" s="34">
        <f>[25]GtS!$F$63</f>
        <v>0</v>
      </c>
      <c r="H34" s="155">
        <f>IF('AW Schulen'!$C190=0,"x",C34/'AW Schulen'!$C190)</f>
        <v>0</v>
      </c>
      <c r="I34" s="155">
        <f>IF('AW Schulen'!$F190=0,"x",D34/'AW Schulen'!$F190)</f>
        <v>0</v>
      </c>
      <c r="J34" s="155">
        <f>IF('AW Schulen'!$I190=0,"x",E34/'AW Schulen'!$I190)</f>
        <v>0</v>
      </c>
      <c r="K34" s="155">
        <f>IF('AW Schulen'!$L190=0,"x",F34/'AW Schulen'!$L190)</f>
        <v>0</v>
      </c>
      <c r="L34" s="156">
        <f>IF('AW Schulen'!$O190=0,"x",G34/'AW Schulen'!$O190)</f>
        <v>0</v>
      </c>
    </row>
    <row r="35" spans="1:12" ht="9" customHeight="1">
      <c r="A35" s="21" t="s">
        <v>85</v>
      </c>
      <c r="B35" s="120"/>
      <c r="C35" s="23">
        <f>[26]GtS!$F$59</f>
        <v>5</v>
      </c>
      <c r="D35" s="23">
        <f>[27]GtS!$F$63</f>
        <v>5</v>
      </c>
      <c r="E35" s="23">
        <f>[28]GtS!$F$63</f>
        <v>5</v>
      </c>
      <c r="F35" s="23">
        <f>[29]GtS!$F$63</f>
        <v>5</v>
      </c>
      <c r="G35" s="34">
        <f>[30]GtS!$F$63</f>
        <v>5</v>
      </c>
      <c r="H35" s="155">
        <f>IF('AW Schulen'!$C191=0,"x",C35/'AW Schulen'!$C191)</f>
        <v>1</v>
      </c>
      <c r="I35" s="155">
        <f>IF('AW Schulen'!$F191=0,"x",D35/'AW Schulen'!$F191)</f>
        <v>1</v>
      </c>
      <c r="J35" s="155">
        <f>IF('AW Schulen'!$I191=0,"x",E35/'AW Schulen'!$I191)</f>
        <v>1</v>
      </c>
      <c r="K35" s="155">
        <f>IF('AW Schulen'!$L191=0,"x",F35/'AW Schulen'!$L191)</f>
        <v>1</v>
      </c>
      <c r="L35" s="156">
        <f>IF('AW Schulen'!$O191=0,"x",G35/'AW Schulen'!$O191)</f>
        <v>1</v>
      </c>
    </row>
    <row r="36" spans="1:12" ht="9" customHeight="1">
      <c r="A36" s="21" t="s">
        <v>86</v>
      </c>
      <c r="B36" s="120"/>
      <c r="C36" s="35">
        <f>[66]GtS!$F$59</f>
        <v>0</v>
      </c>
      <c r="D36" s="35">
        <f>[67]GtS!$F$63</f>
        <v>0</v>
      </c>
      <c r="E36" s="35">
        <f>[68]GtS!$F$63</f>
        <v>0</v>
      </c>
      <c r="F36" s="35">
        <f>[69]GtS!$F$63</f>
        <v>0</v>
      </c>
      <c r="G36" s="200">
        <f>[70]GtS!$F$63</f>
        <v>0</v>
      </c>
      <c r="H36" s="35">
        <f>IF('AW Schulen'!$C192=0,"x",C36/'AW Schulen'!$C192)</f>
        <v>0</v>
      </c>
      <c r="I36" s="57" t="str">
        <f>IF('AW Schulen'!$F210=0,".",D36/'AW Schulen'!$F210)</f>
        <v>.</v>
      </c>
      <c r="J36" s="57" t="str">
        <f>IF('AW Schulen'!$I210=0,".",E36/'AW Schulen'!$I210)</f>
        <v>.</v>
      </c>
      <c r="K36" s="57" t="str">
        <f>IF('AW Schulen'!$L210=0,".",F36/'AW Schulen'!$L210)</f>
        <v>.</v>
      </c>
      <c r="L36" s="195" t="str">
        <f>IF('AW Schulen'!$O210=0,".",G36/'AW Schulen'!$O210)</f>
        <v>.</v>
      </c>
    </row>
    <row r="37" spans="1:12" ht="9" customHeight="1">
      <c r="A37" s="21" t="s">
        <v>176</v>
      </c>
      <c r="B37" s="120"/>
      <c r="C37" s="23">
        <f>[31]GtS!$F$59</f>
        <v>5</v>
      </c>
      <c r="D37" s="23">
        <f>[32]GtS!$F$63</f>
        <v>5</v>
      </c>
      <c r="E37" s="23">
        <f>[33]GtS!$F$63</f>
        <v>5</v>
      </c>
      <c r="F37" s="23">
        <f>[34]GtS!$F$63</f>
        <v>3</v>
      </c>
      <c r="G37" s="34">
        <f>[35]GtS!$F$63</f>
        <v>3</v>
      </c>
      <c r="H37" s="155">
        <f>IF('AW Schulen'!$C193=0,"x",C37/'AW Schulen'!$C193)</f>
        <v>0.45454545454545453</v>
      </c>
      <c r="I37" s="155">
        <f>IF('AW Schulen'!$F193=0,"x",D37/'AW Schulen'!$F193)</f>
        <v>0.45454545454545453</v>
      </c>
      <c r="J37" s="155">
        <f>IF('AW Schulen'!$I193=0,"x",E37/'AW Schulen'!$I193)</f>
        <v>0.45454545454545453</v>
      </c>
      <c r="K37" s="155">
        <f>IF('AW Schulen'!$L193=0,"x",F37/'AW Schulen'!$L193)</f>
        <v>0.27272727272727271</v>
      </c>
      <c r="L37" s="156">
        <f>IF('AW Schulen'!$O193=0,"x",G37/'AW Schulen'!$O193)</f>
        <v>0.27272727272727271</v>
      </c>
    </row>
    <row r="38" spans="1:12" ht="9" customHeight="1">
      <c r="A38" s="21" t="s">
        <v>88</v>
      </c>
      <c r="B38" s="120"/>
      <c r="C38" s="35">
        <f>[71]GtS!$F$59</f>
        <v>0</v>
      </c>
      <c r="D38" s="35">
        <f>[72]GtS!$F$63</f>
        <v>0</v>
      </c>
      <c r="E38" s="35">
        <f>[73]GtS!$F$63</f>
        <v>0</v>
      </c>
      <c r="F38" s="35">
        <f>[74]GtS!$F$63</f>
        <v>0</v>
      </c>
      <c r="G38" s="200">
        <f>[75]GtS!$F$63</f>
        <v>0</v>
      </c>
      <c r="H38" s="35">
        <f>IF('AW Schulen'!$C194=0,"x",C38/'AW Schulen'!$C194)</f>
        <v>0</v>
      </c>
      <c r="I38" s="35">
        <f>IF('AW Schulen'!$F194=0,"x",D38/'AW Schulen'!$F194)</f>
        <v>0</v>
      </c>
      <c r="J38" s="35">
        <f>IF('AW Schulen'!$I194=0,"x",E38/'AW Schulen'!$I194)</f>
        <v>0</v>
      </c>
      <c r="K38" s="35">
        <f>IF('AW Schulen'!$L194=0,"x",F38/'AW Schulen'!$L194)</f>
        <v>0</v>
      </c>
      <c r="L38" s="200">
        <f>IF('AW Schulen'!$O194=0,"x",G38/'AW Schulen'!$O194)</f>
        <v>0</v>
      </c>
    </row>
    <row r="39" spans="1:12" ht="9" customHeight="1">
      <c r="A39" s="21" t="s">
        <v>89</v>
      </c>
      <c r="B39" s="120"/>
      <c r="C39" s="23">
        <f>[36]GtS!$F$59</f>
        <v>54</v>
      </c>
      <c r="D39" s="23">
        <f>[37]GtS!$F$63</f>
        <v>43</v>
      </c>
      <c r="E39" s="23">
        <f>[38]GtS!$F$63</f>
        <v>54</v>
      </c>
      <c r="F39" s="23">
        <f>[39]GtS!$F$63</f>
        <v>60</v>
      </c>
      <c r="G39" s="34">
        <f>[40]GtS!$F$63</f>
        <v>61</v>
      </c>
      <c r="H39" s="155">
        <f>IF('AW Schulen'!$C195=0,"x",C39/'AW Schulen'!$C195)</f>
        <v>0.63529411764705879</v>
      </c>
      <c r="I39" s="155">
        <f>IF('AW Schulen'!$F195=0,"x",D39/'AW Schulen'!$F195)</f>
        <v>0.57333333333333336</v>
      </c>
      <c r="J39" s="155">
        <f>IF('AW Schulen'!$I195=0,"x",E39/'AW Schulen'!$I195)</f>
        <v>0.72972972972972971</v>
      </c>
      <c r="K39" s="155">
        <f>IF('AW Schulen'!$L195=0,"x",F39/'AW Schulen'!$L195)</f>
        <v>0.6741573033707865</v>
      </c>
      <c r="L39" s="156">
        <f>IF('AW Schulen'!$O195=0,"x",G39/'AW Schulen'!$O195)</f>
        <v>0.66304347826086951</v>
      </c>
    </row>
    <row r="40" spans="1:12" ht="9" customHeight="1">
      <c r="A40" s="21" t="s">
        <v>90</v>
      </c>
      <c r="B40" s="120"/>
      <c r="C40" s="23">
        <f>[41]GtS!$F$59</f>
        <v>21</v>
      </c>
      <c r="D40" s="23">
        <f>[42]GtS!$F$63</f>
        <v>21</v>
      </c>
      <c r="E40" s="23">
        <f>[43]GtS!$F$63</f>
        <v>21</v>
      </c>
      <c r="F40" s="23">
        <f>[44]GtS!$F$63</f>
        <v>21</v>
      </c>
      <c r="G40" s="34">
        <f>[45]GtS!$F$63</f>
        <v>20</v>
      </c>
      <c r="H40" s="155">
        <f>IF('AW Schulen'!$C196=0,"x",C40/'AW Schulen'!$C196)</f>
        <v>0.91304347826086951</v>
      </c>
      <c r="I40" s="155">
        <f>IF('AW Schulen'!$F196=0,"x",D40/'AW Schulen'!$F196)</f>
        <v>0.91304347826086951</v>
      </c>
      <c r="J40" s="155">
        <f>IF('AW Schulen'!$I196=0,"x",E40/'AW Schulen'!$I196)</f>
        <v>0.91304347826086951</v>
      </c>
      <c r="K40" s="155">
        <f>IF('AW Schulen'!$L196=0,"x",F40/'AW Schulen'!$L196)</f>
        <v>0.91304347826086951</v>
      </c>
      <c r="L40" s="156">
        <f>IF('AW Schulen'!$O196=0,"x",G40/'AW Schulen'!$O196)</f>
        <v>0.86956521739130432</v>
      </c>
    </row>
    <row r="41" spans="1:12" ht="9" customHeight="1">
      <c r="A41" s="21" t="s">
        <v>91</v>
      </c>
      <c r="B41" s="120"/>
      <c r="C41" s="23">
        <f>[46]GtS!$F$59</f>
        <v>4</v>
      </c>
      <c r="D41" s="23">
        <f>[47]GtS!$F$63</f>
        <v>4</v>
      </c>
      <c r="E41" s="23">
        <f>[48]GtS!$F$63</f>
        <v>4</v>
      </c>
      <c r="F41" s="23">
        <f>[49]GtS!$F$63</f>
        <v>4</v>
      </c>
      <c r="G41" s="34">
        <f>[50]GtS!$F$63</f>
        <v>4</v>
      </c>
      <c r="H41" s="155">
        <f>IF('AW Schulen'!$C197=0,"x",C41/'AW Schulen'!$C197)</f>
        <v>0.8</v>
      </c>
      <c r="I41" s="155">
        <f>IF('AW Schulen'!$F197=0,"x",D41/'AW Schulen'!$F197)</f>
        <v>0.8</v>
      </c>
      <c r="J41" s="155">
        <f>IF('AW Schulen'!$I197=0,"x",E41/'AW Schulen'!$I197)</f>
        <v>0.8</v>
      </c>
      <c r="K41" s="155">
        <f>IF('AW Schulen'!$L197=0,"x",F41/'AW Schulen'!$L197)</f>
        <v>0.8</v>
      </c>
      <c r="L41" s="156">
        <f>IF('AW Schulen'!$O197=0,"x",G41/'AW Schulen'!$O197)</f>
        <v>0.8</v>
      </c>
    </row>
    <row r="42" spans="1:12" ht="9" customHeight="1">
      <c r="A42" s="21" t="s">
        <v>92</v>
      </c>
      <c r="B42" s="120"/>
      <c r="C42" s="23">
        <f>[51]GtS!$F$59</f>
        <v>5</v>
      </c>
      <c r="D42" s="23">
        <f>[52]GtS!$F$63</f>
        <v>5</v>
      </c>
      <c r="E42" s="23">
        <f>[53]GtS!$F$63</f>
        <v>3</v>
      </c>
      <c r="F42" s="23">
        <f>[54]GtS!$F$63</f>
        <v>3</v>
      </c>
      <c r="G42" s="34">
        <f>[55]GtS!$F$63</f>
        <v>3</v>
      </c>
      <c r="H42" s="155">
        <f>IF('AW Schulen'!$C198=0,"x",C42/'AW Schulen'!$C198)</f>
        <v>0.25</v>
      </c>
      <c r="I42" s="155">
        <f>IF('AW Schulen'!$F198=0,"x",D42/'AW Schulen'!$F198)</f>
        <v>0.25</v>
      </c>
      <c r="J42" s="155">
        <f>IF('AW Schulen'!$I198=0,"x",E42/'AW Schulen'!$I198)</f>
        <v>0.15</v>
      </c>
      <c r="K42" s="155">
        <f>IF('AW Schulen'!$L198=0,"x",F42/'AW Schulen'!$L198)</f>
        <v>0.14285714285714285</v>
      </c>
      <c r="L42" s="156">
        <f>IF('AW Schulen'!$O198=0,"x",G42/'AW Schulen'!$O198)</f>
        <v>0.15</v>
      </c>
    </row>
    <row r="43" spans="1:12" ht="9" customHeight="1">
      <c r="A43" s="21" t="s">
        <v>93</v>
      </c>
      <c r="B43" s="120"/>
      <c r="C43" s="36">
        <f>[76]GtS!$F$59</f>
        <v>0</v>
      </c>
      <c r="D43" s="36">
        <f>[77]GtS!$F$63</f>
        <v>0</v>
      </c>
      <c r="E43" s="36">
        <f>[78]GtS!$F$63</f>
        <v>0</v>
      </c>
      <c r="F43" s="36">
        <f>[79]GtS!$F$63</f>
        <v>0</v>
      </c>
      <c r="G43" s="37">
        <f>[80]GtS!$F$63</f>
        <v>0</v>
      </c>
      <c r="H43" s="57">
        <v>0</v>
      </c>
      <c r="I43" s="57">
        <v>0</v>
      </c>
      <c r="J43" s="57">
        <v>0</v>
      </c>
      <c r="K43" s="57">
        <v>0</v>
      </c>
      <c r="L43" s="195">
        <v>0</v>
      </c>
    </row>
    <row r="44" spans="1:12" ht="9" customHeight="1">
      <c r="A44" s="21" t="s">
        <v>94</v>
      </c>
      <c r="B44" s="120"/>
      <c r="C44" s="23">
        <f>[56]GtS!$F$59</f>
        <v>0</v>
      </c>
      <c r="D44" s="23">
        <f>[57]GtS!$F$63</f>
        <v>0</v>
      </c>
      <c r="E44" s="23">
        <f>[58]GtS!$F$63</f>
        <v>0</v>
      </c>
      <c r="F44" s="23">
        <f>[59]GtS!$F$63</f>
        <v>0</v>
      </c>
      <c r="G44" s="34">
        <f>[60]GtS!$F$63</f>
        <v>0</v>
      </c>
      <c r="H44" s="155">
        <f>IF('AW Schulen'!$C200=0,"x",C44/'AW Schulen'!$C200)</f>
        <v>0</v>
      </c>
      <c r="I44" s="155">
        <f>IF('AW Schulen'!$F200=0,"x",D44/'AW Schulen'!$F200)</f>
        <v>0</v>
      </c>
      <c r="J44" s="155">
        <f>IF('AW Schulen'!$I200=0,"x",E44/'AW Schulen'!$I200)</f>
        <v>0</v>
      </c>
      <c r="K44" s="155">
        <f>IF('AW Schulen'!$L200=0,"x",F44/'AW Schulen'!$L200)</f>
        <v>0</v>
      </c>
      <c r="L44" s="156">
        <f>IF('AW Schulen'!$O200=0,"x",G44/'AW Schulen'!$O200)</f>
        <v>0</v>
      </c>
    </row>
    <row r="45" spans="1:12" ht="9" customHeight="1">
      <c r="A45" s="21" t="s">
        <v>95</v>
      </c>
      <c r="B45" s="120"/>
      <c r="C45" s="23">
        <f>[61]GtS!$F$59</f>
        <v>22</v>
      </c>
      <c r="D45" s="23">
        <f>[62]GtS!$F$63</f>
        <v>22</v>
      </c>
      <c r="E45" s="23">
        <f>[63]GtS!$F$63</f>
        <v>22</v>
      </c>
      <c r="F45" s="23">
        <f>[64]GtS!$F$63</f>
        <v>22</v>
      </c>
      <c r="G45" s="34">
        <f>[65]GtS!$F$63</f>
        <v>24</v>
      </c>
      <c r="H45" s="155">
        <f>IF('AW Schulen'!$C201=0,"x",C45/'AW Schulen'!$C201)</f>
        <v>1</v>
      </c>
      <c r="I45" s="155">
        <f>IF('AW Schulen'!$F201=0,"x",D45/'AW Schulen'!$F201)</f>
        <v>1</v>
      </c>
      <c r="J45" s="155">
        <f>IF('AW Schulen'!$I201=0,"x",E45/'AW Schulen'!$I201)</f>
        <v>1</v>
      </c>
      <c r="K45" s="155">
        <f>IF('AW Schulen'!$L201=0,"x",F45/'AW Schulen'!$L201)</f>
        <v>1</v>
      </c>
      <c r="L45" s="156">
        <f>IF('AW Schulen'!$O201=0,"x",G45/'AW Schulen'!$O201)</f>
        <v>1</v>
      </c>
    </row>
    <row r="46" spans="1:12" ht="9" customHeight="1">
      <c r="A46" s="21" t="s">
        <v>96</v>
      </c>
      <c r="B46" s="120"/>
      <c r="C46" s="23">
        <f t="shared" ref="C46:E46" si="35">SUM(C30:C45)</f>
        <v>233</v>
      </c>
      <c r="D46" s="23">
        <f t="shared" si="35"/>
        <v>223</v>
      </c>
      <c r="E46" s="23">
        <f t="shared" si="35"/>
        <v>232</v>
      </c>
      <c r="F46" s="23">
        <f t="shared" ref="F46:G46" si="36">SUM(F30:F45)</f>
        <v>235</v>
      </c>
      <c r="G46" s="34">
        <f t="shared" si="36"/>
        <v>237</v>
      </c>
      <c r="H46" s="155">
        <f>IF('AW Schulen'!$C202=0,"x",C46/'AW Schulen'!$C202)</f>
        <v>0.41831238779174146</v>
      </c>
      <c r="I46" s="155">
        <f>IF('AW Schulen'!$F202=0,"x",D46/'AW Schulen'!$F202)</f>
        <v>0.40767824497257771</v>
      </c>
      <c r="J46" s="155">
        <f>IF('AW Schulen'!$I202=0,"x",E46/'AW Schulen'!$I202)</f>
        <v>0.42105263157894735</v>
      </c>
      <c r="K46" s="155">
        <f>IF('AW Schulen'!$L202=0,"x",F46/'AW Schulen'!$L202)</f>
        <v>0.41012216404886565</v>
      </c>
      <c r="L46" s="156">
        <f>IF('AW Schulen'!$O202=0,"x",G46/'AW Schulen'!$O202)</f>
        <v>0.42021276595744683</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[1]GtS!$G$59</f>
        <v>0</v>
      </c>
      <c r="D48" s="23">
        <f>[2]GtS!$G$63</f>
        <v>0</v>
      </c>
      <c r="E48" s="23">
        <f>[3]GtS!$G$63</f>
        <v>0</v>
      </c>
      <c r="F48" s="23">
        <f>[4]GtS!$G$63</f>
        <v>0</v>
      </c>
      <c r="G48" s="34">
        <f>[5]GtS!$G$63</f>
        <v>0</v>
      </c>
      <c r="H48" s="155">
        <f>IF('AW Schulen'!$C186=0,"x",C48/'AW Schulen'!$C186)</f>
        <v>0</v>
      </c>
      <c r="I48" s="155">
        <f>IF('AW Schulen'!$F186=0,"x",D48/'AW Schulen'!$F186)</f>
        <v>0</v>
      </c>
      <c r="J48" s="155">
        <f>IF('AW Schulen'!$I186=0,"x",E48/'AW Schulen'!$I186)</f>
        <v>0</v>
      </c>
      <c r="K48" s="155">
        <f>IF('AW Schulen'!$L186=0,"x",F48/'AW Schulen'!$L186)</f>
        <v>0</v>
      </c>
      <c r="L48" s="156">
        <f>IF('AW Schulen'!$O186=0,"x",G48/'AW Schulen'!$O186)</f>
        <v>0</v>
      </c>
    </row>
    <row r="49" spans="1:12" ht="9" customHeight="1">
      <c r="A49" s="21" t="s">
        <v>81</v>
      </c>
      <c r="B49" s="120"/>
      <c r="C49" s="23">
        <f>[6]GtS!$G$59</f>
        <v>20</v>
      </c>
      <c r="D49" s="23">
        <f>[7]GtS!$G$63</f>
        <v>19</v>
      </c>
      <c r="E49" s="23">
        <f>[8]GtS!$G$63</f>
        <v>21</v>
      </c>
      <c r="F49" s="23">
        <f>[9]GtS!$G$63</f>
        <v>19</v>
      </c>
      <c r="G49" s="34">
        <f>[10]GtS!$G$63</f>
        <v>20</v>
      </c>
      <c r="H49" s="155">
        <f>IF('AW Schulen'!$C187=0,"x",C49/'AW Schulen'!$C187)</f>
        <v>0.10416666666666667</v>
      </c>
      <c r="I49" s="155">
        <f>IF('AW Schulen'!$F187=0,"x",D49/'AW Schulen'!$F187)</f>
        <v>9.8958333333333329E-2</v>
      </c>
      <c r="J49" s="155">
        <f>IF('AW Schulen'!$I187=0,"x",E49/'AW Schulen'!$I187)</f>
        <v>0.109375</v>
      </c>
      <c r="K49" s="155">
        <f>IF('AW Schulen'!$L187=0,"x",F49/'AW Schulen'!$L187)</f>
        <v>9.8445595854922283E-2</v>
      </c>
      <c r="L49" s="156">
        <f>IF('AW Schulen'!$O187=0,"x",G49/'AW Schulen'!$O187)</f>
        <v>0.10362694300518134</v>
      </c>
    </row>
    <row r="50" spans="1:12" ht="9" customHeight="1">
      <c r="A50" s="21" t="s">
        <v>82</v>
      </c>
      <c r="B50" s="120"/>
      <c r="C50" s="23">
        <f>[11]GtS!$G$59</f>
        <v>0</v>
      </c>
      <c r="D50" s="23">
        <f>[12]GtS!$G$63</f>
        <v>0</v>
      </c>
      <c r="E50" s="23">
        <f>[13]GtS!$G$63</f>
        <v>0</v>
      </c>
      <c r="F50" s="23">
        <f>[14]GtS!$G$63</f>
        <v>0</v>
      </c>
      <c r="G50" s="34">
        <f>[15]GtS!$G$63</f>
        <v>0</v>
      </c>
      <c r="H50" s="155">
        <f>IF('AW Schulen'!$C188=0,"x",C50/'AW Schulen'!$C188)</f>
        <v>0</v>
      </c>
      <c r="I50" s="155">
        <f>IF('AW Schulen'!$F188=0,"x",D50/'AW Schulen'!$F188)</f>
        <v>0</v>
      </c>
      <c r="J50" s="155">
        <f>IF('AW Schulen'!$I188=0,"x",E50/'AW Schulen'!$I188)</f>
        <v>0</v>
      </c>
      <c r="K50" s="155">
        <f>IF('AW Schulen'!$L188=0,"x",F50/'AW Schulen'!$L188)</f>
        <v>0</v>
      </c>
      <c r="L50" s="156">
        <f>IF('AW Schulen'!$O188=0,"x",G50/'AW Schulen'!$O188)</f>
        <v>0</v>
      </c>
    </row>
    <row r="51" spans="1:12" ht="9" customHeight="1">
      <c r="A51" s="21" t="s">
        <v>83</v>
      </c>
      <c r="B51" s="120"/>
      <c r="C51" s="23">
        <f>[16]GtS!$G$59</f>
        <v>0</v>
      </c>
      <c r="D51" s="23">
        <f>[17]GtS!$G$63</f>
        <v>0</v>
      </c>
      <c r="E51" s="23">
        <f>[18]GtS!$G$63</f>
        <v>0</v>
      </c>
      <c r="F51" s="23">
        <f>[19]GtS!$G$63</f>
        <v>0</v>
      </c>
      <c r="G51" s="34">
        <f>[20]GtS!$G$63</f>
        <v>0</v>
      </c>
      <c r="H51" s="155">
        <f>IF('AW Schulen'!$C189=0,"x",C51/'AW Schulen'!$C189)</f>
        <v>0</v>
      </c>
      <c r="I51" s="155">
        <f>IF('AW Schulen'!$F189=0,"x",D51/'AW Schulen'!$F189)</f>
        <v>0</v>
      </c>
      <c r="J51" s="155">
        <f>IF('AW Schulen'!$I189=0,"x",E51/'AW Schulen'!$I189)</f>
        <v>0</v>
      </c>
      <c r="K51" s="155">
        <f>IF('AW Schulen'!$L189=0,"x",F51/'AW Schulen'!$L189)</f>
        <v>0</v>
      </c>
      <c r="L51" s="156">
        <f>IF('AW Schulen'!$O189=0,"x",G51/'AW Schulen'!$O189)</f>
        <v>0</v>
      </c>
    </row>
    <row r="52" spans="1:12" ht="9" customHeight="1">
      <c r="A52" s="21" t="s">
        <v>84</v>
      </c>
      <c r="B52" s="120"/>
      <c r="C52" s="23">
        <f>[21]GtS!$G$59</f>
        <v>0</v>
      </c>
      <c r="D52" s="23">
        <f>[22]GtS!$G$63</f>
        <v>0</v>
      </c>
      <c r="E52" s="23">
        <f>[23]GtS!$G$63</f>
        <v>0</v>
      </c>
      <c r="F52" s="23">
        <f>[24]GtS!$G$63</f>
        <v>0</v>
      </c>
      <c r="G52" s="34">
        <f>[25]GtS!$G$63</f>
        <v>0</v>
      </c>
      <c r="H52" s="155">
        <f>IF('AW Schulen'!$C190=0,"x",C52/'AW Schulen'!$C190)</f>
        <v>0</v>
      </c>
      <c r="I52" s="155">
        <f>IF('AW Schulen'!$F190=0,"x",D52/'AW Schulen'!$F190)</f>
        <v>0</v>
      </c>
      <c r="J52" s="155">
        <f>IF('AW Schulen'!$I190=0,"x",E52/'AW Schulen'!$I190)</f>
        <v>0</v>
      </c>
      <c r="K52" s="155">
        <f>IF('AW Schulen'!$L190=0,"x",F52/'AW Schulen'!$L190)</f>
        <v>0</v>
      </c>
      <c r="L52" s="156">
        <f>IF('AW Schulen'!$O190=0,"x",G52/'AW Schulen'!$O190)</f>
        <v>0</v>
      </c>
    </row>
    <row r="53" spans="1:12" ht="9" customHeight="1">
      <c r="A53" s="21" t="s">
        <v>85</v>
      </c>
      <c r="B53" s="120"/>
      <c r="C53" s="23">
        <f>[26]GtS!$G$59</f>
        <v>0</v>
      </c>
      <c r="D53" s="23">
        <f>[27]GtS!$G$63</f>
        <v>0</v>
      </c>
      <c r="E53" s="23">
        <f>[28]GtS!$G$63</f>
        <v>0</v>
      </c>
      <c r="F53" s="23">
        <f>[29]GtS!$G$63</f>
        <v>0</v>
      </c>
      <c r="G53" s="34">
        <f>[30]GtS!$G$63</f>
        <v>0</v>
      </c>
      <c r="H53" s="155">
        <f>IF('AW Schulen'!$C191=0,"x",C53/'AW Schulen'!$C191)</f>
        <v>0</v>
      </c>
      <c r="I53" s="155">
        <f>IF('AW Schulen'!$F191=0,"x",D53/'AW Schulen'!$F191)</f>
        <v>0</v>
      </c>
      <c r="J53" s="155">
        <f>IF('AW Schulen'!$I191=0,"x",E53/'AW Schulen'!$I191)</f>
        <v>0</v>
      </c>
      <c r="K53" s="155">
        <f>IF('AW Schulen'!$L191=0,"x",F53/'AW Schulen'!$L191)</f>
        <v>0</v>
      </c>
      <c r="L53" s="156">
        <f>IF('AW Schulen'!$O191=0,"x",G53/'AW Schulen'!$O191)</f>
        <v>0</v>
      </c>
    </row>
    <row r="54" spans="1:12" ht="9" customHeight="1">
      <c r="A54" s="21" t="s">
        <v>86</v>
      </c>
      <c r="B54" s="120"/>
      <c r="C54" s="35">
        <f>[66]GtS!$G$59</f>
        <v>0</v>
      </c>
      <c r="D54" s="35">
        <f>[67]GtS!$G$63</f>
        <v>0</v>
      </c>
      <c r="E54" s="35">
        <f>[68]GtS!$G$63</f>
        <v>0</v>
      </c>
      <c r="F54" s="35">
        <f>[69]GtS!$G$63</f>
        <v>0</v>
      </c>
      <c r="G54" s="200">
        <f>[70]GtS!$G$63</f>
        <v>0</v>
      </c>
      <c r="H54" s="35">
        <f>IF('AW Schulen'!$C192=0,"x",C54/'AW Schulen'!$C192)</f>
        <v>0</v>
      </c>
      <c r="I54" s="57" t="str">
        <f>IF('AW Schulen'!$F228=0,".",D54/'AW Schulen'!$F228)</f>
        <v>.</v>
      </c>
      <c r="J54" s="57" t="str">
        <f>IF('AW Schulen'!$I228=0,".",E54/'AW Schulen'!$I228)</f>
        <v>.</v>
      </c>
      <c r="K54" s="57" t="str">
        <f>IF('AW Schulen'!$L228=0,".",F54/'AW Schulen'!$L228)</f>
        <v>.</v>
      </c>
      <c r="L54" s="195" t="str">
        <f>IF('AW Schulen'!$O228=0,".",G54/'AW Schulen'!$O228)</f>
        <v>.</v>
      </c>
    </row>
    <row r="55" spans="1:12" ht="9" customHeight="1">
      <c r="A55" s="21" t="s">
        <v>176</v>
      </c>
      <c r="B55" s="120"/>
      <c r="C55" s="23">
        <f>[31]GtS!$G$59</f>
        <v>1</v>
      </c>
      <c r="D55" s="23">
        <f>[32]GtS!$G$63</f>
        <v>1</v>
      </c>
      <c r="E55" s="23">
        <f>[33]GtS!$G$63</f>
        <v>1</v>
      </c>
      <c r="F55" s="23">
        <f>[34]GtS!$G$63</f>
        <v>1</v>
      </c>
      <c r="G55" s="34">
        <f>[35]GtS!$G$63</f>
        <v>1</v>
      </c>
      <c r="H55" s="155">
        <f>IF('AW Schulen'!$C193=0,"x",C55/'AW Schulen'!$C193)</f>
        <v>9.0909090909090912E-2</v>
      </c>
      <c r="I55" s="155">
        <f>IF('AW Schulen'!$F193=0,"x",D55/'AW Schulen'!$F193)</f>
        <v>9.0909090909090912E-2</v>
      </c>
      <c r="J55" s="155">
        <f>IF('AW Schulen'!$I193=0,"x",E55/'AW Schulen'!$I193)</f>
        <v>9.0909090909090912E-2</v>
      </c>
      <c r="K55" s="155">
        <f>IF('AW Schulen'!$L193=0,"x",F55/'AW Schulen'!$L193)</f>
        <v>9.0909090909090912E-2</v>
      </c>
      <c r="L55" s="156">
        <f>IF('AW Schulen'!$O193=0,"x",G55/'AW Schulen'!$O193)</f>
        <v>9.0909090909090912E-2</v>
      </c>
    </row>
    <row r="56" spans="1:12" ht="9" customHeight="1">
      <c r="A56" s="21" t="s">
        <v>88</v>
      </c>
      <c r="B56" s="120"/>
      <c r="C56" s="35">
        <f>[71]GtS!$G$59</f>
        <v>0</v>
      </c>
      <c r="D56" s="35">
        <f>[72]GtS!$G$63</f>
        <v>0</v>
      </c>
      <c r="E56" s="35">
        <f>[73]GtS!$G$63</f>
        <v>0</v>
      </c>
      <c r="F56" s="35">
        <f>[74]GtS!$G$63</f>
        <v>0</v>
      </c>
      <c r="G56" s="200">
        <f>[75]GtS!$G$63</f>
        <v>0</v>
      </c>
      <c r="H56" s="35">
        <f>IF('AW Schulen'!$C194=0,"x",C56/'AW Schulen'!$C194)</f>
        <v>0</v>
      </c>
      <c r="I56" s="35">
        <f>IF('AW Schulen'!$F194=0,"x",D56/'AW Schulen'!$F194)</f>
        <v>0</v>
      </c>
      <c r="J56" s="35">
        <f>IF('AW Schulen'!$I194=0,"x",E56/'AW Schulen'!$I194)</f>
        <v>0</v>
      </c>
      <c r="K56" s="35">
        <f>IF('AW Schulen'!$L194=0,"x",F56/'AW Schulen'!$L194)</f>
        <v>0</v>
      </c>
      <c r="L56" s="200">
        <f>IF('AW Schulen'!$O194=0,"x",G56/'AW Schulen'!$O194)</f>
        <v>0</v>
      </c>
    </row>
    <row r="57" spans="1:12" ht="9" customHeight="1">
      <c r="A57" s="21" t="s">
        <v>89</v>
      </c>
      <c r="B57" s="120"/>
      <c r="C57" s="23">
        <f>[36]GtS!$G$59</f>
        <v>0</v>
      </c>
      <c r="D57" s="23">
        <f>[37]GtS!$G$63</f>
        <v>0</v>
      </c>
      <c r="E57" s="23">
        <f>[38]GtS!$G$63</f>
        <v>0</v>
      </c>
      <c r="F57" s="23">
        <f>[39]GtS!$G$63</f>
        <v>0</v>
      </c>
      <c r="G57" s="34">
        <f>[40]GtS!$G$63</f>
        <v>0</v>
      </c>
      <c r="H57" s="155">
        <f>IF('AW Schulen'!$C195=0,"x",C57/'AW Schulen'!$C195)</f>
        <v>0</v>
      </c>
      <c r="I57" s="155">
        <f>IF('AW Schulen'!$F195=0,"x",D57/'AW Schulen'!$F195)</f>
        <v>0</v>
      </c>
      <c r="J57" s="155">
        <f>IF('AW Schulen'!$I195=0,"x",E57/'AW Schulen'!$I195)</f>
        <v>0</v>
      </c>
      <c r="K57" s="155">
        <f>IF('AW Schulen'!$L195=0,"x",F57/'AW Schulen'!$L195)</f>
        <v>0</v>
      </c>
      <c r="L57" s="156">
        <f>IF('AW Schulen'!$O195=0,"x",G57/'AW Schulen'!$O195)</f>
        <v>0</v>
      </c>
    </row>
    <row r="58" spans="1:12" ht="9" customHeight="1">
      <c r="A58" s="21" t="s">
        <v>90</v>
      </c>
      <c r="B58" s="120"/>
      <c r="C58" s="23">
        <f>[41]GtS!$G$59</f>
        <v>0</v>
      </c>
      <c r="D58" s="23">
        <f>[42]GtS!$G$63</f>
        <v>0</v>
      </c>
      <c r="E58" s="23">
        <f>[43]GtS!$G$63</f>
        <v>0</v>
      </c>
      <c r="F58" s="23">
        <f>[44]GtS!$G$63</f>
        <v>0</v>
      </c>
      <c r="G58" s="34">
        <f>[45]GtS!$G$63</f>
        <v>0</v>
      </c>
      <c r="H58" s="155">
        <f>IF('AW Schulen'!$C196=0,"x",C58/'AW Schulen'!$C196)</f>
        <v>0</v>
      </c>
      <c r="I58" s="155">
        <f>IF('AW Schulen'!$F196=0,"x",D58/'AW Schulen'!$F196)</f>
        <v>0</v>
      </c>
      <c r="J58" s="155">
        <f>IF('AW Schulen'!$I196=0,"x",E58/'AW Schulen'!$I196)</f>
        <v>0</v>
      </c>
      <c r="K58" s="155">
        <f>IF('AW Schulen'!$L196=0,"x",F58/'AW Schulen'!$L196)</f>
        <v>0</v>
      </c>
      <c r="L58" s="156">
        <f>IF('AW Schulen'!$O196=0,"x",G58/'AW Schulen'!$O196)</f>
        <v>0</v>
      </c>
    </row>
    <row r="59" spans="1:12" ht="9" customHeight="1">
      <c r="A59" s="21" t="s">
        <v>91</v>
      </c>
      <c r="B59" s="120"/>
      <c r="C59" s="23">
        <f>[46]GtS!$G$59</f>
        <v>0</v>
      </c>
      <c r="D59" s="23">
        <f>[47]GtS!$G$63</f>
        <v>0</v>
      </c>
      <c r="E59" s="23">
        <f>[48]GtS!$G$63</f>
        <v>0</v>
      </c>
      <c r="F59" s="23">
        <f>[49]GtS!$G$63</f>
        <v>0</v>
      </c>
      <c r="G59" s="34">
        <f>[50]GtS!$G$63</f>
        <v>0</v>
      </c>
      <c r="H59" s="155">
        <f>IF('AW Schulen'!$C197=0,"x",C59/'AW Schulen'!$C197)</f>
        <v>0</v>
      </c>
      <c r="I59" s="155">
        <f>IF('AW Schulen'!$F197=0,"x",D59/'AW Schulen'!$F197)</f>
        <v>0</v>
      </c>
      <c r="J59" s="155">
        <f>IF('AW Schulen'!$I197=0,"x",E59/'AW Schulen'!$I197)</f>
        <v>0</v>
      </c>
      <c r="K59" s="155">
        <f>IF('AW Schulen'!$L197=0,"x",F59/'AW Schulen'!$L197)</f>
        <v>0</v>
      </c>
      <c r="L59" s="156">
        <f>IF('AW Schulen'!$O197=0,"x",G59/'AW Schulen'!$O197)</f>
        <v>0</v>
      </c>
    </row>
    <row r="60" spans="1:12" ht="9" customHeight="1">
      <c r="A60" s="21" t="s">
        <v>92</v>
      </c>
      <c r="B60" s="120"/>
      <c r="C60" s="23">
        <f>[51]GtS!$G$59</f>
        <v>1</v>
      </c>
      <c r="D60" s="23">
        <f>[52]GtS!$G$63</f>
        <v>1</v>
      </c>
      <c r="E60" s="23">
        <f>[53]GtS!$G$63</f>
        <v>2</v>
      </c>
      <c r="F60" s="23">
        <f>[54]GtS!$G$63</f>
        <v>2</v>
      </c>
      <c r="G60" s="34">
        <f>[55]GtS!$G$63</f>
        <v>2</v>
      </c>
      <c r="H60" s="155">
        <f>IF('AW Schulen'!$C198=0,"x",C60/'AW Schulen'!$C198)</f>
        <v>0.05</v>
      </c>
      <c r="I60" s="155">
        <f>IF('AW Schulen'!$F198=0,"x",D60/'AW Schulen'!$F198)</f>
        <v>0.05</v>
      </c>
      <c r="J60" s="155">
        <f>IF('AW Schulen'!$I198=0,"x",E60/'AW Schulen'!$I198)</f>
        <v>0.1</v>
      </c>
      <c r="K60" s="155">
        <f>IF('AW Schulen'!$L198=0,"x",F60/'AW Schulen'!$L198)</f>
        <v>9.5238095238095233E-2</v>
      </c>
      <c r="L60" s="156">
        <f>IF('AW Schulen'!$O198=0,"x",G60/'AW Schulen'!$O198)</f>
        <v>0.1</v>
      </c>
    </row>
    <row r="61" spans="1:12" ht="9" customHeight="1">
      <c r="A61" s="21" t="s">
        <v>93</v>
      </c>
      <c r="B61" s="120"/>
      <c r="C61" s="36">
        <f>[76]GtS!$G$59</f>
        <v>0</v>
      </c>
      <c r="D61" s="36">
        <f>[77]GtS!$G$63</f>
        <v>0</v>
      </c>
      <c r="E61" s="36">
        <f>[78]GtS!$G$63</f>
        <v>0</v>
      </c>
      <c r="F61" s="36">
        <f>[79]GtS!$G$63</f>
        <v>0</v>
      </c>
      <c r="G61" s="37">
        <f>[80]GtS!$G$63</f>
        <v>0</v>
      </c>
      <c r="H61" s="57">
        <v>0</v>
      </c>
      <c r="I61" s="57">
        <v>0</v>
      </c>
      <c r="J61" s="57">
        <v>0</v>
      </c>
      <c r="K61" s="57">
        <v>0</v>
      </c>
      <c r="L61" s="195">
        <v>0</v>
      </c>
    </row>
    <row r="62" spans="1:12" ht="9" customHeight="1">
      <c r="A62" s="21" t="s">
        <v>94</v>
      </c>
      <c r="B62" s="120"/>
      <c r="C62" s="23">
        <f>[56]GtS!$G$59</f>
        <v>0</v>
      </c>
      <c r="D62" s="23">
        <f>[57]GtS!$G$63</f>
        <v>0</v>
      </c>
      <c r="E62" s="23">
        <f>[58]GtS!$G$63</f>
        <v>0</v>
      </c>
      <c r="F62" s="23">
        <f>[59]GtS!$G$63</f>
        <v>0</v>
      </c>
      <c r="G62" s="34">
        <f>[60]GtS!$G$63</f>
        <v>0</v>
      </c>
      <c r="H62" s="155">
        <f>IF('AW Schulen'!$C200=0,"x",C62/'AW Schulen'!$C200)</f>
        <v>0</v>
      </c>
      <c r="I62" s="155">
        <f>IF('AW Schulen'!$F200=0,"x",D62/'AW Schulen'!$F200)</f>
        <v>0</v>
      </c>
      <c r="J62" s="155">
        <f>IF('AW Schulen'!$I200=0,"x",E62/'AW Schulen'!$I200)</f>
        <v>0</v>
      </c>
      <c r="K62" s="155">
        <f>IF('AW Schulen'!$L200=0,"x",F62/'AW Schulen'!$L200)</f>
        <v>0</v>
      </c>
      <c r="L62" s="156">
        <f>IF('AW Schulen'!$O200=0,"x",G62/'AW Schulen'!$O200)</f>
        <v>0</v>
      </c>
    </row>
    <row r="63" spans="1:12" ht="9" customHeight="1">
      <c r="A63" s="21" t="s">
        <v>95</v>
      </c>
      <c r="B63" s="120"/>
      <c r="C63" s="23">
        <f>[61]GtS!$G$59</f>
        <v>0</v>
      </c>
      <c r="D63" s="23">
        <f>[62]GtS!$G$63</f>
        <v>0</v>
      </c>
      <c r="E63" s="23">
        <f>[63]GtS!$G$63</f>
        <v>0</v>
      </c>
      <c r="F63" s="23">
        <f>[64]GtS!$G$63</f>
        <v>0</v>
      </c>
      <c r="G63" s="34">
        <f>[65]GtS!$G$63</f>
        <v>0</v>
      </c>
      <c r="H63" s="155">
        <f>IF('AW Schulen'!$C201=0,"x",C63/'AW Schulen'!$C201)</f>
        <v>0</v>
      </c>
      <c r="I63" s="155">
        <f>IF('AW Schulen'!$F201=0,"x",D63/'AW Schulen'!$F201)</f>
        <v>0</v>
      </c>
      <c r="J63" s="155">
        <f>IF('AW Schulen'!$I201=0,"x",E63/'AW Schulen'!$I201)</f>
        <v>0</v>
      </c>
      <c r="K63" s="155">
        <f>IF('AW Schulen'!$L201=0,"x",F63/'AW Schulen'!$L201)</f>
        <v>0</v>
      </c>
      <c r="L63" s="156">
        <f>IF('AW Schulen'!$O201=0,"x",G63/'AW Schulen'!$O201)</f>
        <v>0</v>
      </c>
    </row>
    <row r="64" spans="1:12" ht="8.65" customHeight="1">
      <c r="A64" s="21" t="s">
        <v>96</v>
      </c>
      <c r="B64" s="120"/>
      <c r="C64" s="23">
        <f t="shared" ref="C64:E64" si="37">SUM(C48:C63)</f>
        <v>22</v>
      </c>
      <c r="D64" s="23">
        <f t="shared" si="37"/>
        <v>21</v>
      </c>
      <c r="E64" s="23">
        <f t="shared" si="37"/>
        <v>24</v>
      </c>
      <c r="F64" s="23">
        <f t="shared" ref="F64:G64" si="38">SUM(F48:F63)</f>
        <v>22</v>
      </c>
      <c r="G64" s="34">
        <f t="shared" si="38"/>
        <v>23</v>
      </c>
      <c r="H64" s="155">
        <f>IF('AW Schulen'!$C202=0,"x",C64/'AW Schulen'!$C202)</f>
        <v>3.949730700179533E-2</v>
      </c>
      <c r="I64" s="155">
        <f>IF('AW Schulen'!$F202=0,"x",D64/'AW Schulen'!$F202)</f>
        <v>3.8391224862888484E-2</v>
      </c>
      <c r="J64" s="155">
        <f>IF('AW Schulen'!$I202=0,"x",E64/'AW Schulen'!$I202)</f>
        <v>4.3557168784029036E-2</v>
      </c>
      <c r="K64" s="155">
        <f>IF('AW Schulen'!$L202=0,"x",F64/'AW Schulen'!$L202)</f>
        <v>3.8394415357766144E-2</v>
      </c>
      <c r="L64" s="156">
        <f>IF('AW Schulen'!$O202=0,"x",G64/'AW Schulen'!$O202)</f>
        <v>4.0780141843971635E-2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[1]GtS!$H$59</f>
        <v>1</v>
      </c>
      <c r="D66" s="23">
        <f>[2]GtS!$H$63</f>
        <v>1</v>
      </c>
      <c r="E66" s="23">
        <f>[3]GtS!$H$63</f>
        <v>1</v>
      </c>
      <c r="F66" s="23">
        <f>[4]GtS!$H$63</f>
        <v>1</v>
      </c>
      <c r="G66" s="34">
        <f>[5]GtS!$H$63</f>
        <v>1</v>
      </c>
      <c r="H66" s="155">
        <f>IF('AW Schulen'!$C186=0,"x",C66/'AW Schulen'!$C186)</f>
        <v>6.41025641025641E-3</v>
      </c>
      <c r="I66" s="155">
        <f>IF('AW Schulen'!$F186=0,"x",D66/'AW Schulen'!$F186)</f>
        <v>6.4935064935064939E-3</v>
      </c>
      <c r="J66" s="155">
        <f>IF('AW Schulen'!$I186=0,"x",E66/'AW Schulen'!$I186)</f>
        <v>6.4516129032258064E-3</v>
      </c>
      <c r="K66" s="155">
        <f>IF('AW Schulen'!$L186=0,"x",F66/'AW Schulen'!$L186)</f>
        <v>6.5359477124183009E-3</v>
      </c>
      <c r="L66" s="156">
        <f>IF('AW Schulen'!$O186=0,"x",G66/'AW Schulen'!$O186)</f>
        <v>6.4935064935064939E-3</v>
      </c>
    </row>
    <row r="67" spans="1:12" ht="10.15" customHeight="1">
      <c r="A67" s="224" t="s">
        <v>81</v>
      </c>
      <c r="B67" s="120"/>
      <c r="C67" s="23">
        <f>[6]GtS!$H$59</f>
        <v>115</v>
      </c>
      <c r="D67" s="23">
        <f>[7]GtS!$H$63</f>
        <v>118</v>
      </c>
      <c r="E67" s="23">
        <f>[8]GtS!$H$63</f>
        <v>131</v>
      </c>
      <c r="F67" s="23">
        <f>[9]GtS!$H$63</f>
        <v>135</v>
      </c>
      <c r="G67" s="34">
        <f>[10]GtS!$H$63</f>
        <v>138</v>
      </c>
      <c r="H67" s="155">
        <f>IF('AW Schulen'!$C187=0,"x",C67/'AW Schulen'!$C187)</f>
        <v>0.59895833333333337</v>
      </c>
      <c r="I67" s="155">
        <f>IF('AW Schulen'!$F187=0,"x",D67/'AW Schulen'!$F187)</f>
        <v>0.61458333333333337</v>
      </c>
      <c r="J67" s="155">
        <f>IF('AW Schulen'!$I187=0,"x",E67/'AW Schulen'!$I187)</f>
        <v>0.68229166666666663</v>
      </c>
      <c r="K67" s="155">
        <f>IF('AW Schulen'!$L187=0,"x",F67/'AW Schulen'!$L187)</f>
        <v>0.69948186528497414</v>
      </c>
      <c r="L67" s="156">
        <f>IF('AW Schulen'!$O187=0,"x",G67/'AW Schulen'!$O187)</f>
        <v>0.71502590673575128</v>
      </c>
    </row>
    <row r="68" spans="1:12" ht="10.15" customHeight="1">
      <c r="A68" s="224" t="s">
        <v>82</v>
      </c>
      <c r="B68" s="120"/>
      <c r="C68" s="23">
        <f>[11]GtS!$H$59</f>
        <v>0</v>
      </c>
      <c r="D68" s="23">
        <f>[12]GtS!$H$63</f>
        <v>0</v>
      </c>
      <c r="E68" s="23">
        <f>[13]GtS!$H$63</f>
        <v>1</v>
      </c>
      <c r="F68" s="23">
        <f>[14]GtS!$H$63</f>
        <v>2</v>
      </c>
      <c r="G68" s="34">
        <f>[15]GtS!$H$63</f>
        <v>0</v>
      </c>
      <c r="H68" s="155">
        <f>IF('AW Schulen'!$C188=0,"x",C68/'AW Schulen'!$C188)</f>
        <v>0</v>
      </c>
      <c r="I68" s="155">
        <f>IF('AW Schulen'!$F188=0,"x",D68/'AW Schulen'!$F188)</f>
        <v>0</v>
      </c>
      <c r="J68" s="155">
        <f>IF('AW Schulen'!$I188=0,"x",E68/'AW Schulen'!$I188)</f>
        <v>0.1111111111111111</v>
      </c>
      <c r="K68" s="155">
        <f>IF('AW Schulen'!$L188=0,"x",F68/'AW Schulen'!$L188)</f>
        <v>0.22222222222222221</v>
      </c>
      <c r="L68" s="156">
        <f>IF('AW Schulen'!$O188=0,"x",G68/'AW Schulen'!$O188)</f>
        <v>0</v>
      </c>
    </row>
    <row r="69" spans="1:12" ht="9" customHeight="1">
      <c r="A69" s="21" t="s">
        <v>83</v>
      </c>
      <c r="B69" s="120"/>
      <c r="C69" s="23">
        <f>[16]GtS!$H$59</f>
        <v>0</v>
      </c>
      <c r="D69" s="23">
        <f>[17]GtS!$H$63</f>
        <v>0</v>
      </c>
      <c r="E69" s="23">
        <f>[18]GtS!$H$63</f>
        <v>0</v>
      </c>
      <c r="F69" s="23">
        <f>[19]GtS!$H$63</f>
        <v>0</v>
      </c>
      <c r="G69" s="34">
        <f>[20]GtS!$H$63</f>
        <v>0</v>
      </c>
      <c r="H69" s="155">
        <f>IF('AW Schulen'!$C189=0,"x",C69/'AW Schulen'!$C189)</f>
        <v>0</v>
      </c>
      <c r="I69" s="155">
        <f>IF('AW Schulen'!$F189=0,"x",D69/'AW Schulen'!$F189)</f>
        <v>0</v>
      </c>
      <c r="J69" s="155">
        <f>IF('AW Schulen'!$I189=0,"x",E69/'AW Schulen'!$I189)</f>
        <v>0</v>
      </c>
      <c r="K69" s="155">
        <f>IF('AW Schulen'!$L189=0,"x",F69/'AW Schulen'!$L189)</f>
        <v>0</v>
      </c>
      <c r="L69" s="156">
        <f>IF('AW Schulen'!$O189=0,"x",G69/'AW Schulen'!$O189)</f>
        <v>0</v>
      </c>
    </row>
    <row r="70" spans="1:12" ht="9" customHeight="1">
      <c r="A70" s="21" t="s">
        <v>84</v>
      </c>
      <c r="B70" s="120"/>
      <c r="C70" s="23">
        <f>[21]GtS!$H$59</f>
        <v>1</v>
      </c>
      <c r="D70" s="23">
        <f>[22]GtS!$H$63</f>
        <v>0</v>
      </c>
      <c r="E70" s="23">
        <f>[23]GtS!$H$63</f>
        <v>0</v>
      </c>
      <c r="F70" s="23">
        <f>[24]GtS!$H$63</f>
        <v>0</v>
      </c>
      <c r="G70" s="34">
        <f>[25]GtS!$H$63</f>
        <v>0</v>
      </c>
      <c r="H70" s="155">
        <f>IF('AW Schulen'!$C190=0,"x",C70/'AW Schulen'!$C190)</f>
        <v>1</v>
      </c>
      <c r="I70" s="155">
        <f>IF('AW Schulen'!$F190=0,"x",D70/'AW Schulen'!$F190)</f>
        <v>0</v>
      </c>
      <c r="J70" s="155">
        <f>IF('AW Schulen'!$I190=0,"x",E70/'AW Schulen'!$I190)</f>
        <v>0</v>
      </c>
      <c r="K70" s="155">
        <f>IF('AW Schulen'!$L190=0,"x",F70/'AW Schulen'!$L190)</f>
        <v>0</v>
      </c>
      <c r="L70" s="156">
        <f>IF('AW Schulen'!$O190=0,"x",G70/'AW Schulen'!$O190)</f>
        <v>0</v>
      </c>
    </row>
    <row r="71" spans="1:12" ht="9" customHeight="1">
      <c r="A71" s="21" t="s">
        <v>85</v>
      </c>
      <c r="B71" s="120"/>
      <c r="C71" s="23">
        <f>[26]GtS!$H$59</f>
        <v>0</v>
      </c>
      <c r="D71" s="23">
        <f>[27]GtS!$H$63</f>
        <v>0</v>
      </c>
      <c r="E71" s="23">
        <f>[28]GtS!$H$63</f>
        <v>0</v>
      </c>
      <c r="F71" s="23">
        <f>[29]GtS!$H$63</f>
        <v>0</v>
      </c>
      <c r="G71" s="34">
        <f>[30]GtS!$H$63</f>
        <v>0</v>
      </c>
      <c r="H71" s="155">
        <f>IF('AW Schulen'!$C191=0,"x",C71/'AW Schulen'!$C191)</f>
        <v>0</v>
      </c>
      <c r="I71" s="155">
        <f>IF('AW Schulen'!$F191=0,"x",D71/'AW Schulen'!$F191)</f>
        <v>0</v>
      </c>
      <c r="J71" s="155">
        <f>IF('AW Schulen'!$I191=0,"x",E71/'AW Schulen'!$I191)</f>
        <v>0</v>
      </c>
      <c r="K71" s="155">
        <f>IF('AW Schulen'!$L191=0,"x",F71/'AW Schulen'!$L191)</f>
        <v>0</v>
      </c>
      <c r="L71" s="156">
        <f>IF('AW Schulen'!$O191=0,"x",G71/'AW Schulen'!$O191)</f>
        <v>0</v>
      </c>
    </row>
    <row r="72" spans="1:12" ht="9" customHeight="1">
      <c r="A72" s="21" t="s">
        <v>86</v>
      </c>
      <c r="B72" s="120"/>
      <c r="C72" s="35">
        <f>[66]GtS!$H$59</f>
        <v>0</v>
      </c>
      <c r="D72" s="35">
        <f>[67]GtS!$H$63</f>
        <v>0</v>
      </c>
      <c r="E72" s="35">
        <f>[68]GtS!$H$63</f>
        <v>0</v>
      </c>
      <c r="F72" s="35">
        <f>[69]GtS!$H$63</f>
        <v>0</v>
      </c>
      <c r="G72" s="200">
        <f>[70]GtS!$H$63</f>
        <v>0</v>
      </c>
      <c r="H72" s="35">
        <f>IF('AW Schulen'!$C192=0,"x",C72/'AW Schulen'!$C192)</f>
        <v>0</v>
      </c>
      <c r="I72" s="57" t="str">
        <f>IF('AW Schulen'!$F246=0,".",D72/'AW Schulen'!$F246)</f>
        <v>.</v>
      </c>
      <c r="J72" s="57" t="str">
        <f>IF('AW Schulen'!$I246=0,".",E72/'AW Schulen'!$I246)</f>
        <v>.</v>
      </c>
      <c r="K72" s="57" t="str">
        <f>IF('AW Schulen'!$L246=0,".",F72/'AW Schulen'!$L246)</f>
        <v>.</v>
      </c>
      <c r="L72" s="195" t="str">
        <f>IF('AW Schulen'!$O246=0,".",G72/'AW Schulen'!$O246)</f>
        <v>.</v>
      </c>
    </row>
    <row r="73" spans="1:12" ht="9" customHeight="1">
      <c r="A73" s="21" t="s">
        <v>176</v>
      </c>
      <c r="B73" s="120"/>
      <c r="C73" s="23">
        <f>[31]GtS!$H$59</f>
        <v>1</v>
      </c>
      <c r="D73" s="23">
        <f>[32]GtS!$H$63</f>
        <v>1</v>
      </c>
      <c r="E73" s="23">
        <f>[33]GtS!$H$63</f>
        <v>1</v>
      </c>
      <c r="F73" s="23">
        <f>[34]GtS!$H$63</f>
        <v>1</v>
      </c>
      <c r="G73" s="34">
        <f>[35]GtS!$H$63</f>
        <v>0</v>
      </c>
      <c r="H73" s="155">
        <f>IF('AW Schulen'!$C193=0,"x",C73/'AW Schulen'!$C193)</f>
        <v>9.0909090909090912E-2</v>
      </c>
      <c r="I73" s="155">
        <f>IF('AW Schulen'!$F193=0,"x",D73/'AW Schulen'!$F193)</f>
        <v>9.0909090909090912E-2</v>
      </c>
      <c r="J73" s="155">
        <f>IF('AW Schulen'!$I193=0,"x",E73/'AW Schulen'!$I193)</f>
        <v>9.0909090909090912E-2</v>
      </c>
      <c r="K73" s="155">
        <f>IF('AW Schulen'!$L193=0,"x",F73/'AW Schulen'!$L193)</f>
        <v>9.0909090909090912E-2</v>
      </c>
      <c r="L73" s="156">
        <f>IF('AW Schulen'!$O193=0,"x",G73/'AW Schulen'!$O193)</f>
        <v>0</v>
      </c>
    </row>
    <row r="74" spans="1:12" ht="9" customHeight="1">
      <c r="A74" s="21" t="s">
        <v>88</v>
      </c>
      <c r="B74" s="120"/>
      <c r="C74" s="35">
        <f>[71]GtS!$H$59</f>
        <v>0</v>
      </c>
      <c r="D74" s="35">
        <f>[72]GtS!$H$63</f>
        <v>0</v>
      </c>
      <c r="E74" s="35">
        <f>[73]GtS!$H$63</f>
        <v>0</v>
      </c>
      <c r="F74" s="35">
        <f>[74]GtS!$H$63</f>
        <v>0</v>
      </c>
      <c r="G74" s="200">
        <f>[75]GtS!$H$63</f>
        <v>0</v>
      </c>
      <c r="H74" s="35">
        <f>IF('AW Schulen'!$C194=0,"x",C74/'AW Schulen'!$C194)</f>
        <v>0</v>
      </c>
      <c r="I74" s="35">
        <f>IF('AW Schulen'!$F194=0,"x",D74/'AW Schulen'!$F194)</f>
        <v>0</v>
      </c>
      <c r="J74" s="35">
        <f>IF('AW Schulen'!$I194=0,"x",E74/'AW Schulen'!$I194)</f>
        <v>0</v>
      </c>
      <c r="K74" s="35">
        <f>IF('AW Schulen'!$L194=0,"x",F74/'AW Schulen'!$L194)</f>
        <v>0</v>
      </c>
      <c r="L74" s="200">
        <f>IF('AW Schulen'!$O194=0,"x",G74/'AW Schulen'!$O194)</f>
        <v>0</v>
      </c>
    </row>
    <row r="75" spans="1:12" ht="9" customHeight="1">
      <c r="A75" s="21" t="s">
        <v>89</v>
      </c>
      <c r="B75" s="120"/>
      <c r="C75" s="23">
        <f>[36]GtS!$H$59</f>
        <v>2</v>
      </c>
      <c r="D75" s="23">
        <f>[37]GtS!$H$63</f>
        <v>3</v>
      </c>
      <c r="E75" s="23">
        <f>[38]GtS!$H$63</f>
        <v>4</v>
      </c>
      <c r="F75" s="23">
        <f>[39]GtS!$H$63</f>
        <v>12</v>
      </c>
      <c r="G75" s="34">
        <f>[40]GtS!$H$63</f>
        <v>13</v>
      </c>
      <c r="H75" s="155">
        <f>IF('AW Schulen'!$C195=0,"x",C75/'AW Schulen'!$C195)</f>
        <v>2.3529411764705882E-2</v>
      </c>
      <c r="I75" s="155">
        <f>IF('AW Schulen'!$F195=0,"x",D75/'AW Schulen'!$F195)</f>
        <v>0.04</v>
      </c>
      <c r="J75" s="155">
        <f>IF('AW Schulen'!$I195=0,"x",E75/'AW Schulen'!$I195)</f>
        <v>5.4054054054054057E-2</v>
      </c>
      <c r="K75" s="155">
        <f>IF('AW Schulen'!$L195=0,"x",F75/'AW Schulen'!$L195)</f>
        <v>0.1348314606741573</v>
      </c>
      <c r="L75" s="156">
        <f>IF('AW Schulen'!$O195=0,"x",G75/'AW Schulen'!$O195)</f>
        <v>0.14130434782608695</v>
      </c>
    </row>
    <row r="76" spans="1:12" ht="9" customHeight="1">
      <c r="A76" s="21" t="s">
        <v>90</v>
      </c>
      <c r="B76" s="120"/>
      <c r="C76" s="23">
        <f>[41]GtS!$H$59</f>
        <v>0</v>
      </c>
      <c r="D76" s="23">
        <f>[42]GtS!$H$63</f>
        <v>0</v>
      </c>
      <c r="E76" s="23">
        <f>[43]GtS!$H$63</f>
        <v>0</v>
      </c>
      <c r="F76" s="23">
        <f>[44]GtS!$H$63</f>
        <v>0</v>
      </c>
      <c r="G76" s="34">
        <f>[45]GtS!$H$63</f>
        <v>0</v>
      </c>
      <c r="H76" s="155">
        <f>IF('AW Schulen'!$C196=0,"x",C76/'AW Schulen'!$C196)</f>
        <v>0</v>
      </c>
      <c r="I76" s="155">
        <f>IF('AW Schulen'!$F196=0,"x",D76/'AW Schulen'!$F196)</f>
        <v>0</v>
      </c>
      <c r="J76" s="155">
        <f>IF('AW Schulen'!$I196=0,"x",E76/'AW Schulen'!$I196)</f>
        <v>0</v>
      </c>
      <c r="K76" s="155">
        <f>IF('AW Schulen'!$L196=0,"x",F76/'AW Schulen'!$L196)</f>
        <v>0</v>
      </c>
      <c r="L76" s="156">
        <f>IF('AW Schulen'!$O196=0,"x",G76/'AW Schulen'!$O196)</f>
        <v>0</v>
      </c>
    </row>
    <row r="77" spans="1:12" ht="9" customHeight="1">
      <c r="A77" s="21" t="s">
        <v>91</v>
      </c>
      <c r="B77" s="120"/>
      <c r="C77" s="23">
        <f>[46]GtS!$H$59</f>
        <v>0</v>
      </c>
      <c r="D77" s="23">
        <f>[47]GtS!$H$63</f>
        <v>0</v>
      </c>
      <c r="E77" s="23">
        <f>[48]GtS!$H$63</f>
        <v>0</v>
      </c>
      <c r="F77" s="23">
        <f>[49]GtS!$H$63</f>
        <v>0</v>
      </c>
      <c r="G77" s="34">
        <f>[50]GtS!$H$63</f>
        <v>0</v>
      </c>
      <c r="H77" s="155">
        <f>IF('AW Schulen'!$C197=0,"x",C77/'AW Schulen'!$C197)</f>
        <v>0</v>
      </c>
      <c r="I77" s="155">
        <f>IF('AW Schulen'!$F197=0,"x",D77/'AW Schulen'!$F197)</f>
        <v>0</v>
      </c>
      <c r="J77" s="155">
        <f>IF('AW Schulen'!$I197=0,"x",E77/'AW Schulen'!$I197)</f>
        <v>0</v>
      </c>
      <c r="K77" s="155">
        <f>IF('AW Schulen'!$L197=0,"x",F77/'AW Schulen'!$L197)</f>
        <v>0</v>
      </c>
      <c r="L77" s="156">
        <f>IF('AW Schulen'!$O197=0,"x",G77/'AW Schulen'!$O197)</f>
        <v>0</v>
      </c>
    </row>
    <row r="78" spans="1:12" ht="9" customHeight="1">
      <c r="A78" s="21" t="s">
        <v>92</v>
      </c>
      <c r="B78" s="120"/>
      <c r="C78" s="23">
        <f>[51]GtS!$H$59</f>
        <v>0</v>
      </c>
      <c r="D78" s="23">
        <f>[52]GtS!$H$63</f>
        <v>0</v>
      </c>
      <c r="E78" s="23">
        <f>[53]GtS!$H$63</f>
        <v>0</v>
      </c>
      <c r="F78" s="23">
        <f>[54]GtS!$H$63</f>
        <v>0</v>
      </c>
      <c r="G78" s="34">
        <f>[55]GtS!$H$63</f>
        <v>0</v>
      </c>
      <c r="H78" s="155">
        <f>IF('AW Schulen'!$C198=0,"x",C78/'AW Schulen'!$C198)</f>
        <v>0</v>
      </c>
      <c r="I78" s="155">
        <f>IF('AW Schulen'!$F198=0,"x",D78/'AW Schulen'!$F198)</f>
        <v>0</v>
      </c>
      <c r="J78" s="155">
        <f>IF('AW Schulen'!$I198=0,"x",E78/'AW Schulen'!$I198)</f>
        <v>0</v>
      </c>
      <c r="K78" s="155">
        <f>IF('AW Schulen'!$L198=0,"x",F78/'AW Schulen'!$L198)</f>
        <v>0</v>
      </c>
      <c r="L78" s="156">
        <f>IF('AW Schulen'!$O198=0,"x",G78/'AW Schulen'!$O198)</f>
        <v>0</v>
      </c>
    </row>
    <row r="79" spans="1:12" ht="9" customHeight="1">
      <c r="A79" s="21" t="s">
        <v>93</v>
      </c>
      <c r="B79" s="120"/>
      <c r="C79" s="36">
        <f>[76]GtS!$H$59</f>
        <v>0</v>
      </c>
      <c r="D79" s="36">
        <f>[77]GtS!$H$63</f>
        <v>0</v>
      </c>
      <c r="E79" s="36">
        <f>[78]GtS!$H$63</f>
        <v>0</v>
      </c>
      <c r="F79" s="36">
        <f>[79]GtS!$H$63</f>
        <v>0</v>
      </c>
      <c r="G79" s="37">
        <f>[80]GtS!$H$63</f>
        <v>0</v>
      </c>
      <c r="H79" s="57">
        <v>0</v>
      </c>
      <c r="I79" s="57">
        <v>0</v>
      </c>
      <c r="J79" s="57">
        <v>0</v>
      </c>
      <c r="K79" s="57">
        <v>0</v>
      </c>
      <c r="L79" s="195">
        <v>0</v>
      </c>
    </row>
    <row r="80" spans="1:12" ht="9" customHeight="1">
      <c r="A80" s="21" t="s">
        <v>94</v>
      </c>
      <c r="B80" s="120"/>
      <c r="C80" s="36">
        <f>[56]GtS!$H$59</f>
        <v>5</v>
      </c>
      <c r="D80" s="36">
        <f>[57]GtS!$H$63</f>
        <v>5</v>
      </c>
      <c r="E80" s="36">
        <f>[58]GtS!$H$63</f>
        <v>8</v>
      </c>
      <c r="F80" s="36">
        <f>[59]GtS!$H$63</f>
        <v>9</v>
      </c>
      <c r="G80" s="37">
        <f>[60]GtS!$H$63</f>
        <v>8</v>
      </c>
      <c r="H80" s="155">
        <f>IF('AW Schulen'!$C200=0,"x",C80/'AW Schulen'!$C200)</f>
        <v>0.33333333333333331</v>
      </c>
      <c r="I80" s="155">
        <f>IF('AW Schulen'!$F200=0,"x",D80/'AW Schulen'!$F200)</f>
        <v>0.3125</v>
      </c>
      <c r="J80" s="155">
        <f>IF('AW Schulen'!$I200=0,"x",E80/'AW Schulen'!$I200)</f>
        <v>0.38095238095238093</v>
      </c>
      <c r="K80" s="155">
        <f>IF('AW Schulen'!$L200=0,"x",F80/'AW Schulen'!$L200)</f>
        <v>0.32142857142857145</v>
      </c>
      <c r="L80" s="156">
        <f>IF('AW Schulen'!$O200=0,"x",G80/'AW Schulen'!$O200)</f>
        <v>0.53333333333333333</v>
      </c>
    </row>
    <row r="81" spans="1:12" ht="9" customHeight="1">
      <c r="A81" s="21" t="s">
        <v>95</v>
      </c>
      <c r="B81" s="120"/>
      <c r="C81" s="23">
        <f>[61]GtS!$H$59</f>
        <v>0</v>
      </c>
      <c r="D81" s="23">
        <f>[62]GtS!$H$63</f>
        <v>0</v>
      </c>
      <c r="E81" s="23">
        <f>[63]GtS!$H$63</f>
        <v>0</v>
      </c>
      <c r="F81" s="23">
        <f>[64]GtS!$H$63</f>
        <v>0</v>
      </c>
      <c r="G81" s="34">
        <f>[65]GtS!$H$63</f>
        <v>0</v>
      </c>
      <c r="H81" s="155">
        <f>IF('AW Schulen'!$C201=0,"x",C81/'AW Schulen'!$C201)</f>
        <v>0</v>
      </c>
      <c r="I81" s="155">
        <f>IF('AW Schulen'!$F201=0,"x",D81/'AW Schulen'!$F201)</f>
        <v>0</v>
      </c>
      <c r="J81" s="155">
        <f>IF('AW Schulen'!$I201=0,"x",E81/'AW Schulen'!$I201)</f>
        <v>0</v>
      </c>
      <c r="K81" s="155">
        <f>IF('AW Schulen'!$L201=0,"x",F81/'AW Schulen'!$L201)</f>
        <v>0</v>
      </c>
      <c r="L81" s="156">
        <f>IF('AW Schulen'!$O201=0,"x",G81/'AW Schulen'!$O201)</f>
        <v>0</v>
      </c>
    </row>
    <row r="82" spans="1:12" ht="9" customHeight="1">
      <c r="A82" s="24" t="s">
        <v>96</v>
      </c>
      <c r="B82" s="121"/>
      <c r="C82" s="26">
        <f t="shared" ref="C82:E82" si="39">SUM(C66:C81)</f>
        <v>125</v>
      </c>
      <c r="D82" s="26">
        <f t="shared" si="39"/>
        <v>128</v>
      </c>
      <c r="E82" s="26">
        <f t="shared" si="39"/>
        <v>146</v>
      </c>
      <c r="F82" s="26">
        <f t="shared" ref="F82:G82" si="40">SUM(F66:F81)</f>
        <v>160</v>
      </c>
      <c r="G82" s="47">
        <f t="shared" si="40"/>
        <v>160</v>
      </c>
      <c r="H82" s="157">
        <f>IF('AW Schulen'!$C202=0,"x",C82/'AW Schulen'!$C202)</f>
        <v>0.2244165170556553</v>
      </c>
      <c r="I82" s="157">
        <f>IF('AW Schulen'!$F202=0,"x",D82/'AW Schulen'!$F202)</f>
        <v>0.2340036563071298</v>
      </c>
      <c r="J82" s="157">
        <f>IF('AW Schulen'!$I202=0,"x",E82/'AW Schulen'!$I202)</f>
        <v>0.26497277676950998</v>
      </c>
      <c r="K82" s="157">
        <f>IF('AW Schulen'!$L202=0,"x",F82/'AW Schulen'!$L202)</f>
        <v>0.27923211169284468</v>
      </c>
      <c r="L82" s="158">
        <f>IF('AW Schulen'!$O202=0,"x",G82/'AW Schulen'!$O202)</f>
        <v>0.28368794326241137</v>
      </c>
    </row>
    <row r="83" spans="1:12" ht="19.5" customHeight="1">
      <c r="A83" s="396" t="s">
        <v>312</v>
      </c>
      <c r="B83" s="396"/>
      <c r="C83" s="396"/>
      <c r="D83" s="396"/>
      <c r="E83" s="396"/>
      <c r="F83" s="396"/>
      <c r="G83" s="396"/>
      <c r="H83" s="396"/>
      <c r="I83" s="396"/>
      <c r="J83" s="396"/>
      <c r="K83" s="396"/>
      <c r="L83" s="396"/>
    </row>
    <row r="84" spans="1:12" ht="10.15" customHeight="1">
      <c r="A84" s="220" t="s">
        <v>166</v>
      </c>
      <c r="B84" s="38"/>
      <c r="C84" s="38"/>
      <c r="D84" s="38"/>
      <c r="E84" s="38"/>
      <c r="F84" s="38"/>
      <c r="G84" s="38"/>
    </row>
    <row r="85" spans="1:12" ht="9.4" customHeight="1">
      <c r="A85" s="220" t="s">
        <v>220</v>
      </c>
    </row>
  </sheetData>
  <mergeCells count="8">
    <mergeCell ref="A83:L83"/>
    <mergeCell ref="A1:L1"/>
    <mergeCell ref="A47:L47"/>
    <mergeCell ref="A65:L65"/>
    <mergeCell ref="C9:G9"/>
    <mergeCell ref="H9:L9"/>
    <mergeCell ref="A11:L11"/>
    <mergeCell ref="A29:L29"/>
  </mergeCells>
  <phoneticPr fontId="18" type="noConversion"/>
  <conditionalFormatting sqref="M25">
    <cfRule type="cellIs" dxfId="36"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M84"/>
  <sheetViews>
    <sheetView view="pageBreakPreview"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'2.3.9'!A1:E1+1</f>
        <v>35</v>
      </c>
      <c r="B1" s="383"/>
      <c r="C1" s="383"/>
      <c r="D1" s="383"/>
      <c r="E1" s="383"/>
      <c r="F1" s="383"/>
      <c r="G1" s="383"/>
      <c r="H1" s="383"/>
      <c r="I1" s="383"/>
      <c r="J1" s="383"/>
      <c r="K1" s="383"/>
      <c r="L1" s="383"/>
      <c r="M1" s="58" t="s">
        <v>108</v>
      </c>
    </row>
    <row r="2" spans="1:13" ht="2.25"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2.6" customHeight="1">
      <c r="A5" s="13" t="s">
        <v>39</v>
      </c>
      <c r="B5" s="39" t="s">
        <v>248</v>
      </c>
      <c r="C5" s="14"/>
      <c r="D5" s="14"/>
      <c r="E5" s="14"/>
      <c r="F5" s="14"/>
      <c r="G5" s="14"/>
      <c r="H5" s="14"/>
      <c r="I5" s="14"/>
      <c r="J5" s="14"/>
      <c r="K5" s="14"/>
      <c r="L5" s="14"/>
    </row>
    <row r="6" spans="1:13" s="3" customFormat="1" ht="2.25" customHeight="1">
      <c r="A6" s="40"/>
      <c r="B6" s="39"/>
      <c r="C6" s="41"/>
      <c r="D6" s="41"/>
      <c r="E6" s="41"/>
      <c r="F6" s="41"/>
      <c r="G6" s="41"/>
      <c r="H6" s="41"/>
      <c r="I6" s="41"/>
      <c r="J6" s="41"/>
      <c r="K6" s="41"/>
      <c r="L6" s="41"/>
    </row>
    <row r="7" spans="1:13" s="3" customFormat="1" ht="2.25" customHeight="1">
      <c r="A7" s="40"/>
      <c r="B7" s="39"/>
      <c r="C7" s="41"/>
      <c r="D7" s="41"/>
      <c r="E7" s="41"/>
      <c r="F7" s="41"/>
      <c r="G7" s="41"/>
      <c r="H7" s="41"/>
      <c r="I7" s="41"/>
      <c r="J7" s="41"/>
      <c r="K7" s="41"/>
      <c r="L7" s="41"/>
    </row>
    <row r="8" spans="1:13" ht="4.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42">
        <f t="shared" ref="C12:C28" si="0">SUM(C30+C48)</f>
        <v>197717</v>
      </c>
      <c r="D12" s="42">
        <f t="shared" ref="D12:E12" si="1">SUM(D30+D48)</f>
        <v>203806</v>
      </c>
      <c r="E12" s="42">
        <f t="shared" si="1"/>
        <v>216424</v>
      </c>
      <c r="F12" s="42">
        <f t="shared" ref="F12:G12" si="2">SUM(F30+F48)</f>
        <v>237945</v>
      </c>
      <c r="G12" s="44">
        <f t="shared" si="2"/>
        <v>256487</v>
      </c>
      <c r="H12" s="50">
        <f>IF('AW Schüler'!$D204=0,"x",'3.1.1'!C12/'AW Schüler'!$D204)</f>
        <v>0.18937720657677212</v>
      </c>
      <c r="I12" s="50">
        <f>IF('AW Schüler'!$G204=0,"x",'3.1.1'!D12/'AW Schüler'!$G204)</f>
        <v>0.19879827153990967</v>
      </c>
      <c r="J12" s="50">
        <f>IF('AW Schüler'!$J204=0,"x",'3.1.1'!E12/'AW Schüler'!$J204)</f>
        <v>0.21363246458526436</v>
      </c>
      <c r="K12" s="50">
        <f>IF('AW Schüler'!$M204=0,"x",'3.1.1'!F12/'AW Schüler'!$M204)</f>
        <v>0.23728581999206205</v>
      </c>
      <c r="L12" s="51">
        <f>IF('AW Schüler'!$P204=0,"x",'3.1.1'!G12/'AW Schüler'!$P204)</f>
        <v>0.25590941245608662</v>
      </c>
    </row>
    <row r="13" spans="1:13" ht="9" customHeight="1">
      <c r="A13" s="21" t="s">
        <v>81</v>
      </c>
      <c r="B13" s="120"/>
      <c r="C13" s="42">
        <f t="shared" si="0"/>
        <v>147561</v>
      </c>
      <c r="D13" s="42">
        <f t="shared" ref="D13:E13" si="3">SUM(D31+D49)</f>
        <v>165540</v>
      </c>
      <c r="E13" s="42">
        <f t="shared" si="3"/>
        <v>173083</v>
      </c>
      <c r="F13" s="42">
        <f t="shared" ref="F13:G13" si="4">SUM(F31+F49)</f>
        <v>183867</v>
      </c>
      <c r="G13" s="44">
        <f t="shared" si="4"/>
        <v>252917</v>
      </c>
      <c r="H13" s="50">
        <f>IF('AW Schüler'!$D205=0,"x",'3.1.1'!C13/'AW Schüler'!$D205)</f>
        <v>0.12412371238082741</v>
      </c>
      <c r="I13" s="50">
        <f>IF('AW Schüler'!$G205=0,"x",'3.1.1'!D13/'AW Schüler'!$G205)</f>
        <v>0.14151874905427622</v>
      </c>
      <c r="J13" s="50">
        <f>IF('AW Schüler'!$J205=0,"x",'3.1.1'!E13/'AW Schüler'!$J205)</f>
        <v>0.14981948052285296</v>
      </c>
      <c r="K13" s="50">
        <f>IF('AW Schüler'!$M205=0,"x",'3.1.1'!F13/'AW Schüler'!$M205)</f>
        <v>0.16038768622572927</v>
      </c>
      <c r="L13" s="51">
        <f>IF('AW Schüler'!$P205=0,"x",'3.1.1'!G13/'AW Schüler'!$P205)</f>
        <v>0.2213707785705783</v>
      </c>
    </row>
    <row r="14" spans="1:13" ht="9" customHeight="1">
      <c r="A14" s="21" t="s">
        <v>82</v>
      </c>
      <c r="B14" s="120"/>
      <c r="C14" s="42">
        <f t="shared" si="0"/>
        <v>146397</v>
      </c>
      <c r="D14" s="42">
        <f t="shared" ref="D14:E14" si="5">SUM(D32+D50)</f>
        <v>180093</v>
      </c>
      <c r="E14" s="42">
        <f t="shared" si="5"/>
        <v>180629</v>
      </c>
      <c r="F14" s="42">
        <f t="shared" ref="F14:G14" si="6">SUM(F32+F50)</f>
        <v>187895</v>
      </c>
      <c r="G14" s="44">
        <f t="shared" si="6"/>
        <v>191819</v>
      </c>
      <c r="H14" s="50">
        <f>IF('AW Schüler'!$D206=0,"x",'3.1.1'!C14/'AW Schüler'!$D206)</f>
        <v>0.53144444041093408</v>
      </c>
      <c r="I14" s="50">
        <f>IF('AW Schüler'!$G206=0,"x",'3.1.1'!D14/'AW Schüler'!$G206)</f>
        <v>0.64662796083458107</v>
      </c>
      <c r="J14" s="50">
        <f>IF('AW Schüler'!$J206=0,"x",'3.1.1'!E14/'AW Schüler'!$J206)</f>
        <v>0.64175270551619756</v>
      </c>
      <c r="K14" s="50">
        <f>IF('AW Schüler'!$M206=0,"x",'3.1.1'!F14/'AW Schüler'!$M206)</f>
        <v>0.65807538473392591</v>
      </c>
      <c r="L14" s="51">
        <f>IF('AW Schüler'!$P206=0,"x",'3.1.1'!G14/'AW Schüler'!$P206)</f>
        <v>0.64784237171931414</v>
      </c>
    </row>
    <row r="15" spans="1:13" ht="9" customHeight="1">
      <c r="A15" s="21" t="s">
        <v>83</v>
      </c>
      <c r="B15" s="120"/>
      <c r="C15" s="42">
        <f t="shared" si="0"/>
        <v>90216</v>
      </c>
      <c r="D15" s="42">
        <f t="shared" ref="D15:E15" si="7">SUM(D33+D51)</f>
        <v>92801</v>
      </c>
      <c r="E15" s="42">
        <f t="shared" si="7"/>
        <v>94266</v>
      </c>
      <c r="F15" s="42">
        <f t="shared" ref="F15:G15" si="8">SUM(F33+F51)</f>
        <v>94815</v>
      </c>
      <c r="G15" s="44">
        <f t="shared" si="8"/>
        <v>99540</v>
      </c>
      <c r="H15" s="50">
        <f>IF('AW Schüler'!$D207=0,"x",'3.1.1'!C15/'AW Schüler'!$D207)</f>
        <v>0.46661597902152158</v>
      </c>
      <c r="I15" s="50">
        <f>IF('AW Schüler'!$G207=0,"x",'3.1.1'!D15/'AW Schüler'!$G207)</f>
        <v>0.47538573448353583</v>
      </c>
      <c r="J15" s="50">
        <f>IF('AW Schüler'!$J207=0,"x",'3.1.1'!E15/'AW Schüler'!$J207)</f>
        <v>0.47834492837461373</v>
      </c>
      <c r="K15" s="50">
        <f>IF('AW Schüler'!$M207=0,"x",'3.1.1'!F15/'AW Schüler'!$M207)</f>
        <v>0.47534416893104592</v>
      </c>
      <c r="L15" s="51">
        <f>IF('AW Schüler'!$P207=0,"x",'3.1.1'!G15/'AW Schüler'!$P207)</f>
        <v>0.4855183447307066</v>
      </c>
    </row>
    <row r="16" spans="1:13" ht="9" customHeight="1">
      <c r="A16" s="21" t="s">
        <v>84</v>
      </c>
      <c r="B16" s="120"/>
      <c r="C16" s="42">
        <f t="shared" si="0"/>
        <v>16991</v>
      </c>
      <c r="D16" s="42">
        <f t="shared" ref="D16:E16" si="9">SUM(D34+D52)</f>
        <v>17687</v>
      </c>
      <c r="E16" s="42">
        <f t="shared" si="9"/>
        <v>19033</v>
      </c>
      <c r="F16" s="42">
        <f t="shared" ref="F16:G16" si="10">SUM(F34+F52)</f>
        <v>20483</v>
      </c>
      <c r="G16" s="44">
        <f t="shared" si="10"/>
        <v>21166</v>
      </c>
      <c r="H16" s="50">
        <f>IF('AW Schüler'!$D208=0,"x",'3.1.1'!C16/'AW Schüler'!$D208)</f>
        <v>0.31204775022956843</v>
      </c>
      <c r="I16" s="50">
        <f>IF('AW Schüler'!$G208=0,"x",'3.1.1'!D16/'AW Schüler'!$G208)</f>
        <v>0.32920133266327917</v>
      </c>
      <c r="J16" s="50">
        <f>IF('AW Schüler'!$J208=0,"x",'3.1.1'!E16/'AW Schüler'!$J208)</f>
        <v>0.35420776417166039</v>
      </c>
      <c r="K16" s="50">
        <f>IF('AW Schüler'!$M208=0,"x",'3.1.1'!F16/'AW Schüler'!$M208)</f>
        <v>0.37624217042302677</v>
      </c>
      <c r="L16" s="51">
        <f>IF('AW Schüler'!$P208=0,"x",'3.1.1'!G16/'AW Schüler'!$P208)</f>
        <v>0.37698815566835869</v>
      </c>
    </row>
    <row r="17" spans="1:12" ht="9" customHeight="1">
      <c r="A17" s="21" t="s">
        <v>85</v>
      </c>
      <c r="B17" s="120"/>
      <c r="C17" s="42">
        <f t="shared" si="0"/>
        <v>89385</v>
      </c>
      <c r="D17" s="42">
        <f t="shared" ref="D17:E17" si="11">SUM(D35+D53)</f>
        <v>126722</v>
      </c>
      <c r="E17" s="42">
        <f t="shared" si="11"/>
        <v>129700</v>
      </c>
      <c r="F17" s="42">
        <f t="shared" ref="F17:G17" si="12">SUM(F35+F53)</f>
        <v>135900</v>
      </c>
      <c r="G17" s="44">
        <f t="shared" si="12"/>
        <v>140104</v>
      </c>
      <c r="H17" s="50">
        <f>IF('AW Schüler'!$D209=0,"x",'3.1.1'!C17/'AW Schüler'!$D209)</f>
        <v>0.61672048352376219</v>
      </c>
      <c r="I17" s="50">
        <f>IF('AW Schüler'!$G209=0,"x",'3.1.1'!D17/'AW Schüler'!$G209)</f>
        <v>0.86897667816415114</v>
      </c>
      <c r="J17" s="50">
        <f>IF('AW Schüler'!$J209=0,"x",'3.1.1'!E17/'AW Schüler'!$J209)</f>
        <v>0.88308186720409609</v>
      </c>
      <c r="K17" s="50">
        <f>IF('AW Schüler'!$M209=0,"x",'3.1.1'!F17/'AW Schüler'!$M209)</f>
        <v>0.915206982241348</v>
      </c>
      <c r="L17" s="51">
        <f>IF('AW Schüler'!$P209=0,"x",'3.1.1'!G17/'AW Schüler'!$P209)</f>
        <v>0.9262217050983711</v>
      </c>
    </row>
    <row r="18" spans="1:12" ht="9" customHeight="1">
      <c r="A18" s="21" t="s">
        <v>86</v>
      </c>
      <c r="B18" s="120"/>
      <c r="C18" s="42">
        <f t="shared" si="0"/>
        <v>217574</v>
      </c>
      <c r="D18" s="42">
        <f t="shared" ref="D18:E18" si="13">SUM(D36+D54)</f>
        <v>224060</v>
      </c>
      <c r="E18" s="42">
        <f t="shared" si="13"/>
        <v>230152</v>
      </c>
      <c r="F18" s="42">
        <f t="shared" ref="F18:G18" si="14">SUM(F36+F54)</f>
        <v>231626</v>
      </c>
      <c r="G18" s="44">
        <f t="shared" si="14"/>
        <v>253539</v>
      </c>
      <c r="H18" s="111">
        <v>0</v>
      </c>
      <c r="I18" s="111">
        <v>0</v>
      </c>
      <c r="J18" s="111">
        <v>0</v>
      </c>
      <c r="K18" s="111">
        <v>0</v>
      </c>
      <c r="L18" s="112">
        <v>0</v>
      </c>
    </row>
    <row r="19" spans="1:12" ht="9" customHeight="1">
      <c r="A19" s="21" t="s">
        <v>174</v>
      </c>
      <c r="B19" s="120"/>
      <c r="C19" s="42">
        <f t="shared" si="0"/>
        <v>49476</v>
      </c>
      <c r="D19" s="42">
        <f t="shared" ref="D19:E19" si="15">SUM(D37+D55)</f>
        <v>48751</v>
      </c>
      <c r="E19" s="42">
        <f t="shared" si="15"/>
        <v>52632</v>
      </c>
      <c r="F19" s="42">
        <f t="shared" ref="F19:G19" si="16">SUM(F37+F55)</f>
        <v>51858</v>
      </c>
      <c r="G19" s="44">
        <f t="shared" si="16"/>
        <v>50896</v>
      </c>
      <c r="H19" s="50">
        <f>IF('AW Schüler'!$D211=0,"x",'3.1.1'!C19/'AW Schüler'!$D211)</f>
        <v>0.4091123330714847</v>
      </c>
      <c r="I19" s="50">
        <f>IF('AW Schüler'!$G211=0,"x",'3.1.1'!D19/'AW Schüler'!$G211)</f>
        <v>0.40030710109702422</v>
      </c>
      <c r="J19" s="50">
        <f>IF('AW Schüler'!$J211=0,"x",'3.1.1'!E19/'AW Schüler'!$J211)</f>
        <v>0.42401392111368907</v>
      </c>
      <c r="K19" s="50">
        <f>IF('AW Schüler'!$M211=0,"x",'3.1.1'!F19/'AW Schüler'!$M211)</f>
        <v>0.40962732428632365</v>
      </c>
      <c r="L19" s="51">
        <f>IF('AW Schüler'!$P211=0,"x",'3.1.1'!G19/'AW Schüler'!$P211)</f>
        <v>0.39315288592263009</v>
      </c>
    </row>
    <row r="20" spans="1:12" ht="9" customHeight="1">
      <c r="A20" s="21" t="s">
        <v>88</v>
      </c>
      <c r="B20" s="120"/>
      <c r="C20" s="42">
        <f t="shared" si="0"/>
        <v>288047</v>
      </c>
      <c r="D20" s="42">
        <f t="shared" ref="D20:E20" si="17">SUM(D38+D56)</f>
        <v>303191</v>
      </c>
      <c r="E20" s="42">
        <f t="shared" si="17"/>
        <v>329702</v>
      </c>
      <c r="F20" s="42">
        <f t="shared" ref="F20:G20" si="18">SUM(F38+F56)</f>
        <v>343311</v>
      </c>
      <c r="G20" s="44">
        <f t="shared" si="18"/>
        <v>367505</v>
      </c>
      <c r="H20" s="111">
        <v>0</v>
      </c>
      <c r="I20" s="111">
        <v>0</v>
      </c>
      <c r="J20" s="111">
        <v>0</v>
      </c>
      <c r="K20" s="111">
        <v>0</v>
      </c>
      <c r="L20" s="112">
        <v>0</v>
      </c>
    </row>
    <row r="21" spans="1:12" ht="9" customHeight="1">
      <c r="A21" s="21" t="s">
        <v>89</v>
      </c>
      <c r="B21" s="120"/>
      <c r="C21" s="42">
        <f t="shared" si="0"/>
        <v>658251</v>
      </c>
      <c r="D21" s="42">
        <f t="shared" ref="D21:E21" si="19">SUM(D39+D57)</f>
        <v>696838</v>
      </c>
      <c r="E21" s="42">
        <f t="shared" si="19"/>
        <v>738363</v>
      </c>
      <c r="F21" s="42">
        <f t="shared" ref="F21:G21" si="20">SUM(F39+F57)</f>
        <v>768495</v>
      </c>
      <c r="G21" s="44">
        <f t="shared" si="20"/>
        <v>806617</v>
      </c>
      <c r="H21" s="50">
        <f>IF('AW Schüler'!$D213=0,"x",'3.1.1'!C21/'AW Schüler'!$D213)</f>
        <v>0.37837193113957462</v>
      </c>
      <c r="I21" s="50">
        <f>IF('AW Schüler'!$G213=0,"x",'3.1.1'!D21/'AW Schüler'!$G213)</f>
        <v>0.40967576942296952</v>
      </c>
      <c r="J21" s="50">
        <f>IF('AW Schüler'!$J213=0,"x",'3.1.1'!E21/'AW Schüler'!$J213)</f>
        <v>0.44016675191449939</v>
      </c>
      <c r="K21" s="50">
        <f>IF('AW Schüler'!$M213=0,"x",'3.1.1'!F21/'AW Schüler'!$M213)</f>
        <v>0.46292035067724752</v>
      </c>
      <c r="L21" s="51">
        <f>IF('AW Schüler'!$P213=0,"x",'3.1.1'!G21/'AW Schüler'!$P213)</f>
        <v>0.48301952097880951</v>
      </c>
    </row>
    <row r="22" spans="1:12" ht="9" customHeight="1">
      <c r="A22" s="21" t="s">
        <v>90</v>
      </c>
      <c r="B22" s="120"/>
      <c r="C22" s="42">
        <f t="shared" si="0"/>
        <v>90260</v>
      </c>
      <c r="D22" s="42">
        <f t="shared" ref="D22:E22" si="21">SUM(D40+D58)</f>
        <v>91878</v>
      </c>
      <c r="E22" s="42">
        <f t="shared" si="21"/>
        <v>95244</v>
      </c>
      <c r="F22" s="42">
        <f t="shared" ref="F22:G22" si="22">SUM(F40+F58)</f>
        <v>98844</v>
      </c>
      <c r="G22" s="44">
        <f t="shared" si="22"/>
        <v>105175</v>
      </c>
      <c r="H22" s="50">
        <f>IF('AW Schüler'!$D214=0,"x",'3.1.1'!C22/'AW Schüler'!$D214)</f>
        <v>0.23540703300027907</v>
      </c>
      <c r="I22" s="50">
        <f>IF('AW Schüler'!$G214=0,"x",'3.1.1'!D22/'AW Schüler'!$G214)</f>
        <v>0.24616266701675324</v>
      </c>
      <c r="J22" s="50">
        <f>IF('AW Schüler'!$J214=0,"x",'3.1.1'!E22/'AW Schüler'!$J214)</f>
        <v>0.25965203072947052</v>
      </c>
      <c r="K22" s="50">
        <f>IF('AW Schüler'!$M214=0,"x",'3.1.1'!F22/'AW Schüler'!$M214)</f>
        <v>0.27234028483811507</v>
      </c>
      <c r="L22" s="51">
        <f>IF('AW Schüler'!$P214=0,"x",'3.1.1'!G22/'AW Schüler'!$P214)</f>
        <v>0.28979736916065535</v>
      </c>
    </row>
    <row r="23" spans="1:12" ht="9" customHeight="1">
      <c r="A23" s="21" t="s">
        <v>91</v>
      </c>
      <c r="B23" s="120"/>
      <c r="C23" s="42">
        <f t="shared" si="0"/>
        <v>22348</v>
      </c>
      <c r="D23" s="42">
        <f t="shared" ref="D23:E23" si="23">SUM(D41+D59)</f>
        <v>21666</v>
      </c>
      <c r="E23" s="42">
        <f t="shared" si="23"/>
        <v>22562</v>
      </c>
      <c r="F23" s="42">
        <f t="shared" ref="F23:G23" si="24">SUM(F41+F59)</f>
        <v>25062</v>
      </c>
      <c r="G23" s="44">
        <f t="shared" si="24"/>
        <v>26212</v>
      </c>
      <c r="H23" s="50">
        <f>IF('AW Schüler'!$D215=0,"x",'3.1.1'!C23/'AW Schüler'!$D215)</f>
        <v>0.27274613422507538</v>
      </c>
      <c r="I23" s="50">
        <f>IF('AW Schüler'!$G215=0,"x",'3.1.1'!D23/'AW Schüler'!$G215)</f>
        <v>0.27123524330549958</v>
      </c>
      <c r="J23" s="50">
        <f>IF('AW Schüler'!$J215=0,"x",'3.1.1'!E23/'AW Schüler'!$J215)</f>
        <v>0.28626167275680064</v>
      </c>
      <c r="K23" s="50">
        <f>IF('AW Schüler'!$M215=0,"x",'3.1.1'!F23/'AW Schüler'!$M215)</f>
        <v>0.31972138237207698</v>
      </c>
      <c r="L23" s="51">
        <f>IF('AW Schüler'!$P215=0,"x",'3.1.1'!G23/'AW Schüler'!$P215)</f>
        <v>0.32950759908986915</v>
      </c>
    </row>
    <row r="24" spans="1:12" ht="9" customHeight="1">
      <c r="A24" s="21" t="s">
        <v>92</v>
      </c>
      <c r="B24" s="120"/>
      <c r="C24" s="42">
        <f t="shared" si="0"/>
        <v>238069</v>
      </c>
      <c r="D24" s="42">
        <f t="shared" ref="D24:E24" si="25">SUM(D42+D60)</f>
        <v>242369</v>
      </c>
      <c r="E24" s="42">
        <f t="shared" si="25"/>
        <v>247242</v>
      </c>
      <c r="F24" s="42">
        <f t="shared" ref="F24:G24" si="26">SUM(F42+F60)</f>
        <v>246666</v>
      </c>
      <c r="G24" s="44">
        <f t="shared" si="26"/>
        <v>257735</v>
      </c>
      <c r="H24" s="50">
        <f>IF('AW Schüler'!$D216=0,"x",'3.1.1'!C24/'AW Schüler'!$D216)</f>
        <v>0.79104517286637532</v>
      </c>
      <c r="I24" s="50">
        <f>IF('AW Schüler'!$G216=0,"x",'3.1.1'!D24/'AW Schüler'!$G216)</f>
        <v>0.79220830160063538</v>
      </c>
      <c r="J24" s="50">
        <f>IF('AW Schüler'!$J216=0,"x",'3.1.1'!E24/'AW Schüler'!$J216)</f>
        <v>0.79347993530000771</v>
      </c>
      <c r="K24" s="50">
        <f>IF('AW Schüler'!$M216=0,"x",'3.1.1'!F24/'AW Schüler'!$M216)</f>
        <v>0.77512106061986807</v>
      </c>
      <c r="L24" s="51">
        <f>IF('AW Schüler'!$P216=0,"x",'3.1.1'!G24/'AW Schüler'!$P216)</f>
        <v>0.78920615478833345</v>
      </c>
    </row>
    <row r="25" spans="1:12" ht="9" customHeight="1">
      <c r="A25" s="21" t="s">
        <v>93</v>
      </c>
      <c r="B25" s="120"/>
      <c r="C25" s="42">
        <f t="shared" si="0"/>
        <v>36336</v>
      </c>
      <c r="D25" s="42">
        <f t="shared" ref="D25:E25" si="27">SUM(D43+D61)</f>
        <v>37282</v>
      </c>
      <c r="E25" s="42">
        <f t="shared" si="27"/>
        <v>37264</v>
      </c>
      <c r="F25" s="42">
        <f t="shared" ref="F25:G25" si="28">SUM(F43+F61)</f>
        <v>39258</v>
      </c>
      <c r="G25" s="44">
        <f t="shared" si="28"/>
        <v>80922</v>
      </c>
      <c r="H25" s="111">
        <v>0</v>
      </c>
      <c r="I25" s="111">
        <v>0</v>
      </c>
      <c r="J25" s="111">
        <v>0</v>
      </c>
      <c r="K25" s="111">
        <v>0</v>
      </c>
      <c r="L25" s="112">
        <v>0</v>
      </c>
    </row>
    <row r="26" spans="1:12" ht="9" customHeight="1">
      <c r="A26" s="21" t="s">
        <v>94</v>
      </c>
      <c r="B26" s="120"/>
      <c r="C26" s="42">
        <f t="shared" si="0"/>
        <v>65988</v>
      </c>
      <c r="D26" s="42">
        <f t="shared" ref="D26:E26" si="29">SUM(D44+D62)</f>
        <v>65358</v>
      </c>
      <c r="E26" s="42">
        <f t="shared" si="29"/>
        <v>66520</v>
      </c>
      <c r="F26" s="42">
        <f t="shared" ref="F26:G26" si="30">SUM(F44+F62)</f>
        <v>67950</v>
      </c>
      <c r="G26" s="44">
        <f t="shared" si="30"/>
        <v>68598</v>
      </c>
      <c r="H26" s="50">
        <f>IF('AW Schüler'!$D218=0,"x",'3.1.1'!C26/'AW Schüler'!$D218)</f>
        <v>0.23714085494043446</v>
      </c>
      <c r="I26" s="50">
        <f>IF('AW Schüler'!$G218=0,"x",'3.1.1'!D26/'AW Schüler'!$G218)</f>
        <v>0.24810762794864591</v>
      </c>
      <c r="J26" s="50">
        <f>IF('AW Schüler'!$J218=0,"x",'3.1.1'!E26/'AW Schüler'!$J218)</f>
        <v>0.25636183553840997</v>
      </c>
      <c r="K26" s="50">
        <f>IF('AW Schüler'!$M218=0,"x",'3.1.1'!F26/'AW Schüler'!$M218)</f>
        <v>0.2635815279582614</v>
      </c>
      <c r="L26" s="51">
        <f>IF('AW Schüler'!$P218=0,"x",'3.1.1'!G26/'AW Schüler'!$P218)</f>
        <v>0.26516940799010419</v>
      </c>
    </row>
    <row r="27" spans="1:12" ht="9" customHeight="1">
      <c r="A27" s="21" t="s">
        <v>95</v>
      </c>
      <c r="B27" s="120"/>
      <c r="C27" s="42">
        <f t="shared" si="0"/>
        <v>84540</v>
      </c>
      <c r="D27" s="42">
        <f t="shared" ref="D27:E27" si="31">SUM(D45+D63)</f>
        <v>83819</v>
      </c>
      <c r="E27" s="42">
        <f t="shared" si="31"/>
        <v>84581</v>
      </c>
      <c r="F27" s="42">
        <f t="shared" ref="F27:G27" si="32">SUM(F45+F63)</f>
        <v>86182</v>
      </c>
      <c r="G27" s="44">
        <f t="shared" si="32"/>
        <v>90546</v>
      </c>
      <c r="H27" s="50">
        <f>IF('AW Schüler'!$D219=0,"x",'3.1.1'!C27/'AW Schüler'!$D219)</f>
        <v>0.5192268715567594</v>
      </c>
      <c r="I27" s="50">
        <f>IF('AW Schüler'!$G219=0,"x",'3.1.1'!D27/'AW Schüler'!$G219)</f>
        <v>0.51270460717868416</v>
      </c>
      <c r="J27" s="50">
        <f>IF('AW Schüler'!$J219=0,"x",'3.1.1'!E27/'AW Schüler'!$J219)</f>
        <v>0.51282346664079737</v>
      </c>
      <c r="K27" s="50">
        <f>IF('AW Schüler'!$M219=0,"x",'3.1.1'!F27/'AW Schüler'!$M219)</f>
        <v>0.5151960784313725</v>
      </c>
      <c r="L27" s="51">
        <f>IF('AW Schüler'!$P219=0,"x",'3.1.1'!G27/'AW Schüler'!$P219)</f>
        <v>0.53107715768790875</v>
      </c>
    </row>
    <row r="28" spans="1:12" ht="9" customHeight="1">
      <c r="A28" s="21" t="s">
        <v>96</v>
      </c>
      <c r="B28" s="120"/>
      <c r="C28" s="42">
        <f t="shared" si="0"/>
        <v>2439156</v>
      </c>
      <c r="D28" s="42">
        <f t="shared" ref="D28:E28" si="33">SUM(D46+D64)</f>
        <v>2601861</v>
      </c>
      <c r="E28" s="42">
        <f t="shared" si="33"/>
        <v>2717397</v>
      </c>
      <c r="F28" s="42">
        <f t="shared" ref="F28:G28" si="34">SUM(F46+F64)</f>
        <v>2820157</v>
      </c>
      <c r="G28" s="44">
        <f t="shared" si="34"/>
        <v>3069778</v>
      </c>
      <c r="H28" s="50">
        <f>IF('AW Schüler'!$D220=0,"x",'3.1.1'!C28/'AW Schüler'!$D220)</f>
        <v>0.33065634951082529</v>
      </c>
      <c r="I28" s="50">
        <f>IF('AW Schüler'!$G220=0,"x",'3.1.1'!D28/'AW Schüler'!$G220)</f>
        <v>0.35830305657648615</v>
      </c>
      <c r="J28" s="50">
        <f>IF('AW Schüler'!$J220=0,"x",'3.1.1'!E28/'AW Schüler'!$J220)</f>
        <v>0.37737044142141635</v>
      </c>
      <c r="K28" s="50">
        <f>IF('AW Schüler'!$M220=0,"x",'3.1.1'!F28/'AW Schüler'!$M220)</f>
        <v>0.39322083195876373</v>
      </c>
      <c r="L28" s="51">
        <f>IF('AW Schüler'!$P220=0,"x",'3.1.1'!G28/'AW Schüler'!$P220)</f>
        <v>0.42487506454900265</v>
      </c>
    </row>
    <row r="29" spans="1:12" ht="12.75" customHeight="1">
      <c r="A29" s="391" t="s">
        <v>105</v>
      </c>
      <c r="B29" s="392"/>
      <c r="C29" s="392"/>
      <c r="D29" s="392"/>
      <c r="E29" s="392"/>
      <c r="F29" s="392"/>
      <c r="G29" s="392"/>
      <c r="H29" s="392"/>
      <c r="I29" s="392"/>
      <c r="J29" s="392"/>
      <c r="K29" s="392"/>
      <c r="L29" s="393"/>
    </row>
    <row r="30" spans="1:12" ht="9" customHeight="1">
      <c r="A30" s="21" t="s">
        <v>172</v>
      </c>
      <c r="B30" s="120"/>
      <c r="C30" s="23">
        <f>'3.2.1'!C30+'3.3.1'!C30</f>
        <v>116368</v>
      </c>
      <c r="D30" s="23">
        <f>'3.2.1'!D30+'3.3.1'!D30</f>
        <v>118243</v>
      </c>
      <c r="E30" s="23">
        <f>'3.2.1'!E30+'3.3.1'!E30</f>
        <v>123829</v>
      </c>
      <c r="F30" s="23">
        <f>'3.2.1'!F30+'3.3.1'!F30</f>
        <v>137384</v>
      </c>
      <c r="G30" s="34">
        <f>'3.2.1'!G30+'3.3.1'!G30</f>
        <v>147591</v>
      </c>
      <c r="H30" s="52">
        <f>IF('AW Schüler'!$D204=0,"x",'3.1.1'!C30/'AW Schüler'!$D204)</f>
        <v>0.11145954457596371</v>
      </c>
      <c r="I30" s="52">
        <f>IF('AW Schüler'!$G204=0,"x",'3.1.1'!D30/'AW Schüler'!$G204)</f>
        <v>0.1153376447292697</v>
      </c>
      <c r="J30" s="52">
        <f>IF('AW Schüler'!$J204=0,"x",'3.1.1'!E30/'AW Schüler'!$J204)</f>
        <v>0.12223179710720021</v>
      </c>
      <c r="K30" s="52">
        <f>IF('AW Schüler'!$M204=0,"x",'3.1.1'!F30/'AW Schüler'!$M204)</f>
        <v>0.13700340454218182</v>
      </c>
      <c r="L30" s="53">
        <f>IF('AW Schüler'!$P204=0,"x",'3.1.1'!G30/'AW Schüler'!$P204)</f>
        <v>0.14725863725571386</v>
      </c>
    </row>
    <row r="31" spans="1:12" ht="9" customHeight="1">
      <c r="A31" s="21" t="s">
        <v>81</v>
      </c>
      <c r="B31" s="120"/>
      <c r="C31" s="23">
        <f>'3.2.1'!C31+'3.3.1'!C31</f>
        <v>69795</v>
      </c>
      <c r="D31" s="23">
        <f>'3.2.1'!D31+'3.3.1'!D31</f>
        <v>83065</v>
      </c>
      <c r="E31" s="23">
        <f>'3.2.1'!E31+'3.3.1'!E31</f>
        <v>87302</v>
      </c>
      <c r="F31" s="23">
        <f>'3.2.1'!F31+'3.3.1'!F31</f>
        <v>89749</v>
      </c>
      <c r="G31" s="34">
        <f>'3.2.1'!G31+'3.3.1'!G31</f>
        <v>92510</v>
      </c>
      <c r="H31" s="52">
        <f>IF('AW Schüler'!$D205=0,"x",'3.1.1'!C31/'AW Schüler'!$D205)</f>
        <v>5.8709377854716686E-2</v>
      </c>
      <c r="I31" s="52">
        <f>IF('AW Schüler'!$G205=0,"x",'3.1.1'!D31/'AW Schüler'!$G205)</f>
        <v>7.1011567537715675E-2</v>
      </c>
      <c r="J31" s="52">
        <f>IF('AW Schüler'!$J205=0,"x",'3.1.1'!E31/'AW Schüler'!$J205)</f>
        <v>7.5568023945772306E-2</v>
      </c>
      <c r="K31" s="52">
        <f>IF('AW Schüler'!$M205=0,"x",'3.1.1'!F31/'AW Schüler'!$M205)</f>
        <v>7.8288297797173917E-2</v>
      </c>
      <c r="L31" s="53">
        <f>IF('AW Schüler'!$P205=0,"x",'3.1.1'!G31/'AW Schüler'!$P205)</f>
        <v>8.0971270122467839E-2</v>
      </c>
    </row>
    <row r="32" spans="1:12" ht="9" customHeight="1">
      <c r="A32" s="21" t="s">
        <v>82</v>
      </c>
      <c r="B32" s="120"/>
      <c r="C32" s="23">
        <f>'3.2.1'!C32+'3.3.1'!C32</f>
        <v>64659</v>
      </c>
      <c r="D32" s="23">
        <f>'3.2.1'!D32+'3.3.1'!D32</f>
        <v>81870</v>
      </c>
      <c r="E32" s="23">
        <f>'3.2.1'!E32+'3.3.1'!E32</f>
        <v>87552</v>
      </c>
      <c r="F32" s="23">
        <f>'3.2.1'!F32+'3.3.1'!F32</f>
        <v>85067</v>
      </c>
      <c r="G32" s="34">
        <f>'3.2.1'!G32+'3.3.1'!G32</f>
        <v>86886</v>
      </c>
      <c r="H32" s="52">
        <f>IF('AW Schüler'!$D206=0,"x",'3.1.1'!C32/'AW Schüler'!$D206)</f>
        <v>0.23472247431662249</v>
      </c>
      <c r="I32" s="52">
        <f>IF('AW Schüler'!$G206=0,"x",'3.1.1'!D32/'AW Schüler'!$G206)</f>
        <v>0.29395607354826203</v>
      </c>
      <c r="J32" s="52">
        <f>IF('AW Schüler'!$J206=0,"x",'3.1.1'!E32/'AW Schüler'!$J206)</f>
        <v>0.31106152873212012</v>
      </c>
      <c r="K32" s="52">
        <f>IF('AW Schüler'!$M206=0,"x",'3.1.1'!F32/'AW Schüler'!$M206)</f>
        <v>0.29793501026190627</v>
      </c>
      <c r="L32" s="53">
        <f>IF('AW Schüler'!$P206=0,"x",'3.1.1'!G32/'AW Schüler'!$P206)</f>
        <v>0.29344555184420901</v>
      </c>
    </row>
    <row r="33" spans="1:12" ht="9" customHeight="1">
      <c r="A33" s="21" t="s">
        <v>83</v>
      </c>
      <c r="B33" s="120"/>
      <c r="C33" s="23">
        <f>'3.2.1'!C33+'3.3.1'!C33</f>
        <v>27918</v>
      </c>
      <c r="D33" s="23">
        <f>'3.2.1'!D33+'3.3.1'!D33</f>
        <v>28835</v>
      </c>
      <c r="E33" s="23">
        <f>'3.2.1'!E33+'3.3.1'!E33</f>
        <v>29490</v>
      </c>
      <c r="F33" s="23">
        <f>'3.2.1'!F33+'3.3.1'!F33</f>
        <v>30123</v>
      </c>
      <c r="G33" s="34">
        <f>'3.2.1'!G33+'3.3.1'!G33</f>
        <v>40989</v>
      </c>
      <c r="H33" s="52">
        <f>IF('AW Schüler'!$D207=0,"x",'3.1.1'!C33/'AW Schüler'!$D207)</f>
        <v>0.1443977221592937</v>
      </c>
      <c r="I33" s="52">
        <f>IF('AW Schüler'!$G207=0,"x",'3.1.1'!D33/'AW Schüler'!$G207)</f>
        <v>0.14771120627830256</v>
      </c>
      <c r="J33" s="52">
        <f>IF('AW Schüler'!$J207=0,"x",'3.1.1'!E33/'AW Schüler'!$J207)</f>
        <v>0.14964453713711581</v>
      </c>
      <c r="K33" s="52">
        <f>IF('AW Schüler'!$M207=0,"x",'3.1.1'!F33/'AW Schüler'!$M207)</f>
        <v>0.1510182186437789</v>
      </c>
      <c r="L33" s="53">
        <f>IF('AW Schüler'!$P207=0,"x",'3.1.1'!G33/'AW Schüler'!$P207)</f>
        <v>0.19992878674067643</v>
      </c>
    </row>
    <row r="34" spans="1:12" ht="9" customHeight="1">
      <c r="A34" s="21" t="s">
        <v>84</v>
      </c>
      <c r="B34" s="120"/>
      <c r="C34" s="23">
        <f>'3.2.1'!C34+'3.3.1'!C34</f>
        <v>14844</v>
      </c>
      <c r="D34" s="23">
        <f>'3.2.1'!D34+'3.3.1'!D34</f>
        <v>15275</v>
      </c>
      <c r="E34" s="23">
        <f>'3.2.1'!E34+'3.3.1'!E34</f>
        <v>16512</v>
      </c>
      <c r="F34" s="23">
        <f>'3.2.1'!F34+'3.3.1'!F34</f>
        <v>17293</v>
      </c>
      <c r="G34" s="34">
        <f>'3.2.1'!G34+'3.3.1'!G34</f>
        <v>18094</v>
      </c>
      <c r="H34" s="52">
        <f>IF('AW Schüler'!$D208=0,"x",'3.1.1'!C34/'AW Schüler'!$D208)</f>
        <v>0.27261707988980716</v>
      </c>
      <c r="I34" s="52">
        <f>IF('AW Schüler'!$G208=0,"x",'3.1.1'!D34/'AW Schüler'!$G208)</f>
        <v>0.28430770376160963</v>
      </c>
      <c r="J34" s="52">
        <f>IF('AW Schüler'!$J208=0,"x",'3.1.1'!E34/'AW Schüler'!$J208)</f>
        <v>0.30729147281051106</v>
      </c>
      <c r="K34" s="52">
        <f>IF('AW Schüler'!$M208=0,"x",'3.1.1'!F34/'AW Schüler'!$M208)</f>
        <v>0.317646626623317</v>
      </c>
      <c r="L34" s="53">
        <f>IF('AW Schüler'!$P208=0,"x",'3.1.1'!G34/'AW Schüler'!$P208)</f>
        <v>0.32227268679312493</v>
      </c>
    </row>
    <row r="35" spans="1:12" ht="9" customHeight="1">
      <c r="A35" s="21" t="s">
        <v>85</v>
      </c>
      <c r="B35" s="120"/>
      <c r="C35" s="23">
        <f>'3.2.1'!C35+'3.3.1'!C35</f>
        <v>37666</v>
      </c>
      <c r="D35" s="23">
        <f>'3.2.1'!D35+'3.3.1'!D35</f>
        <v>48732</v>
      </c>
      <c r="E35" s="23">
        <f>'3.2.1'!E35+'3.3.1'!E35</f>
        <v>47087</v>
      </c>
      <c r="F35" s="23">
        <f>'3.2.1'!F35+'3.3.1'!F35</f>
        <v>47005</v>
      </c>
      <c r="G35" s="34">
        <f>'3.2.1'!G35+'3.3.1'!G35</f>
        <v>53677</v>
      </c>
      <c r="H35" s="52">
        <f>IF('AW Schüler'!$D209=0,"x",'3.1.1'!C35/'AW Schüler'!$D209)</f>
        <v>0.25988022299497709</v>
      </c>
      <c r="I35" s="52">
        <f>IF('AW Schüler'!$G209=0,"x",'3.1.1'!D35/'AW Schüler'!$G209)</f>
        <v>0.33417221540297198</v>
      </c>
      <c r="J35" s="52">
        <f>IF('AW Schüler'!$J209=0,"x",'3.1.1'!E35/'AW Schüler'!$J209)</f>
        <v>0.32059888882836757</v>
      </c>
      <c r="K35" s="52">
        <f>IF('AW Schüler'!$M209=0,"x",'3.1.1'!F35/'AW Schüler'!$M209)</f>
        <v>0.31655117145146844</v>
      </c>
      <c r="L35" s="53">
        <f>IF('AW Schüler'!$P209=0,"x",'3.1.1'!G35/'AW Schüler'!$P209)</f>
        <v>0.35485640998519147</v>
      </c>
    </row>
    <row r="36" spans="1:12" ht="9" customHeight="1">
      <c r="A36" s="21" t="s">
        <v>86</v>
      </c>
      <c r="B36" s="120"/>
      <c r="C36" s="23">
        <f>'3.2.1'!C36+'3.3.1'!C36</f>
        <v>18135</v>
      </c>
      <c r="D36" s="23">
        <f>'3.2.1'!D36+'3.3.1'!D36</f>
        <v>19232</v>
      </c>
      <c r="E36" s="23">
        <f>'3.2.1'!E36+'3.3.1'!E36</f>
        <v>19085</v>
      </c>
      <c r="F36" s="23">
        <f>'3.2.1'!F36+'3.3.1'!F36</f>
        <v>21024</v>
      </c>
      <c r="G36" s="34">
        <f>'3.2.1'!G36+'3.3.1'!G36</f>
        <v>23814</v>
      </c>
      <c r="H36" s="35">
        <v>0</v>
      </c>
      <c r="I36" s="35">
        <v>0</v>
      </c>
      <c r="J36" s="35">
        <v>0</v>
      </c>
      <c r="K36" s="35">
        <v>0</v>
      </c>
      <c r="L36" s="200">
        <v>0</v>
      </c>
    </row>
    <row r="37" spans="1:12" ht="9" customHeight="1">
      <c r="A37" s="21" t="s">
        <v>174</v>
      </c>
      <c r="B37" s="120"/>
      <c r="C37" s="23">
        <f>'3.2.1'!C37+'3.3.1'!C37</f>
        <v>33408</v>
      </c>
      <c r="D37" s="23">
        <f>'3.2.1'!D37+'3.3.1'!D37</f>
        <v>33301</v>
      </c>
      <c r="E37" s="23">
        <f>'3.2.1'!E37+'3.3.1'!E37</f>
        <v>35553</v>
      </c>
      <c r="F37" s="23">
        <f>'3.2.1'!F37+'3.3.1'!F37</f>
        <v>34518</v>
      </c>
      <c r="G37" s="34">
        <f>'3.2.1'!G37+'3.3.1'!G37</f>
        <v>40246</v>
      </c>
      <c r="H37" s="52">
        <f>IF('AW Schüler'!$D211=0,"x",'3.1.1'!C37/'AW Schüler'!$D211)</f>
        <v>0.27624757100921982</v>
      </c>
      <c r="I37" s="52">
        <f>IF('AW Schüler'!$G211=0,"x",'3.1.1'!D37/'AW Schüler'!$G211)</f>
        <v>0.27344314524075414</v>
      </c>
      <c r="J37" s="52">
        <f>IF('AW Schüler'!$J211=0,"x",'3.1.1'!E37/'AW Schüler'!$J211)</f>
        <v>0.2864220804331013</v>
      </c>
      <c r="K37" s="52">
        <f>IF('AW Schüler'!$M211=0,"x",'3.1.1'!F37/'AW Schüler'!$M211)</f>
        <v>0.27265833583468935</v>
      </c>
      <c r="L37" s="53">
        <f>IF('AW Schüler'!$P211=0,"x",'3.1.1'!G37/'AW Schüler'!$P211)</f>
        <v>0.31088555184773203</v>
      </c>
    </row>
    <row r="38" spans="1:12" ht="9" customHeight="1">
      <c r="A38" s="21" t="s">
        <v>88</v>
      </c>
      <c r="B38" s="120"/>
      <c r="C38" s="23">
        <f>'3.2.1'!C38+'3.3.1'!C38</f>
        <v>83359</v>
      </c>
      <c r="D38" s="23">
        <f>'3.2.1'!D38+'3.3.1'!D38</f>
        <v>90685</v>
      </c>
      <c r="E38" s="23">
        <f>'3.2.1'!E38+'3.3.1'!E38</f>
        <v>116607</v>
      </c>
      <c r="F38" s="23">
        <f>'3.2.1'!F38+'3.3.1'!F38</f>
        <v>148319</v>
      </c>
      <c r="G38" s="34">
        <f>'3.2.1'!G38+'3.3.1'!G38</f>
        <v>166367</v>
      </c>
      <c r="H38" s="35">
        <v>0</v>
      </c>
      <c r="I38" s="35">
        <v>0</v>
      </c>
      <c r="J38" s="35">
        <v>0</v>
      </c>
      <c r="K38" s="35">
        <v>0</v>
      </c>
      <c r="L38" s="200">
        <v>0</v>
      </c>
    </row>
    <row r="39" spans="1:12" ht="9" customHeight="1">
      <c r="A39" s="21" t="s">
        <v>89</v>
      </c>
      <c r="B39" s="120"/>
      <c r="C39" s="23">
        <f>'3.2.1'!C39+'3.3.1'!C39</f>
        <v>414805</v>
      </c>
      <c r="D39" s="23">
        <f>'3.2.1'!D39+'3.3.1'!D39</f>
        <v>448800</v>
      </c>
      <c r="E39" s="23">
        <f>'3.2.1'!E39+'3.3.1'!E39</f>
        <v>477403</v>
      </c>
      <c r="F39" s="23">
        <f>'3.2.1'!F39+'3.3.1'!F39</f>
        <v>498551</v>
      </c>
      <c r="G39" s="34">
        <f>'3.2.1'!G39+'3.3.1'!G39</f>
        <v>520445</v>
      </c>
      <c r="H39" s="52">
        <f>IF('AW Schüler'!$D213=0,"x",'3.1.1'!C39/'AW Schüler'!$D213)</f>
        <v>0.23843574699674022</v>
      </c>
      <c r="I39" s="52">
        <f>IF('AW Schüler'!$G213=0,"x",'3.1.1'!D39/'AW Schüler'!$G213)</f>
        <v>0.26385255298509658</v>
      </c>
      <c r="J39" s="52">
        <f>IF('AW Schüler'!$J213=0,"x",'3.1.1'!E39/'AW Schüler'!$J213)</f>
        <v>0.28459839924838831</v>
      </c>
      <c r="K39" s="52">
        <f>IF('AW Schüler'!$M213=0,"x",'3.1.1'!F39/'AW Schüler'!$M213)</f>
        <v>0.30031347471420433</v>
      </c>
      <c r="L39" s="53">
        <f>IF('AW Schüler'!$P213=0,"x",'3.1.1'!G39/'AW Schüler'!$P213)</f>
        <v>0.31165360337783177</v>
      </c>
    </row>
    <row r="40" spans="1:12" ht="9" customHeight="1">
      <c r="A40" s="21" t="s">
        <v>90</v>
      </c>
      <c r="B40" s="120"/>
      <c r="C40" s="23">
        <f>'3.2.1'!C40+'3.3.1'!C40</f>
        <v>79258</v>
      </c>
      <c r="D40" s="23">
        <f>'3.2.1'!D40+'3.3.1'!D40</f>
        <v>80170</v>
      </c>
      <c r="E40" s="23">
        <f>'3.2.1'!E40+'3.3.1'!E40</f>
        <v>81127</v>
      </c>
      <c r="F40" s="23">
        <f>'3.2.1'!F40+'3.3.1'!F40</f>
        <v>83031</v>
      </c>
      <c r="G40" s="34">
        <f>'3.2.1'!G40+'3.3.1'!G40</f>
        <v>85438</v>
      </c>
      <c r="H40" s="52">
        <f>IF('AW Schüler'!$D214=0,"x",'3.1.1'!C40/'AW Schüler'!$D214)</f>
        <v>0.20671272569838375</v>
      </c>
      <c r="I40" s="52">
        <f>IF('AW Schüler'!$G214=0,"x",'3.1.1'!D40/'AW Schüler'!$G214)</f>
        <v>0.21479419463563756</v>
      </c>
      <c r="J40" s="52">
        <f>IF('AW Schüler'!$J214=0,"x",'3.1.1'!E40/'AW Schüler'!$J214)</f>
        <v>0.22116658579007345</v>
      </c>
      <c r="K40" s="52">
        <f>IF('AW Schüler'!$M214=0,"x",'3.1.1'!F40/'AW Schüler'!$M214)</f>
        <v>0.22877145998131937</v>
      </c>
      <c r="L40" s="53">
        <f>IF('AW Schüler'!$P214=0,"x",'3.1.1'!G40/'AW Schüler'!$P214)</f>
        <v>0.23541438199522768</v>
      </c>
    </row>
    <row r="41" spans="1:12" ht="9" customHeight="1">
      <c r="A41" s="21" t="s">
        <v>91</v>
      </c>
      <c r="B41" s="120"/>
      <c r="C41" s="23">
        <f>'3.2.1'!C41+'3.3.1'!C41</f>
        <v>5417</v>
      </c>
      <c r="D41" s="23">
        <f>'3.2.1'!D41+'3.3.1'!D41</f>
        <v>5140</v>
      </c>
      <c r="E41" s="23">
        <f>'3.2.1'!E41+'3.3.1'!E41</f>
        <v>5432</v>
      </c>
      <c r="F41" s="23">
        <f>'3.2.1'!F41+'3.3.1'!F41</f>
        <v>6441</v>
      </c>
      <c r="G41" s="34">
        <f>'3.2.1'!G41+'3.3.1'!G41</f>
        <v>7015</v>
      </c>
      <c r="H41" s="52">
        <f>IF('AW Schüler'!$D215=0,"x",'3.1.1'!C41/'AW Schüler'!$D215)</f>
        <v>6.6111768797978934E-2</v>
      </c>
      <c r="I41" s="52">
        <f>IF('AW Schüler'!$G215=0,"x",'3.1.1'!D41/'AW Schüler'!$G215)</f>
        <v>6.4347325329560959E-2</v>
      </c>
      <c r="J41" s="52">
        <f>IF('AW Schüler'!$J215=0,"x",'3.1.1'!E41/'AW Schüler'!$J215)</f>
        <v>6.892001624035729E-2</v>
      </c>
      <c r="K41" s="52">
        <f>IF('AW Schüler'!$M215=0,"x",'3.1.1'!F41/'AW Schüler'!$M215)</f>
        <v>8.2169237245971902E-2</v>
      </c>
      <c r="L41" s="53">
        <f>IF('AW Schüler'!$P215=0,"x",'3.1.1'!G41/'AW Schüler'!$P215)</f>
        <v>8.8184640913147871E-2</v>
      </c>
    </row>
    <row r="42" spans="1:12" ht="9" customHeight="1">
      <c r="A42" s="21" t="s">
        <v>92</v>
      </c>
      <c r="B42" s="120"/>
      <c r="C42" s="23">
        <f>'3.2.1'!C42+'3.3.1'!C42</f>
        <v>88042</v>
      </c>
      <c r="D42" s="23">
        <f>'3.2.1'!D42+'3.3.1'!D42</f>
        <v>86366</v>
      </c>
      <c r="E42" s="23">
        <f>'3.2.1'!E42+'3.3.1'!E42</f>
        <v>89929</v>
      </c>
      <c r="F42" s="23">
        <f>'3.2.1'!F42+'3.3.1'!F42</f>
        <v>93043</v>
      </c>
      <c r="G42" s="34">
        <f>'3.2.1'!G42+'3.3.1'!G42</f>
        <v>98236</v>
      </c>
      <c r="H42" s="52">
        <f>IF('AW Schüler'!$D216=0,"x",'3.1.1'!C42/'AW Schüler'!$D216)</f>
        <v>0.29254207439650448</v>
      </c>
      <c r="I42" s="52">
        <f>IF('AW Schüler'!$G216=0,"x",'3.1.1'!D42/'AW Schüler'!$G216)</f>
        <v>0.28229625973635442</v>
      </c>
      <c r="J42" s="52">
        <f>IF('AW Schüler'!$J216=0,"x",'3.1.1'!E42/'AW Schüler'!$J216)</f>
        <v>0.28861138925261237</v>
      </c>
      <c r="K42" s="52">
        <f>IF('AW Schüler'!$M216=0,"x",'3.1.1'!F42/'AW Schüler'!$M216)</f>
        <v>0.29237750173617111</v>
      </c>
      <c r="L42" s="53">
        <f>IF('AW Schüler'!$P216=0,"x",'3.1.1'!G42/'AW Schüler'!$P216)</f>
        <v>0.30080685906759552</v>
      </c>
    </row>
    <row r="43" spans="1:12" ht="9" customHeight="1">
      <c r="A43" s="21" t="s">
        <v>93</v>
      </c>
      <c r="B43" s="120"/>
      <c r="C43" s="23">
        <f>'3.2.1'!C43+'3.3.1'!C43</f>
        <v>12124</v>
      </c>
      <c r="D43" s="23">
        <f>'3.2.1'!D43+'3.3.1'!D43</f>
        <v>12540</v>
      </c>
      <c r="E43" s="23">
        <f>'3.2.1'!E43+'3.3.1'!E43</f>
        <v>13158</v>
      </c>
      <c r="F43" s="23">
        <f>'3.2.1'!F43+'3.3.1'!F43</f>
        <v>15045</v>
      </c>
      <c r="G43" s="34">
        <f>'3.2.1'!G43+'3.3.1'!G43</f>
        <v>12440</v>
      </c>
      <c r="H43" s="35">
        <v>0</v>
      </c>
      <c r="I43" s="35">
        <v>0</v>
      </c>
      <c r="J43" s="35">
        <v>0</v>
      </c>
      <c r="K43" s="35">
        <v>0</v>
      </c>
      <c r="L43" s="200">
        <v>0</v>
      </c>
    </row>
    <row r="44" spans="1:12" ht="9" customHeight="1">
      <c r="A44" s="21" t="s">
        <v>94</v>
      </c>
      <c r="B44" s="120"/>
      <c r="C44" s="23">
        <f>'3.2.1'!C44+'3.3.1'!C44</f>
        <v>12678</v>
      </c>
      <c r="D44" s="23">
        <f>'3.2.1'!D44+'3.3.1'!D44</f>
        <v>13599</v>
      </c>
      <c r="E44" s="23">
        <f>'3.2.1'!E44+'3.3.1'!E44</f>
        <v>13710</v>
      </c>
      <c r="F44" s="23">
        <f>'3.2.1'!F44+'3.3.1'!F44</f>
        <v>13765</v>
      </c>
      <c r="G44" s="34">
        <f>'3.2.1'!G44+'3.3.1'!G44</f>
        <v>13905</v>
      </c>
      <c r="H44" s="52">
        <f>IF('AW Schüler'!$D218=0,"x",'3.1.1'!C44/'AW Schüler'!$D218)</f>
        <v>4.5560886205595383E-2</v>
      </c>
      <c r="I44" s="52">
        <f>IF('AW Schüler'!$G218=0,"x",'3.1.1'!D44/'AW Schüler'!$G218)</f>
        <v>5.1623605870339297E-2</v>
      </c>
      <c r="J44" s="52">
        <f>IF('AW Schüler'!$J218=0,"x",'3.1.1'!E44/'AW Schüler'!$J218)</f>
        <v>5.2837052995063145E-2</v>
      </c>
      <c r="K44" s="52">
        <f>IF('AW Schüler'!$M218=0,"x",'3.1.1'!F44/'AW Schüler'!$M218)</f>
        <v>5.3395139548866349E-2</v>
      </c>
      <c r="L44" s="53">
        <f>IF('AW Schüler'!$P218=0,"x",'3.1.1'!G44/'AW Schüler'!$P218)</f>
        <v>5.3750555673669764E-2</v>
      </c>
    </row>
    <row r="45" spans="1:12" ht="9" customHeight="1">
      <c r="A45" s="21" t="s">
        <v>95</v>
      </c>
      <c r="B45" s="120"/>
      <c r="C45" s="23">
        <f>'3.2.1'!C45+'3.3.1'!C45</f>
        <v>20365</v>
      </c>
      <c r="D45" s="23">
        <f>'3.2.1'!D45+'3.3.1'!D45</f>
        <v>21537</v>
      </c>
      <c r="E45" s="23">
        <f>'3.2.1'!E45+'3.3.1'!E45</f>
        <v>22348</v>
      </c>
      <c r="F45" s="23">
        <f>'3.2.1'!F45+'3.3.1'!F45</f>
        <v>23914</v>
      </c>
      <c r="G45" s="34">
        <f>'3.2.1'!G45+'3.3.1'!G45</f>
        <v>25868</v>
      </c>
      <c r="H45" s="52">
        <f>IF('AW Schüler'!$D219=0,"x",'3.1.1'!C45/'AW Schüler'!$D219)</f>
        <v>0.12507754009052999</v>
      </c>
      <c r="I45" s="52">
        <f>IF('AW Schüler'!$G219=0,"x",'3.1.1'!D45/'AW Schüler'!$G219)</f>
        <v>0.13173766240121357</v>
      </c>
      <c r="J45" s="52">
        <f>IF('AW Schüler'!$J219=0,"x",'3.1.1'!E45/'AW Schüler'!$J219)</f>
        <v>0.13549826595202871</v>
      </c>
      <c r="K45" s="52">
        <f>IF('AW Schüler'!$M219=0,"x",'3.1.1'!F45/'AW Schüler'!$M219)</f>
        <v>0.14295791487326637</v>
      </c>
      <c r="L45" s="53">
        <f>IF('AW Schüler'!$P219=0,"x",'3.1.1'!G45/'AW Schüler'!$P219)</f>
        <v>0.15172292442593624</v>
      </c>
    </row>
    <row r="46" spans="1:12" ht="9" customHeight="1">
      <c r="A46" s="21" t="s">
        <v>96</v>
      </c>
      <c r="B46" s="120"/>
      <c r="C46" s="23">
        <f>'3.2.1'!C46+'3.3.1'!C46</f>
        <v>1098841</v>
      </c>
      <c r="D46" s="23">
        <f>'3.2.1'!D46+'3.3.1'!D46</f>
        <v>1187390</v>
      </c>
      <c r="E46" s="23">
        <f>'3.2.1'!E46+'3.3.1'!E46</f>
        <v>1266124</v>
      </c>
      <c r="F46" s="23">
        <f>'3.2.1'!F46+'3.3.1'!F46</f>
        <v>1344272</v>
      </c>
      <c r="G46" s="34">
        <f>'3.2.1'!G46+'3.3.1'!G46</f>
        <v>1433521</v>
      </c>
      <c r="H46" s="52">
        <f>IF('AW Schüler'!$D220=0,"x",'3.1.1'!C46/'AW Schüler'!$D220)</f>
        <v>0.14896085111113219</v>
      </c>
      <c r="I46" s="52">
        <f>IF('AW Schüler'!$G220=0,"x",'3.1.1'!D46/'AW Schüler'!$G220)</f>
        <v>0.16351583207110368</v>
      </c>
      <c r="J46" s="52">
        <f>IF('AW Schüler'!$J220=0,"x",'3.1.1'!E46/'AW Schüler'!$J220)</f>
        <v>0.17582921184289574</v>
      </c>
      <c r="K46" s="52">
        <f>IF('AW Schüler'!$M220=0,"x",'3.1.1'!F46/'AW Schüler'!$M220)</f>
        <v>0.18743486771086548</v>
      </c>
      <c r="L46" s="53">
        <f>IF('AW Schüler'!$P220=0,"x",'3.1.1'!G46/'AW Schüler'!$P220)</f>
        <v>0.19840761364742038</v>
      </c>
    </row>
    <row r="47" spans="1:12" ht="12.75" customHeight="1">
      <c r="A47" s="391" t="s">
        <v>100</v>
      </c>
      <c r="B47" s="392"/>
      <c r="C47" s="392"/>
      <c r="D47" s="392"/>
      <c r="E47" s="392"/>
      <c r="F47" s="392"/>
      <c r="G47" s="392"/>
      <c r="H47" s="392"/>
      <c r="I47" s="392"/>
      <c r="J47" s="392"/>
      <c r="K47" s="392"/>
      <c r="L47" s="393"/>
    </row>
    <row r="48" spans="1:12" ht="9" customHeight="1">
      <c r="A48" s="21" t="s">
        <v>172</v>
      </c>
      <c r="B48" s="120"/>
      <c r="C48" s="23">
        <f>'3.2.1'!C48+'3.3.1'!C48</f>
        <v>81349</v>
      </c>
      <c r="D48" s="23">
        <f>'3.2.1'!D48+'3.3.1'!D48</f>
        <v>85563</v>
      </c>
      <c r="E48" s="23">
        <f>'3.2.1'!E48+'3.3.1'!E48</f>
        <v>92595</v>
      </c>
      <c r="F48" s="23">
        <f>'3.2.1'!F48+'3.3.1'!F48</f>
        <v>100561</v>
      </c>
      <c r="G48" s="34">
        <f>'3.2.1'!G48+'3.3.1'!G48</f>
        <v>108896</v>
      </c>
      <c r="H48" s="52">
        <f>IF('AW Schüler'!$D204=0,"x",'3.1.1'!C48/'AW Schüler'!$D204)</f>
        <v>7.7917662000808394E-2</v>
      </c>
      <c r="I48" s="52">
        <f>IF('AW Schüler'!$G204=0,"x",'3.1.1'!D48/'AW Schüler'!$G204)</f>
        <v>8.3460626810639982E-2</v>
      </c>
      <c r="J48" s="52">
        <f>IF('AW Schüler'!$J204=0,"x",'3.1.1'!E48/'AW Schüler'!$J204)</f>
        <v>9.1400667478064135E-2</v>
      </c>
      <c r="K48" s="52">
        <f>IF('AW Schüler'!$M204=0,"x",'3.1.1'!F48/'AW Schüler'!$M204)</f>
        <v>0.10028241544988023</v>
      </c>
      <c r="L48" s="53">
        <f>IF('AW Schüler'!$P204=0,"x",'3.1.1'!G48/'AW Schüler'!$P204)</f>
        <v>0.10865077520037277</v>
      </c>
    </row>
    <row r="49" spans="1:12" ht="9" customHeight="1">
      <c r="A49" s="21" t="s">
        <v>81</v>
      </c>
      <c r="B49" s="120"/>
      <c r="C49" s="23">
        <f>'3.2.1'!C49+'3.3.1'!C49</f>
        <v>77766</v>
      </c>
      <c r="D49" s="23">
        <f>'3.2.1'!D49+'3.3.1'!D49</f>
        <v>82475</v>
      </c>
      <c r="E49" s="23">
        <f>'3.2.1'!E49+'3.3.1'!E49</f>
        <v>85781</v>
      </c>
      <c r="F49" s="23">
        <f>'3.2.1'!F49+'3.3.1'!F49</f>
        <v>94118</v>
      </c>
      <c r="G49" s="34">
        <f>'3.2.1'!G49+'3.3.1'!G49</f>
        <v>160407</v>
      </c>
      <c r="H49" s="52">
        <f>IF('AW Schüler'!$D205=0,"x",'3.1.1'!C49/'AW Schüler'!$D205)</f>
        <v>6.5414334526110715E-2</v>
      </c>
      <c r="I49" s="52">
        <f>IF('AW Schüler'!$G205=0,"x",'3.1.1'!D49/'AW Schüler'!$G205)</f>
        <v>7.0507181516560533E-2</v>
      </c>
      <c r="J49" s="52">
        <f>IF('AW Schüler'!$J205=0,"x",'3.1.1'!E49/'AW Schüler'!$J205)</f>
        <v>7.4251456577080654E-2</v>
      </c>
      <c r="K49" s="52">
        <f>IF('AW Schüler'!$M205=0,"x",'3.1.1'!F49/'AW Schüler'!$M205)</f>
        <v>8.2099388428555353E-2</v>
      </c>
      <c r="L49" s="53">
        <f>IF('AW Schüler'!$P205=0,"x",'3.1.1'!G49/'AW Schüler'!$P205)</f>
        <v>0.14039950844811047</v>
      </c>
    </row>
    <row r="50" spans="1:12" ht="9" customHeight="1">
      <c r="A50" s="21" t="s">
        <v>82</v>
      </c>
      <c r="B50" s="120"/>
      <c r="C50" s="23">
        <f>'3.2.1'!C50+'3.3.1'!C50</f>
        <v>81738</v>
      </c>
      <c r="D50" s="23">
        <f>'3.2.1'!D50+'3.3.1'!D50</f>
        <v>98223</v>
      </c>
      <c r="E50" s="23">
        <f>'3.2.1'!E50+'3.3.1'!E50</f>
        <v>93077</v>
      </c>
      <c r="F50" s="23">
        <f>'3.2.1'!F50+'3.3.1'!F50</f>
        <v>102828</v>
      </c>
      <c r="G50" s="34">
        <f>'3.2.1'!G50+'3.3.1'!G50</f>
        <v>104933</v>
      </c>
      <c r="H50" s="52">
        <f>IF('AW Schüler'!$D206=0,"x",'3.1.1'!C50/'AW Schüler'!$D206)</f>
        <v>0.29672196609431156</v>
      </c>
      <c r="I50" s="52">
        <f>IF('AW Schüler'!$G206=0,"x",'3.1.1'!D50/'AW Schüler'!$G206)</f>
        <v>0.35267188728631904</v>
      </c>
      <c r="J50" s="52">
        <f>IF('AW Schüler'!$J206=0,"x",'3.1.1'!E50/'AW Schüler'!$J206)</f>
        <v>0.33069117678407745</v>
      </c>
      <c r="K50" s="52">
        <f>IF('AW Schüler'!$M206=0,"x",'3.1.1'!F50/'AW Schüler'!$M206)</f>
        <v>0.36014037447201969</v>
      </c>
      <c r="L50" s="53">
        <f>IF('AW Schüler'!$P206=0,"x",'3.1.1'!G50/'AW Schüler'!$P206)</f>
        <v>0.35439681987510513</v>
      </c>
    </row>
    <row r="51" spans="1:12" ht="9" customHeight="1">
      <c r="A51" s="21" t="s">
        <v>83</v>
      </c>
      <c r="B51" s="120"/>
      <c r="C51" s="23">
        <f>'3.2.1'!C51+'3.3.1'!C51</f>
        <v>62298</v>
      </c>
      <c r="D51" s="23">
        <f>'3.2.1'!D51+'3.3.1'!D51</f>
        <v>63966</v>
      </c>
      <c r="E51" s="23">
        <f>'3.2.1'!E51+'3.3.1'!E51</f>
        <v>64776</v>
      </c>
      <c r="F51" s="23">
        <f>'3.2.1'!F51+'3.3.1'!F51</f>
        <v>64692</v>
      </c>
      <c r="G51" s="34">
        <f>'3.2.1'!G51+'3.3.1'!G51</f>
        <v>58551</v>
      </c>
      <c r="H51" s="52">
        <f>IF('AW Schüler'!$D207=0,"x",'3.1.1'!C51/'AW Schüler'!$D207)</f>
        <v>0.32221825686222788</v>
      </c>
      <c r="I51" s="52">
        <f>IF('AW Schüler'!$G207=0,"x",'3.1.1'!D51/'AW Schüler'!$G207)</f>
        <v>0.3276745282052333</v>
      </c>
      <c r="J51" s="52">
        <f>IF('AW Schüler'!$J207=0,"x",'3.1.1'!E51/'AW Schüler'!$J207)</f>
        <v>0.32870039123749789</v>
      </c>
      <c r="K51" s="52">
        <f>IF('AW Schüler'!$M207=0,"x",'3.1.1'!F51/'AW Schüler'!$M207)</f>
        <v>0.32432595028726702</v>
      </c>
      <c r="L51" s="53">
        <f>IF('AW Schüler'!$P207=0,"x",'3.1.1'!G51/'AW Schüler'!$P207)</f>
        <v>0.28558955799003016</v>
      </c>
    </row>
    <row r="52" spans="1:12" ht="9" customHeight="1">
      <c r="A52" s="21" t="s">
        <v>84</v>
      </c>
      <c r="B52" s="120"/>
      <c r="C52" s="23">
        <f>'3.2.1'!C52+'3.3.1'!C52</f>
        <v>2147</v>
      </c>
      <c r="D52" s="23">
        <f>'3.2.1'!D52+'3.3.1'!D52</f>
        <v>2412</v>
      </c>
      <c r="E52" s="23">
        <f>'3.2.1'!E52+'3.3.1'!E52</f>
        <v>2521</v>
      </c>
      <c r="F52" s="23">
        <f>'3.2.1'!F52+'3.3.1'!F52</f>
        <v>3190</v>
      </c>
      <c r="G52" s="34">
        <f>'3.2.1'!G52+'3.3.1'!G52</f>
        <v>3072</v>
      </c>
      <c r="H52" s="52">
        <f>IF('AW Schüler'!$D208=0,"x",'3.1.1'!C52/'AW Schüler'!$D208)</f>
        <v>3.9430670339761248E-2</v>
      </c>
      <c r="I52" s="52">
        <f>IF('AW Schüler'!$G208=0,"x",'3.1.1'!D52/'AW Schüler'!$G208)</f>
        <v>4.4893628901669549E-2</v>
      </c>
      <c r="J52" s="52">
        <f>IF('AW Schüler'!$J208=0,"x",'3.1.1'!E52/'AW Schüler'!$J208)</f>
        <v>4.6916291361149366E-2</v>
      </c>
      <c r="K52" s="52">
        <f>IF('AW Schüler'!$M208=0,"x",'3.1.1'!F52/'AW Schüler'!$M208)</f>
        <v>5.8595543799709777E-2</v>
      </c>
      <c r="L52" s="53">
        <f>IF('AW Schüler'!$P208=0,"x",'3.1.1'!G52/'AW Schüler'!$P208)</f>
        <v>5.4715468875233771E-2</v>
      </c>
    </row>
    <row r="53" spans="1:12" ht="9" customHeight="1">
      <c r="A53" s="21" t="s">
        <v>85</v>
      </c>
      <c r="B53" s="120"/>
      <c r="C53" s="23">
        <f>'3.2.1'!C53+'3.3.1'!C53</f>
        <v>51719</v>
      </c>
      <c r="D53" s="23">
        <f>'3.2.1'!D53+'3.3.1'!D53</f>
        <v>77990</v>
      </c>
      <c r="E53" s="23">
        <f>'3.2.1'!E53+'3.3.1'!E53</f>
        <v>82613</v>
      </c>
      <c r="F53" s="23">
        <f>'3.2.1'!F53+'3.3.1'!F53</f>
        <v>88895</v>
      </c>
      <c r="G53" s="34">
        <f>'3.2.1'!G53+'3.3.1'!G53</f>
        <v>86427</v>
      </c>
      <c r="H53" s="52">
        <f>IF('AW Schüler'!$D209=0,"x",'3.1.1'!C53/'AW Schüler'!$D209)</f>
        <v>0.35684026052878509</v>
      </c>
      <c r="I53" s="52">
        <f>IF('AW Schüler'!$G209=0,"x",'3.1.1'!D53/'AW Schüler'!$G209)</f>
        <v>0.53480446276117921</v>
      </c>
      <c r="J53" s="52">
        <f>IF('AW Schüler'!$J209=0,"x",'3.1.1'!E53/'AW Schüler'!$J209)</f>
        <v>0.56248297837572847</v>
      </c>
      <c r="K53" s="52">
        <f>IF('AW Schüler'!$M209=0,"x",'3.1.1'!F53/'AW Schüler'!$M209)</f>
        <v>0.59865581078987951</v>
      </c>
      <c r="L53" s="53">
        <f>IF('AW Schüler'!$P209=0,"x",'3.1.1'!G53/'AW Schüler'!$P209)</f>
        <v>0.57136529511317957</v>
      </c>
    </row>
    <row r="54" spans="1:12" ht="9" customHeight="1">
      <c r="A54" s="21" t="s">
        <v>114</v>
      </c>
      <c r="B54" s="120"/>
      <c r="C54" s="23">
        <f>'3.2.1'!C54+'3.3.1'!C54</f>
        <v>199439</v>
      </c>
      <c r="D54" s="23">
        <f>'3.2.1'!D54+'3.3.1'!D54</f>
        <v>204828</v>
      </c>
      <c r="E54" s="23">
        <f>'3.2.1'!E54+'3.3.1'!E54</f>
        <v>211067</v>
      </c>
      <c r="F54" s="23">
        <f>'3.2.1'!F54+'3.3.1'!F54</f>
        <v>210602</v>
      </c>
      <c r="G54" s="34">
        <f>'3.2.1'!G54+'3.3.1'!G54</f>
        <v>229725</v>
      </c>
      <c r="H54" s="35">
        <v>0</v>
      </c>
      <c r="I54" s="35">
        <v>0</v>
      </c>
      <c r="J54" s="35">
        <v>0</v>
      </c>
      <c r="K54" s="35">
        <v>0</v>
      </c>
      <c r="L54" s="200">
        <v>0</v>
      </c>
    </row>
    <row r="55" spans="1:12" ht="9" customHeight="1">
      <c r="A55" s="21" t="s">
        <v>174</v>
      </c>
      <c r="B55" s="120"/>
      <c r="C55" s="23">
        <f>'3.2.1'!C55+'3.3.1'!C55</f>
        <v>16068</v>
      </c>
      <c r="D55" s="23">
        <f>'3.2.1'!D55+'3.3.1'!D55</f>
        <v>15450</v>
      </c>
      <c r="E55" s="23">
        <f>'3.2.1'!E55+'3.3.1'!E55</f>
        <v>17079</v>
      </c>
      <c r="F55" s="23">
        <f>'3.2.1'!F55+'3.3.1'!F55</f>
        <v>17340</v>
      </c>
      <c r="G55" s="34">
        <f>'3.2.1'!G55+'3.3.1'!G55</f>
        <v>10650</v>
      </c>
      <c r="H55" s="52">
        <f>IF('AW Schüler'!$D211=0,"x",'3.1.1'!C55/'AW Schüler'!$D211)</f>
        <v>0.13286476206226486</v>
      </c>
      <c r="I55" s="52">
        <f>IF('AW Schüler'!$G211=0,"x",'3.1.1'!D55/'AW Schüler'!$G211)</f>
        <v>0.12686395585627011</v>
      </c>
      <c r="J55" s="52">
        <f>IF('AW Schüler'!$J211=0,"x",'3.1.1'!E55/'AW Schüler'!$J211)</f>
        <v>0.13759184068058777</v>
      </c>
      <c r="K55" s="52">
        <f>IF('AW Schüler'!$M211=0,"x",'3.1.1'!F55/'AW Schüler'!$M211)</f>
        <v>0.1369689884516343</v>
      </c>
      <c r="L55" s="53">
        <f>IF('AW Schüler'!$P211=0,"x",'3.1.1'!G55/'AW Schüler'!$P211)</f>
        <v>8.226733407489803E-2</v>
      </c>
    </row>
    <row r="56" spans="1:12" ht="9" customHeight="1">
      <c r="A56" s="21" t="s">
        <v>88</v>
      </c>
      <c r="B56" s="120"/>
      <c r="C56" s="23">
        <f>'3.2.1'!C56+'3.3.1'!C56</f>
        <v>204688</v>
      </c>
      <c r="D56" s="23">
        <f>'3.2.1'!D56+'3.3.1'!D56</f>
        <v>212506</v>
      </c>
      <c r="E56" s="23">
        <f>'3.2.1'!E56+'3.3.1'!E56</f>
        <v>213095</v>
      </c>
      <c r="F56" s="23">
        <f>'3.2.1'!F56+'3.3.1'!F56</f>
        <v>194992</v>
      </c>
      <c r="G56" s="34">
        <f>'3.2.1'!G56+'3.3.1'!G56</f>
        <v>201138</v>
      </c>
      <c r="H56" s="35">
        <v>0</v>
      </c>
      <c r="I56" s="35">
        <v>0</v>
      </c>
      <c r="J56" s="35">
        <v>0</v>
      </c>
      <c r="K56" s="35">
        <v>0</v>
      </c>
      <c r="L56" s="200">
        <v>0</v>
      </c>
    </row>
    <row r="57" spans="1:12" ht="9" customHeight="1">
      <c r="A57" s="21" t="s">
        <v>89</v>
      </c>
      <c r="B57" s="120"/>
      <c r="C57" s="23">
        <f>'3.2.1'!C57+'3.3.1'!C57</f>
        <v>243446</v>
      </c>
      <c r="D57" s="23">
        <f>'3.2.1'!D57+'3.3.1'!D57</f>
        <v>248038</v>
      </c>
      <c r="E57" s="23">
        <f>'3.2.1'!E57+'3.3.1'!E57</f>
        <v>260960</v>
      </c>
      <c r="F57" s="23">
        <f>'3.2.1'!F57+'3.3.1'!F57</f>
        <v>269944</v>
      </c>
      <c r="G57" s="34">
        <f>'3.2.1'!G57+'3.3.1'!G57</f>
        <v>286172</v>
      </c>
      <c r="H57" s="52">
        <f>IF('AW Schüler'!$D213=0,"x",'3.1.1'!C57/'AW Schüler'!$D213)</f>
        <v>0.1399361841428344</v>
      </c>
      <c r="I57" s="52">
        <f>IF('AW Schüler'!$G213=0,"x",'3.1.1'!D57/'AW Schüler'!$G213)</f>
        <v>0.14582321643787297</v>
      </c>
      <c r="J57" s="52">
        <f>IF('AW Schüler'!$J213=0,"x",'3.1.1'!E57/'AW Schüler'!$J213)</f>
        <v>0.15556835266611108</v>
      </c>
      <c r="K57" s="52">
        <f>IF('AW Schüler'!$M213=0,"x",'3.1.1'!F57/'AW Schüler'!$M213)</f>
        <v>0.16260687596304324</v>
      </c>
      <c r="L57" s="53">
        <f>IF('AW Schüler'!$P213=0,"x",'3.1.1'!G57/'AW Schüler'!$P213)</f>
        <v>0.17136591760097775</v>
      </c>
    </row>
    <row r="58" spans="1:12" ht="9" customHeight="1">
      <c r="A58" s="21" t="s">
        <v>90</v>
      </c>
      <c r="B58" s="120"/>
      <c r="C58" s="23">
        <f>'3.2.1'!C58+'3.3.1'!C58</f>
        <v>11002</v>
      </c>
      <c r="D58" s="23">
        <f>'3.2.1'!D58+'3.3.1'!D58</f>
        <v>11708</v>
      </c>
      <c r="E58" s="23">
        <f>'3.2.1'!E58+'3.3.1'!E58</f>
        <v>14117</v>
      </c>
      <c r="F58" s="23">
        <f>'3.2.1'!F58+'3.3.1'!F58</f>
        <v>15813</v>
      </c>
      <c r="G58" s="34">
        <f>'3.2.1'!G58+'3.3.1'!G58</f>
        <v>19737</v>
      </c>
      <c r="H58" s="52">
        <f>IF('AW Schüler'!$D214=0,"x",'3.1.1'!C58/'AW Schüler'!$D214)</f>
        <v>2.8694307301895306E-2</v>
      </c>
      <c r="I58" s="52">
        <f>IF('AW Schüler'!$G214=0,"x",'3.1.1'!D58/'AW Schüler'!$G214)</f>
        <v>3.1368472381115689E-2</v>
      </c>
      <c r="J58" s="52">
        <f>IF('AW Schüler'!$J214=0,"x",'3.1.1'!E58/'AW Schüler'!$J214)</f>
        <v>3.8485444939397082E-2</v>
      </c>
      <c r="K58" s="52">
        <f>IF('AW Schüler'!$M214=0,"x",'3.1.1'!F58/'AW Schüler'!$M214)</f>
        <v>4.3568824856795696E-2</v>
      </c>
      <c r="L58" s="53">
        <f>IF('AW Schüler'!$P214=0,"x",'3.1.1'!G58/'AW Schüler'!$P214)</f>
        <v>5.4382987165427665E-2</v>
      </c>
    </row>
    <row r="59" spans="1:12" ht="9" customHeight="1">
      <c r="A59" s="21" t="s">
        <v>91</v>
      </c>
      <c r="B59" s="120"/>
      <c r="C59" s="23">
        <f>'3.2.1'!C59+'3.3.1'!C59</f>
        <v>16931</v>
      </c>
      <c r="D59" s="23">
        <f>'3.2.1'!D59+'3.3.1'!D59</f>
        <v>16526</v>
      </c>
      <c r="E59" s="23">
        <f>'3.2.1'!E59+'3.3.1'!E59</f>
        <v>17130</v>
      </c>
      <c r="F59" s="23">
        <f>'3.2.1'!F59+'3.3.1'!F59</f>
        <v>18621</v>
      </c>
      <c r="G59" s="34">
        <f>'3.2.1'!G59+'3.3.1'!G59</f>
        <v>19197</v>
      </c>
      <c r="H59" s="52">
        <f>IF('AW Schüler'!$D215=0,"x",'3.1.1'!C59/'AW Schüler'!$D215)</f>
        <v>0.20663436542709643</v>
      </c>
      <c r="I59" s="52">
        <f>IF('AW Schüler'!$G215=0,"x",'3.1.1'!D59/'AW Schüler'!$G215)</f>
        <v>0.20688791797593861</v>
      </c>
      <c r="J59" s="52">
        <f>IF('AW Schüler'!$J215=0,"x",'3.1.1'!E59/'AW Schüler'!$J215)</f>
        <v>0.21734165651644335</v>
      </c>
      <c r="K59" s="52">
        <f>IF('AW Schüler'!$M215=0,"x",'3.1.1'!F59/'AW Schüler'!$M215)</f>
        <v>0.23755214512610509</v>
      </c>
      <c r="L59" s="53">
        <f>IF('AW Schüler'!$P215=0,"x",'3.1.1'!G59/'AW Schüler'!$P215)</f>
        <v>0.24132295817672125</v>
      </c>
    </row>
    <row r="60" spans="1:12" ht="9" customHeight="1">
      <c r="A60" s="21" t="s">
        <v>92</v>
      </c>
      <c r="B60" s="120"/>
      <c r="C60" s="23">
        <f>'3.2.1'!C60+'3.3.1'!C60</f>
        <v>150027</v>
      </c>
      <c r="D60" s="23">
        <f>'3.2.1'!D60+'3.3.1'!D60</f>
        <v>156003</v>
      </c>
      <c r="E60" s="23">
        <f>'3.2.1'!E60+'3.3.1'!E60</f>
        <v>157313</v>
      </c>
      <c r="F60" s="23">
        <f>'3.2.1'!F60+'3.3.1'!F60</f>
        <v>153623</v>
      </c>
      <c r="G60" s="34">
        <f>'3.2.1'!G60+'3.3.1'!G60</f>
        <v>159499</v>
      </c>
      <c r="H60" s="52">
        <f>IF('AW Schüler'!$D216=0,"x",'3.1.1'!C60/'AW Schüler'!$D216)</f>
        <v>0.4985030984698709</v>
      </c>
      <c r="I60" s="52">
        <f>IF('AW Schüler'!$G216=0,"x",'3.1.1'!D60/'AW Schüler'!$G216)</f>
        <v>0.50991204186428107</v>
      </c>
      <c r="J60" s="52">
        <f>IF('AW Schüler'!$J216=0,"x",'3.1.1'!E60/'AW Schüler'!$J216)</f>
        <v>0.50486854604739528</v>
      </c>
      <c r="K60" s="52">
        <f>IF('AW Schüler'!$M216=0,"x",'3.1.1'!F60/'AW Schüler'!$M216)</f>
        <v>0.48274355888369697</v>
      </c>
      <c r="L60" s="53">
        <f>IF('AW Schüler'!$P216=0,"x",'3.1.1'!G60/'AW Schüler'!$P216)</f>
        <v>0.48839929572073798</v>
      </c>
    </row>
    <row r="61" spans="1:12" ht="9" customHeight="1">
      <c r="A61" s="21" t="s">
        <v>93</v>
      </c>
      <c r="B61" s="120"/>
      <c r="C61" s="23">
        <f>'3.2.1'!C61+'3.3.1'!C61</f>
        <v>24212</v>
      </c>
      <c r="D61" s="23">
        <f>'3.2.1'!D61+'3.3.1'!D61</f>
        <v>24742</v>
      </c>
      <c r="E61" s="23">
        <f>'3.2.1'!E61+'3.3.1'!E61</f>
        <v>24106</v>
      </c>
      <c r="F61" s="23">
        <f>'3.2.1'!F61+'3.3.1'!F61</f>
        <v>24213</v>
      </c>
      <c r="G61" s="34">
        <f>'3.2.1'!G61+'3.3.1'!G61</f>
        <v>68482</v>
      </c>
      <c r="H61" s="35">
        <v>0</v>
      </c>
      <c r="I61" s="35">
        <v>0</v>
      </c>
      <c r="J61" s="35">
        <v>0</v>
      </c>
      <c r="K61" s="35">
        <v>0</v>
      </c>
      <c r="L61" s="200">
        <v>0</v>
      </c>
    </row>
    <row r="62" spans="1:12" ht="9" customHeight="1">
      <c r="A62" s="21" t="s">
        <v>94</v>
      </c>
      <c r="B62" s="120"/>
      <c r="C62" s="23">
        <f>'3.2.1'!C62+'3.3.1'!C62</f>
        <v>53310</v>
      </c>
      <c r="D62" s="23">
        <f>'3.2.1'!D62+'3.3.1'!D62</f>
        <v>51759</v>
      </c>
      <c r="E62" s="23">
        <f>'3.2.1'!E62+'3.3.1'!E62</f>
        <v>52810</v>
      </c>
      <c r="F62" s="23">
        <f>'3.2.1'!F62+'3.3.1'!F62</f>
        <v>54185</v>
      </c>
      <c r="G62" s="34">
        <f>'3.2.1'!G62+'3.3.1'!G62</f>
        <v>54693</v>
      </c>
      <c r="H62" s="52">
        <f>IF('AW Schüler'!$D218=0,"x",'3.1.1'!C62/'AW Schüler'!$D218)</f>
        <v>0.1915799687348391</v>
      </c>
      <c r="I62" s="52">
        <f>IF('AW Schüler'!$G218=0,"x",'3.1.1'!D62/'AW Schüler'!$G218)</f>
        <v>0.19648402207830662</v>
      </c>
      <c r="J62" s="52">
        <f>IF('AW Schüler'!$J218=0,"x",'3.1.1'!E62/'AW Schüler'!$J218)</f>
        <v>0.2035247825433468</v>
      </c>
      <c r="K62" s="52">
        <f>IF('AW Schüler'!$M218=0,"x",'3.1.1'!F62/'AW Schüler'!$M218)</f>
        <v>0.21018638840939508</v>
      </c>
      <c r="L62" s="53">
        <f>IF('AW Schüler'!$P218=0,"x",'3.1.1'!G62/'AW Schüler'!$P218)</f>
        <v>0.21141885231643442</v>
      </c>
    </row>
    <row r="63" spans="1:12" ht="9" customHeight="1">
      <c r="A63" s="21" t="s">
        <v>95</v>
      </c>
      <c r="B63" s="120"/>
      <c r="C63" s="23">
        <f>'3.2.1'!C63+'3.3.1'!C63</f>
        <v>64175</v>
      </c>
      <c r="D63" s="23">
        <f>'3.2.1'!D63+'3.3.1'!D63</f>
        <v>62282</v>
      </c>
      <c r="E63" s="23">
        <f>'3.2.1'!E63+'3.3.1'!E63</f>
        <v>62233</v>
      </c>
      <c r="F63" s="23">
        <f>'3.2.1'!F63+'3.3.1'!F63</f>
        <v>62268</v>
      </c>
      <c r="G63" s="34">
        <f>'3.2.1'!G63+'3.3.1'!G63</f>
        <v>64678</v>
      </c>
      <c r="H63" s="52">
        <f>IF('AW Schüler'!$D219=0,"x",'3.1.1'!C63/'AW Schüler'!$D219)</f>
        <v>0.39414933146622938</v>
      </c>
      <c r="I63" s="52">
        <f>IF('AW Schüler'!$G219=0,"x",'3.1.1'!D63/'AW Schüler'!$G219)</f>
        <v>0.38096694477747056</v>
      </c>
      <c r="J63" s="52">
        <f>IF('AW Schüler'!$J219=0,"x",'3.1.1'!E63/'AW Schüler'!$J219)</f>
        <v>0.37732520068876868</v>
      </c>
      <c r="K63" s="52">
        <f>IF('AW Schüler'!$M219=0,"x",'3.1.1'!F63/'AW Schüler'!$M219)</f>
        <v>0.37223816355810618</v>
      </c>
      <c r="L63" s="53">
        <f>IF('AW Schüler'!$P219=0,"x",'3.1.1'!G63/'AW Schüler'!$P219)</f>
        <v>0.37935423326197248</v>
      </c>
    </row>
    <row r="64" spans="1:12" ht="8.65" customHeight="1">
      <c r="A64" s="24" t="s">
        <v>96</v>
      </c>
      <c r="B64" s="121"/>
      <c r="C64" s="26">
        <f>'3.2.1'!C64+'3.3.1'!C64</f>
        <v>1340315</v>
      </c>
      <c r="D64" s="26">
        <f>'3.2.1'!D64+'3.3.1'!D64</f>
        <v>1414471</v>
      </c>
      <c r="E64" s="26">
        <f>'3.2.1'!E64+'3.3.1'!E64</f>
        <v>1451273</v>
      </c>
      <c r="F64" s="26">
        <f>'3.2.1'!F64+'3.3.1'!F64</f>
        <v>1475885</v>
      </c>
      <c r="G64" s="47">
        <f>'3.2.1'!G64+'3.3.1'!G64</f>
        <v>1636257</v>
      </c>
      <c r="H64" s="191">
        <f>IF('AW Schüler'!$D220=0,"x",'3.1.1'!C64/'AW Schüler'!$D220)</f>
        <v>0.1816954983996931</v>
      </c>
      <c r="I64" s="191">
        <f>IF('AW Schüler'!$G220=0,"x",'3.1.1'!D64/'AW Schüler'!$G220)</f>
        <v>0.19478722450538247</v>
      </c>
      <c r="J64" s="191">
        <f>IF('AW Schüler'!$J220=0,"x",'3.1.1'!E64/'AW Schüler'!$J220)</f>
        <v>0.20154122957852061</v>
      </c>
      <c r="K64" s="191">
        <f>IF('AW Schüler'!$M220=0,"x",'3.1.1'!F64/'AW Schüler'!$M220)</f>
        <v>0.20578596424789827</v>
      </c>
      <c r="L64" s="192">
        <f>IF('AW Schüler'!$P220=0,"x",'3.1.1'!G64/'AW Schüler'!$P220)</f>
        <v>0.22646745090158227</v>
      </c>
    </row>
    <row r="65" spans="1:12" ht="18.75" customHeight="1">
      <c r="A65" s="396" t="s">
        <v>312</v>
      </c>
      <c r="B65" s="396"/>
      <c r="C65" s="396"/>
      <c r="D65" s="396"/>
      <c r="E65" s="396"/>
      <c r="F65" s="396"/>
      <c r="G65" s="396"/>
      <c r="H65" s="396"/>
      <c r="I65" s="396"/>
      <c r="J65" s="396"/>
      <c r="K65" s="396"/>
      <c r="L65" s="396"/>
    </row>
    <row r="66" spans="1:12" ht="18.600000000000001" customHeight="1">
      <c r="A66" s="381" t="s">
        <v>206</v>
      </c>
      <c r="B66" s="381"/>
      <c r="C66" s="381"/>
      <c r="D66" s="381"/>
      <c r="E66" s="381"/>
      <c r="F66" s="381"/>
      <c r="G66" s="381"/>
      <c r="H66" s="381"/>
      <c r="I66" s="381"/>
      <c r="J66" s="395"/>
      <c r="K66" s="395"/>
      <c r="L66" s="395"/>
    </row>
    <row r="67" spans="1:12" ht="10.5" customHeight="1">
      <c r="A67" s="387" t="s">
        <v>292</v>
      </c>
      <c r="B67" s="387"/>
      <c r="C67" s="387"/>
      <c r="D67" s="387"/>
      <c r="E67" s="387"/>
      <c r="F67" s="387"/>
      <c r="G67" s="387"/>
      <c r="H67" s="387"/>
      <c r="I67" s="387"/>
      <c r="J67" s="256"/>
      <c r="K67" s="284"/>
      <c r="L67" s="351"/>
    </row>
    <row r="68" spans="1:12" ht="10.15" hidden="1" customHeight="1">
      <c r="A68" s="221"/>
      <c r="B68" s="213"/>
      <c r="C68" s="213"/>
      <c r="D68" s="235"/>
      <c r="E68" s="254"/>
      <c r="F68" s="321"/>
      <c r="G68" s="347"/>
      <c r="H68" s="213"/>
      <c r="I68" s="235"/>
      <c r="J68" s="254"/>
      <c r="K68" s="321"/>
      <c r="L68" s="347"/>
    </row>
    <row r="69" spans="1:12" ht="10.15" customHeight="1">
      <c r="A69" s="306" t="s">
        <v>227</v>
      </c>
    </row>
    <row r="83" spans="1:1" ht="10.5" customHeight="1"/>
    <row r="84" spans="1:1" ht="10.15" customHeight="1">
      <c r="A84" s="214"/>
    </row>
  </sheetData>
  <mergeCells count="9">
    <mergeCell ref="A1:L1"/>
    <mergeCell ref="A67:I67"/>
    <mergeCell ref="C9:G9"/>
    <mergeCell ref="H9:L9"/>
    <mergeCell ref="A11:L11"/>
    <mergeCell ref="A29:L29"/>
    <mergeCell ref="A47:L47"/>
    <mergeCell ref="A66:L66"/>
    <mergeCell ref="A65:L65"/>
  </mergeCells>
  <phoneticPr fontId="18" type="noConversion"/>
  <conditionalFormatting sqref="N25">
    <cfRule type="cellIs" dxfId="35"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83"/>
  <sheetViews>
    <sheetView view="pageBreakPreview" zoomScale="175" zoomScaleNormal="100" zoomScaleSheetLayoutView="175" workbookViewId="0">
      <selection activeCell="F27" sqref="F27"/>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'3.1.1'!A1:E1+1</f>
        <v>36</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2.6" customHeight="1">
      <c r="A5" s="13" t="s">
        <v>40</v>
      </c>
      <c r="B5" s="39" t="s">
        <v>7</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38807</v>
      </c>
      <c r="D12" s="42">
        <f t="shared" ref="D12:E12" si="1">SUM(D30+D48)</f>
        <v>39546</v>
      </c>
      <c r="E12" s="42">
        <f t="shared" si="1"/>
        <v>40954</v>
      </c>
      <c r="F12" s="42">
        <f t="shared" ref="F12:G12" si="2">SUM(F30+F48)</f>
        <v>46554</v>
      </c>
      <c r="G12" s="44">
        <f t="shared" si="2"/>
        <v>54978</v>
      </c>
      <c r="H12" s="153">
        <f>IF('AW Schüler'!$D6=0,"x",C12/'AW Schüler'!$D6)</f>
        <v>0.10618788581935992</v>
      </c>
      <c r="I12" s="153">
        <f>IF('AW Schüler'!$G6=0,"x",D12/'AW Schüler'!$G6)</f>
        <v>0.11372126126903334</v>
      </c>
      <c r="J12" s="153">
        <f>IF('AW Schüler'!$J6=0,"x",E12/'AW Schüler'!$J6)</f>
        <v>0.12273877027464426</v>
      </c>
      <c r="K12" s="153">
        <f>IF('AW Schüler'!$M6=0,"x",F12/'AW Schüler'!$M6)</f>
        <v>0.14215526112486909</v>
      </c>
      <c r="L12" s="154">
        <f>IF('AW Schüler'!$P6=0,"x",G12/'AW Schüler'!$P6)</f>
        <v>0.16680117232298347</v>
      </c>
    </row>
    <row r="13" spans="1:13" ht="9" customHeight="1">
      <c r="A13" s="21" t="s">
        <v>81</v>
      </c>
      <c r="B13" s="120"/>
      <c r="C13" s="42">
        <f t="shared" si="0"/>
        <v>35229</v>
      </c>
      <c r="D13" s="42">
        <f t="shared" ref="D13:E13" si="3">SUM(D31+D49)</f>
        <v>38413</v>
      </c>
      <c r="E13" s="42">
        <f t="shared" si="3"/>
        <v>41625</v>
      </c>
      <c r="F13" s="42">
        <f t="shared" ref="F13:G13" si="4">SUM(F31+F49)</f>
        <v>47058</v>
      </c>
      <c r="G13" s="44">
        <f t="shared" si="4"/>
        <v>106335</v>
      </c>
      <c r="H13" s="153">
        <f>IF('AW Schüler'!$D7=0,"x",C13/'AW Schüler'!$D7)</f>
        <v>8.3399027023188091E-2</v>
      </c>
      <c r="I13" s="153">
        <f>IF('AW Schüler'!$G7=0,"x",D13/'AW Schüler'!$G7)</f>
        <v>9.2113088101290111E-2</v>
      </c>
      <c r="J13" s="153">
        <f>IF('AW Schüler'!$J7=0,"x",E13/'AW Schüler'!$J7)</f>
        <v>9.9079542127550185E-2</v>
      </c>
      <c r="K13" s="153">
        <f>IF('AW Schüler'!$M7=0,"x",F13/'AW Schüler'!$M7)</f>
        <v>0.1109110364235445</v>
      </c>
      <c r="L13" s="154">
        <f>IF('AW Schüler'!$P7=0,"x",G13/'AW Schüler'!$P7)</f>
        <v>0.24603819162449761</v>
      </c>
    </row>
    <row r="14" spans="1:13" ht="9" customHeight="1">
      <c r="A14" s="21" t="s">
        <v>82</v>
      </c>
      <c r="B14" s="120"/>
      <c r="C14" s="42">
        <f t="shared" si="0"/>
        <v>80392</v>
      </c>
      <c r="D14" s="42">
        <f t="shared" ref="D14:E14" si="5">SUM(D32+D50)</f>
        <v>86033</v>
      </c>
      <c r="E14" s="42">
        <f t="shared" si="5"/>
        <v>85533</v>
      </c>
      <c r="F14" s="42">
        <f t="shared" ref="F14:G14" si="6">SUM(F32+F50)</f>
        <v>87426</v>
      </c>
      <c r="G14" s="44">
        <f t="shared" si="6"/>
        <v>91472</v>
      </c>
      <c r="H14" s="153">
        <f>IF('AW Schüler'!$D8=0,"x",C14/'AW Schüler'!$D8)</f>
        <v>0.78099012978938365</v>
      </c>
      <c r="I14" s="153">
        <f>IF('AW Schüler'!$G8=0,"x",D14/'AW Schüler'!$G8)</f>
        <v>0.80459565872043548</v>
      </c>
      <c r="J14" s="153">
        <f>IF('AW Schüler'!$J8=0,"x",E14/'AW Schüler'!$J8)</f>
        <v>0.77672539048310929</v>
      </c>
      <c r="K14" s="153">
        <f>IF('AW Schüler'!$M8=0,"x",F14/'AW Schüler'!$M8)</f>
        <v>0.77185083165589574</v>
      </c>
      <c r="L14" s="154">
        <f>IF('AW Schüler'!$P8=0,"x",G14/'AW Schüler'!$P8)</f>
        <v>0.77989888052384326</v>
      </c>
    </row>
    <row r="15" spans="1:13" ht="9" customHeight="1">
      <c r="A15" s="21" t="s">
        <v>83</v>
      </c>
      <c r="B15" s="120"/>
      <c r="C15" s="42">
        <f t="shared" si="0"/>
        <v>32641</v>
      </c>
      <c r="D15" s="42">
        <f t="shared" ref="D15:E15" si="7">SUM(D33+D51)</f>
        <v>32717</v>
      </c>
      <c r="E15" s="42">
        <f t="shared" si="7"/>
        <v>33270</v>
      </c>
      <c r="F15" s="42">
        <f t="shared" ref="F15:G15" si="8">SUM(F33+F51)</f>
        <v>33488</v>
      </c>
      <c r="G15" s="44">
        <f t="shared" si="8"/>
        <v>36120</v>
      </c>
      <c r="H15" s="153">
        <f>IF('AW Schüler'!$D9=0,"x",C15/'AW Schüler'!$D9)</f>
        <v>0.4251680300109415</v>
      </c>
      <c r="I15" s="153">
        <f>IF('AW Schüler'!$G9=0,"x",D15/'AW Schüler'!$G9)</f>
        <v>0.42284776343168806</v>
      </c>
      <c r="J15" s="153">
        <f>IF('AW Schüler'!$J9=0,"x",E15/'AW Schüler'!$J9)</f>
        <v>0.42061746188272775</v>
      </c>
      <c r="K15" s="153">
        <f>IF('AW Schüler'!$M9=0,"x",F15/'AW Schüler'!$M9)</f>
        <v>0.4104827045181535</v>
      </c>
      <c r="L15" s="154">
        <f>IF('AW Schüler'!$P9=0,"x",G15/'AW Schüler'!$P9)</f>
        <v>0.42414279004227334</v>
      </c>
    </row>
    <row r="16" spans="1:13" ht="9" customHeight="1">
      <c r="A16" s="21" t="s">
        <v>84</v>
      </c>
      <c r="B16" s="120"/>
      <c r="C16" s="42">
        <f t="shared" si="0"/>
        <v>6993</v>
      </c>
      <c r="D16" s="42">
        <f t="shared" ref="D16:E16" si="9">SUM(D34+D52)</f>
        <v>7507</v>
      </c>
      <c r="E16" s="42">
        <f t="shared" si="9"/>
        <v>8139</v>
      </c>
      <c r="F16" s="42">
        <f t="shared" ref="F16:G16" si="10">SUM(F34+F52)</f>
        <v>9016</v>
      </c>
      <c r="G16" s="44">
        <f t="shared" si="10"/>
        <v>9582</v>
      </c>
      <c r="H16" s="153">
        <f>IF('AW Schüler'!$D10=0,"x",C16/'AW Schüler'!$D10)</f>
        <v>0.33578219533275711</v>
      </c>
      <c r="I16" s="153">
        <f>IF('AW Schüler'!$G10=0,"x",D16/'AW Schüler'!$G10)</f>
        <v>0.35889467896925947</v>
      </c>
      <c r="J16" s="153">
        <f>IF('AW Schüler'!$J10=0,"x",E16/'AW Schüler'!$J10)</f>
        <v>0.38171841290685676</v>
      </c>
      <c r="K16" s="153">
        <f>IF('AW Schüler'!$M10=0,"x",F16/'AW Schüler'!$M10)</f>
        <v>0.41369184179131874</v>
      </c>
      <c r="L16" s="154">
        <f>IF('AW Schüler'!$P10=0,"x",G16/'AW Schüler'!$P10)</f>
        <v>0.42577205065540991</v>
      </c>
    </row>
    <row r="17" spans="1:12" ht="9" customHeight="1">
      <c r="A17" s="21" t="s">
        <v>85</v>
      </c>
      <c r="B17" s="120"/>
      <c r="C17" s="42">
        <f t="shared" si="0"/>
        <v>21887</v>
      </c>
      <c r="D17" s="42">
        <f t="shared" ref="D17:E17" si="11">SUM(D35+D53)</f>
        <v>50976</v>
      </c>
      <c r="E17" s="42">
        <f t="shared" si="11"/>
        <v>52698</v>
      </c>
      <c r="F17" s="42">
        <f t="shared" ref="F17:G17" si="12">SUM(F35+F53)</f>
        <v>54274</v>
      </c>
      <c r="G17" s="44">
        <f t="shared" si="12"/>
        <v>56098</v>
      </c>
      <c r="H17" s="153">
        <f>IF('AW Schüler'!$D11=0,"x",C17/'AW Schüler'!$D11)</f>
        <v>0.4155969922527723</v>
      </c>
      <c r="I17" s="153">
        <f>IF('AW Schüler'!$G11=0,"x",D17/'AW Schüler'!$G11)</f>
        <v>0.95566262349787223</v>
      </c>
      <c r="J17" s="153">
        <f>IF('AW Schüler'!$J11=0,"x",E17/'AW Schüler'!$J11)</f>
        <v>0.96748609300703148</v>
      </c>
      <c r="K17" s="153">
        <f>IF('AW Schüler'!$M11=0,"x",F17/'AW Schüler'!$M11)</f>
        <v>0.98123372866647385</v>
      </c>
      <c r="L17" s="154">
        <f>IF('AW Schüler'!$P11=0,"x",G17/'AW Schüler'!$P11)</f>
        <v>0.98171254571863575</v>
      </c>
    </row>
    <row r="18" spans="1:12" ht="9" customHeight="1">
      <c r="A18" s="21" t="s">
        <v>114</v>
      </c>
      <c r="B18" s="120"/>
      <c r="C18" s="42">
        <f t="shared" si="0"/>
        <v>44726</v>
      </c>
      <c r="D18" s="42">
        <f t="shared" ref="D18:E18" si="13">SUM(D36+D54)</f>
        <v>51574</v>
      </c>
      <c r="E18" s="42">
        <f t="shared" si="13"/>
        <v>55624</v>
      </c>
      <c r="F18" s="42">
        <f t="shared" ref="F18:G18" si="14">SUM(F36+F54)</f>
        <v>55929</v>
      </c>
      <c r="G18" s="44">
        <f t="shared" si="14"/>
        <v>69700</v>
      </c>
      <c r="H18" s="182">
        <v>0</v>
      </c>
      <c r="I18" s="182">
        <v>0</v>
      </c>
      <c r="J18" s="182">
        <v>0</v>
      </c>
      <c r="K18" s="182">
        <v>0</v>
      </c>
      <c r="L18" s="196">
        <v>0</v>
      </c>
    </row>
    <row r="19" spans="1:12" ht="9" customHeight="1">
      <c r="A19" s="21" t="s">
        <v>176</v>
      </c>
      <c r="B19" s="120"/>
      <c r="C19" s="42">
        <f t="shared" si="0"/>
        <v>1009</v>
      </c>
      <c r="D19" s="42">
        <f t="shared" ref="D19:E19" si="15">SUM(D37+D55)</f>
        <v>1019</v>
      </c>
      <c r="E19" s="42">
        <f t="shared" si="15"/>
        <v>717</v>
      </c>
      <c r="F19" s="42">
        <f t="shared" ref="F19:G19" si="16">SUM(F37+F55)</f>
        <v>1169</v>
      </c>
      <c r="G19" s="44">
        <f t="shared" si="16"/>
        <v>0</v>
      </c>
      <c r="H19" s="153">
        <f>IF('AW Schüler'!$D13=0,"x",C19/'AW Schüler'!$D13)</f>
        <v>2.0554921773142113E-2</v>
      </c>
      <c r="I19" s="153">
        <f>IF('AW Schüler'!$G13=0,"x",D19/'AW Schüler'!$G13)</f>
        <v>2.0645082863973419E-2</v>
      </c>
      <c r="J19" s="153">
        <f>IF('AW Schüler'!$J13=0,"x",E19/'AW Schüler'!$J13)</f>
        <v>1.4297963985881509E-2</v>
      </c>
      <c r="K19" s="153">
        <f>IF('AW Schüler'!$M13=0,"x",F19/'AW Schüler'!$M13)</f>
        <v>2.2575848284119657E-2</v>
      </c>
      <c r="L19" s="154">
        <f>IF('AW Schüler'!$P13=0,"x",G19/'AW Schüler'!$P13)</f>
        <v>0</v>
      </c>
    </row>
    <row r="20" spans="1:12" ht="9" customHeight="1">
      <c r="A20" s="21" t="s">
        <v>88</v>
      </c>
      <c r="B20" s="120"/>
      <c r="C20" s="42">
        <f t="shared" si="0"/>
        <v>61411</v>
      </c>
      <c r="D20" s="42">
        <f t="shared" ref="D20:E20" si="17">SUM(D38+D56)</f>
        <v>69510</v>
      </c>
      <c r="E20" s="42">
        <f t="shared" si="17"/>
        <v>77279</v>
      </c>
      <c r="F20" s="42">
        <f t="shared" ref="F20:G20" si="18">SUM(F38+F56)</f>
        <v>84738</v>
      </c>
      <c r="G20" s="44">
        <f t="shared" si="18"/>
        <v>94347</v>
      </c>
      <c r="H20" s="182">
        <v>0</v>
      </c>
      <c r="I20" s="182">
        <v>0</v>
      </c>
      <c r="J20" s="182">
        <v>0</v>
      </c>
      <c r="K20" s="182">
        <v>0</v>
      </c>
      <c r="L20" s="196">
        <v>0</v>
      </c>
    </row>
    <row r="21" spans="1:12" ht="9" customHeight="1">
      <c r="A21" s="21" t="s">
        <v>89</v>
      </c>
      <c r="B21" s="120"/>
      <c r="C21" s="42">
        <f t="shared" si="0"/>
        <v>235620</v>
      </c>
      <c r="D21" s="42">
        <f t="shared" ref="D21:E21" si="19">SUM(D39+D57)</f>
        <v>240490</v>
      </c>
      <c r="E21" s="42">
        <f t="shared" si="19"/>
        <v>253649</v>
      </c>
      <c r="F21" s="42">
        <f t="shared" ref="F21:G21" si="20">SUM(F39+F57)</f>
        <v>262727</v>
      </c>
      <c r="G21" s="44">
        <f t="shared" si="20"/>
        <v>278773</v>
      </c>
      <c r="H21" s="153">
        <f>IF('AW Schüler'!$D15=0,"x",C21/'AW Schüler'!$D15)</f>
        <v>0.36827766654318844</v>
      </c>
      <c r="I21" s="153">
        <f>IF('AW Schüler'!$G15=0,"x",D21/'AW Schüler'!$G15)</f>
        <v>0.3845010072586576</v>
      </c>
      <c r="J21" s="153">
        <f>IF('AW Schüler'!$J15=0,"x",E21/'AW Schüler'!$J15)</f>
        <v>0.40569364850621298</v>
      </c>
      <c r="K21" s="153">
        <f>IF('AW Schüler'!$M15=0,"x",F21/'AW Schüler'!$M15)</f>
        <v>0.42391663883335673</v>
      </c>
      <c r="L21" s="154">
        <f>IF('AW Schüler'!$P15=0,"x",G21/'AW Schüler'!$P15)</f>
        <v>0.44054165955537011</v>
      </c>
    </row>
    <row r="22" spans="1:12" ht="9" customHeight="1">
      <c r="A22" s="21" t="s">
        <v>90</v>
      </c>
      <c r="B22" s="120"/>
      <c r="C22" s="42">
        <f t="shared" si="0"/>
        <v>35569</v>
      </c>
      <c r="D22" s="42">
        <f t="shared" ref="D22:E22" si="21">SUM(D40+D58)</f>
        <v>37646</v>
      </c>
      <c r="E22" s="42">
        <f t="shared" si="21"/>
        <v>42078</v>
      </c>
      <c r="F22" s="42">
        <f t="shared" ref="F22:G22" si="22">SUM(F40+F58)</f>
        <v>45452</v>
      </c>
      <c r="G22" s="44">
        <f t="shared" si="22"/>
        <v>50852</v>
      </c>
      <c r="H22" s="153">
        <f>IF('AW Schüler'!$D16=0,"x",C22/'AW Schüler'!$D16)</f>
        <v>0.26271123847790123</v>
      </c>
      <c r="I22" s="153">
        <f>IF('AW Schüler'!$G16=0,"x",D22/'AW Schüler'!$G16)</f>
        <v>0.28301007367313186</v>
      </c>
      <c r="J22" s="153">
        <f>IF('AW Schüler'!$J16=0,"x",E22/'AW Schüler'!$J16)</f>
        <v>0.31470304471718008</v>
      </c>
      <c r="K22" s="153">
        <f>IF('AW Schüler'!$M16=0,"x",F22/'AW Schüler'!$M16)</f>
        <v>0.33705098923264021</v>
      </c>
      <c r="L22" s="154">
        <f>IF('AW Schüler'!$P16=0,"x",G22/'AW Schüler'!$P16)</f>
        <v>0.36922317337922123</v>
      </c>
    </row>
    <row r="23" spans="1:12" ht="9" customHeight="1">
      <c r="A23" s="21" t="s">
        <v>91</v>
      </c>
      <c r="B23" s="120"/>
      <c r="C23" s="42">
        <f t="shared" si="0"/>
        <v>12516</v>
      </c>
      <c r="D23" s="42">
        <f t="shared" ref="D23:E23" si="23">SUM(D41+D59)</f>
        <v>12181</v>
      </c>
      <c r="E23" s="42">
        <f t="shared" si="23"/>
        <v>13074</v>
      </c>
      <c r="F23" s="42">
        <f t="shared" ref="F23:G23" si="24">SUM(F41+F59)</f>
        <v>14022</v>
      </c>
      <c r="G23" s="44">
        <f t="shared" si="24"/>
        <v>14748</v>
      </c>
      <c r="H23" s="153">
        <f>IF('AW Schüler'!$D17=0,"x",C23/'AW Schüler'!$D17)</f>
        <v>0.41667221519408748</v>
      </c>
      <c r="I23" s="153">
        <f>IF('AW Schüler'!$G17=0,"x",D23/'AW Schüler'!$G17)</f>
        <v>0.40998283464036889</v>
      </c>
      <c r="J23" s="153">
        <f>IF('AW Schüler'!$J17=0,"x",E23/'AW Schüler'!$J17)</f>
        <v>0.43708210751537846</v>
      </c>
      <c r="K23" s="153">
        <f>IF('AW Schüler'!$M17=0,"x",F23/'AW Schüler'!$M17)</f>
        <v>0.46941849954805664</v>
      </c>
      <c r="L23" s="154">
        <f>IF('AW Schüler'!$P17=0,"x",G23/'AW Schüler'!$P17)</f>
        <v>0.47577263049228985</v>
      </c>
    </row>
    <row r="24" spans="1:12" ht="9" customHeight="1">
      <c r="A24" s="21" t="s">
        <v>92</v>
      </c>
      <c r="B24" s="120"/>
      <c r="C24" s="42">
        <f t="shared" si="0"/>
        <v>102710</v>
      </c>
      <c r="D24" s="42">
        <f t="shared" ref="D24:E24" si="25">SUM(D42+D60)</f>
        <v>103095</v>
      </c>
      <c r="E24" s="42">
        <f t="shared" si="25"/>
        <v>110371</v>
      </c>
      <c r="F24" s="42">
        <f t="shared" ref="F24:G24" si="26">SUM(F42+F60)</f>
        <v>113039</v>
      </c>
      <c r="G24" s="44">
        <f t="shared" si="26"/>
        <v>116966</v>
      </c>
      <c r="H24" s="153">
        <f>IF('AW Schüler'!$D18=0,"x",C24/'AW Schüler'!$D18)</f>
        <v>0.82673964663742106</v>
      </c>
      <c r="I24" s="153">
        <f>IF('AW Schüler'!$G18=0,"x",D24/'AW Schüler'!$G18)</f>
        <v>0.81521223431174084</v>
      </c>
      <c r="J24" s="153">
        <f>IF('AW Schüler'!$J18=0,"x",E24/'AW Schüler'!$J18)</f>
        <v>0.85556261821338875</v>
      </c>
      <c r="K24" s="153">
        <f>IF('AW Schüler'!$M18=0,"x",F24/'AW Schüler'!$M18)</f>
        <v>0.85641445250054926</v>
      </c>
      <c r="L24" s="154">
        <f>IF('AW Schüler'!$P18=0,"x",G24/'AW Schüler'!$P18)</f>
        <v>0.85507712552087145</v>
      </c>
    </row>
    <row r="25" spans="1:12" ht="9" customHeight="1">
      <c r="A25" s="21" t="s">
        <v>93</v>
      </c>
      <c r="B25" s="120"/>
      <c r="C25" s="42">
        <f t="shared" si="0"/>
        <v>2443</v>
      </c>
      <c r="D25" s="42">
        <f t="shared" ref="D25:E25" si="27">SUM(D43+D61)</f>
        <v>2459</v>
      </c>
      <c r="E25" s="42">
        <f t="shared" si="27"/>
        <v>2599</v>
      </c>
      <c r="F25" s="42">
        <f t="shared" ref="F25:G25" si="28">SUM(F43+F61)</f>
        <v>2654</v>
      </c>
      <c r="G25" s="44">
        <f t="shared" si="28"/>
        <v>45998</v>
      </c>
      <c r="H25" s="182">
        <v>0</v>
      </c>
      <c r="I25" s="182">
        <v>0</v>
      </c>
      <c r="J25" s="182">
        <v>0</v>
      </c>
      <c r="K25" s="182">
        <v>0</v>
      </c>
      <c r="L25" s="196">
        <v>0</v>
      </c>
    </row>
    <row r="26" spans="1:12" ht="9" customHeight="1">
      <c r="A26" s="21" t="s">
        <v>94</v>
      </c>
      <c r="B26" s="120"/>
      <c r="C26" s="42">
        <f t="shared" si="0"/>
        <v>16785</v>
      </c>
      <c r="D26" s="42">
        <f t="shared" ref="D26:E26" si="29">SUM(D44+D62)</f>
        <v>17849</v>
      </c>
      <c r="E26" s="42">
        <f t="shared" si="29"/>
        <v>19019</v>
      </c>
      <c r="F26" s="42">
        <f t="shared" ref="F26:G26" si="30">SUM(F44+F62)</f>
        <v>19979</v>
      </c>
      <c r="G26" s="44">
        <f t="shared" si="30"/>
        <v>21121</v>
      </c>
      <c r="H26" s="153">
        <f>IF('AW Schüler'!$D20=0,"x",C26/'AW Schüler'!$D20)</f>
        <v>0.16604837512984122</v>
      </c>
      <c r="I26" s="153">
        <f>IF('AW Schüler'!$G20=0,"x",D26/'AW Schüler'!$G20)</f>
        <v>0.17908456074166232</v>
      </c>
      <c r="J26" s="153">
        <f>IF('AW Schüler'!$J20=0,"x",E26/'AW Schüler'!$J20)</f>
        <v>0.19067240117497269</v>
      </c>
      <c r="K26" s="153">
        <f>IF('AW Schüler'!$M20=0,"x",F26/'AW Schüler'!$M20)</f>
        <v>0.19848791924972181</v>
      </c>
      <c r="L26" s="154">
        <f>IF('AW Schüler'!$P20=0,"x",G26/'AW Schüler'!$P20)</f>
        <v>0.20466283588019263</v>
      </c>
    </row>
    <row r="27" spans="1:12" ht="9" customHeight="1">
      <c r="A27" s="21" t="s">
        <v>95</v>
      </c>
      <c r="B27" s="120"/>
      <c r="C27" s="42">
        <f t="shared" si="0"/>
        <v>56194</v>
      </c>
      <c r="D27" s="42">
        <f t="shared" ref="D27:E27" si="31">SUM(D45+D63)</f>
        <v>55435</v>
      </c>
      <c r="E27" s="42">
        <f t="shared" si="31"/>
        <v>55034</v>
      </c>
      <c r="F27" s="42">
        <f t="shared" ref="F27:G27" si="32">SUM(F45+F63)</f>
        <v>55758</v>
      </c>
      <c r="G27" s="44">
        <f t="shared" si="32"/>
        <v>59342</v>
      </c>
      <c r="H27" s="153">
        <f>IF('AW Schüler'!$D21=0,"x",C27/'AW Schüler'!$D21)</f>
        <v>0.87263184048698672</v>
      </c>
      <c r="I27" s="153">
        <f>IF('AW Schüler'!$G21=0,"x",D27/'AW Schüler'!$G21)</f>
        <v>0.86476662922750536</v>
      </c>
      <c r="J27" s="153">
        <f>IF('AW Schüler'!$J21=0,"x",E27/'AW Schüler'!$J21)</f>
        <v>0.852236124876115</v>
      </c>
      <c r="K27" s="153">
        <f>IF('AW Schüler'!$M21=0,"x",F27/'AW Schüler'!$M21)</f>
        <v>0.85296007342817803</v>
      </c>
      <c r="L27" s="154">
        <f>IF('AW Schüler'!$P21=0,"x",G27/'AW Schüler'!$P21)</f>
        <v>0.88964514339684875</v>
      </c>
    </row>
    <row r="28" spans="1:12" ht="9" customHeight="1">
      <c r="A28" s="21" t="s">
        <v>96</v>
      </c>
      <c r="B28" s="120"/>
      <c r="C28" s="42">
        <f t="shared" si="0"/>
        <v>784932</v>
      </c>
      <c r="D28" s="42">
        <f t="shared" ref="D28:E28" si="33">SUM(D46+D64)</f>
        <v>846450</v>
      </c>
      <c r="E28" s="42">
        <f t="shared" si="33"/>
        <v>891663</v>
      </c>
      <c r="F28" s="42">
        <f t="shared" ref="F28:G28" si="34">SUM(F46+F64)</f>
        <v>933283</v>
      </c>
      <c r="G28" s="44">
        <f t="shared" si="34"/>
        <v>1106432</v>
      </c>
      <c r="H28" s="153">
        <f>IF('AW Schüler'!$D22=0,"x",C28/'AW Schüler'!$D22)</f>
        <v>0.2870033269675234</v>
      </c>
      <c r="I28" s="153">
        <f>IF('AW Schüler'!$G22=0,"x",D28/'AW Schüler'!$G22)</f>
        <v>0.31392228360520524</v>
      </c>
      <c r="J28" s="153">
        <f>IF('AW Schüler'!$J22=0,"x",E28/'AW Schüler'!$J22)</f>
        <v>0.33072437095038704</v>
      </c>
      <c r="K28" s="153">
        <f>IF('AW Schüler'!$M22=0,"x",F28/'AW Schüler'!$M22)</f>
        <v>0.34522257699865061</v>
      </c>
      <c r="L28" s="154">
        <f>IF('AW Schüler'!$P22=0,"x",G28/'AW Schüler'!$P22)</f>
        <v>0.40094406115162268</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'3.2.2'!C30+'3.3.2'!C30</f>
        <v>18771</v>
      </c>
      <c r="D30" s="23">
        <f>'3.2.2'!D30+'3.3.2'!D30</f>
        <v>18783</v>
      </c>
      <c r="E30" s="23">
        <f>'3.2.2'!E30+'3.3.2'!E30</f>
        <v>15858</v>
      </c>
      <c r="F30" s="23">
        <f>'3.2.2'!F30+'3.3.2'!F30</f>
        <v>15946</v>
      </c>
      <c r="G30" s="34">
        <f>'3.2.2'!G30+'3.3.2'!G30</f>
        <v>17247</v>
      </c>
      <c r="H30" s="155">
        <f>IF('AW Schüler'!$D6=0,"x",C30/'AW Schüler'!$D6)</f>
        <v>5.1363228405061072E-2</v>
      </c>
      <c r="I30" s="155">
        <f>IF('AW Schüler'!$G6=0,"x",D30/'AW Schüler'!$G6)</f>
        <v>5.4013716947763447E-2</v>
      </c>
      <c r="J30" s="155">
        <f>IF('AW Schüler'!$J6=0,"x",E30/'AW Schüler'!$J6)</f>
        <v>4.75262836112543E-2</v>
      </c>
      <c r="K30" s="155">
        <f>IF('AW Schüler'!$M6=0,"x",F30/'AW Schüler'!$M6)</f>
        <v>4.869200914845475E-2</v>
      </c>
      <c r="L30" s="156">
        <f>IF('AW Schüler'!$P6=0,"x",G30/'AW Schüler'!$P6)</f>
        <v>5.2326745590135983E-2</v>
      </c>
    </row>
    <row r="31" spans="1:12" ht="9" customHeight="1">
      <c r="A31" s="21" t="s">
        <v>81</v>
      </c>
      <c r="B31" s="120"/>
      <c r="C31" s="23">
        <f>'3.2.2'!C31+'3.3.2'!C31</f>
        <v>18029</v>
      </c>
      <c r="D31" s="23">
        <f>'3.2.2'!D31+'3.3.2'!D31</f>
        <v>23388</v>
      </c>
      <c r="E31" s="23">
        <f>'3.2.2'!E31+'3.3.2'!E31</f>
        <v>26240</v>
      </c>
      <c r="F31" s="23">
        <f>'3.2.2'!F31+'3.3.2'!F31</f>
        <v>28191</v>
      </c>
      <c r="G31" s="34">
        <f>'3.2.2'!G31+'3.3.2'!G31</f>
        <v>30002</v>
      </c>
      <c r="H31" s="155">
        <f>IF('AW Schüler'!$D7=0,"x",C31/'AW Schüler'!$D7)</f>
        <v>4.2680776014109349E-2</v>
      </c>
      <c r="I31" s="155">
        <f>IF('AW Schüler'!$G7=0,"x",D31/'AW Schüler'!$G7)</f>
        <v>5.6083641072370627E-2</v>
      </c>
      <c r="J31" s="155">
        <f>IF('AW Schüler'!$J7=0,"x",E31/'AW Schüler'!$J7)</f>
        <v>6.2458791241487489E-2</v>
      </c>
      <c r="K31" s="155">
        <f>IF('AW Schüler'!$M7=0,"x",F31/'AW Schüler'!$M7)</f>
        <v>6.6443389600411046E-2</v>
      </c>
      <c r="L31" s="156">
        <f>IF('AW Schüler'!$P7=0,"x",G31/'AW Schüler'!$P7)</f>
        <v>6.9418703391340361E-2</v>
      </c>
    </row>
    <row r="32" spans="1:12" ht="9" customHeight="1">
      <c r="A32" s="21" t="s">
        <v>82</v>
      </c>
      <c r="B32" s="120"/>
      <c r="C32" s="23">
        <f>'3.2.2'!C32+'3.3.2'!C32</f>
        <v>16607</v>
      </c>
      <c r="D32" s="23">
        <f>'3.2.2'!D32+'3.3.2'!D32</f>
        <v>16943</v>
      </c>
      <c r="E32" s="23">
        <f>'3.2.2'!E32+'3.3.2'!E32</f>
        <v>18526</v>
      </c>
      <c r="F32" s="23">
        <f>'3.2.2'!F32+'3.3.2'!F32</f>
        <v>20247</v>
      </c>
      <c r="G32" s="34">
        <f>'3.2.2'!G32+'3.3.2'!G32</f>
        <v>22132</v>
      </c>
      <c r="H32" s="155">
        <f>IF('AW Schüler'!$D8=0,"x",C32/'AW Schüler'!$D8)</f>
        <v>0.1613332556151395</v>
      </c>
      <c r="I32" s="155">
        <f>IF('AW Schüler'!$G8=0,"x",D32/'AW Schüler'!$G8)</f>
        <v>0.1584538984540855</v>
      </c>
      <c r="J32" s="155">
        <f>IF('AW Schüler'!$J8=0,"x",E32/'AW Schüler'!$J8)</f>
        <v>0.16823465310570287</v>
      </c>
      <c r="K32" s="155">
        <f>IF('AW Schüler'!$M8=0,"x",F32/'AW Schüler'!$M8)</f>
        <v>0.17875304587350355</v>
      </c>
      <c r="L32" s="156">
        <f>IF('AW Schüler'!$P8=0,"x",G32/'AW Schüler'!$P8)</f>
        <v>0.18869951486524508</v>
      </c>
    </row>
    <row r="33" spans="1:12" ht="9" customHeight="1">
      <c r="A33" s="21" t="s">
        <v>83</v>
      </c>
      <c r="B33" s="120"/>
      <c r="C33" s="23">
        <f>'3.2.2'!C33+'3.3.2'!C33</f>
        <v>0</v>
      </c>
      <c r="D33" s="23">
        <f>'3.2.2'!D33+'3.3.2'!D33</f>
        <v>0</v>
      </c>
      <c r="E33" s="23">
        <f>'3.2.2'!E33+'3.3.2'!E33</f>
        <v>0</v>
      </c>
      <c r="F33" s="23">
        <f>'3.2.2'!F33+'3.3.2'!F33</f>
        <v>0</v>
      </c>
      <c r="G33" s="34">
        <f>'3.2.2'!G33+'3.3.2'!G33</f>
        <v>0</v>
      </c>
      <c r="H33" s="155">
        <f>IF('AW Schüler'!$D9=0,"x",C33/'AW Schüler'!$D9)</f>
        <v>0</v>
      </c>
      <c r="I33" s="155">
        <f>IF('AW Schüler'!$G9=0,"x",D33/'AW Schüler'!$G9)</f>
        <v>0</v>
      </c>
      <c r="J33" s="155">
        <f>IF('AW Schüler'!$J9=0,"x",E33/'AW Schüler'!$J9)</f>
        <v>0</v>
      </c>
      <c r="K33" s="155">
        <f>IF('AW Schüler'!$M9=0,"x",F33/'AW Schüler'!$M9)</f>
        <v>0</v>
      </c>
      <c r="L33" s="156">
        <f>IF('AW Schüler'!$P9=0,"x",G33/'AW Schüler'!$P9)</f>
        <v>0</v>
      </c>
    </row>
    <row r="34" spans="1:12" ht="9" customHeight="1">
      <c r="A34" s="21" t="s">
        <v>84</v>
      </c>
      <c r="B34" s="120"/>
      <c r="C34" s="23">
        <f>'3.2.2'!C34+'3.3.2'!C34</f>
        <v>5477</v>
      </c>
      <c r="D34" s="23">
        <f>'3.2.2'!D34+'3.3.2'!D34</f>
        <v>5702</v>
      </c>
      <c r="E34" s="23">
        <f>'3.2.2'!E34+'3.3.2'!E34</f>
        <v>6151</v>
      </c>
      <c r="F34" s="23">
        <f>'3.2.2'!F34+'3.3.2'!F34</f>
        <v>6409</v>
      </c>
      <c r="G34" s="34">
        <f>'3.2.2'!G34+'3.3.2'!G34</f>
        <v>7008</v>
      </c>
      <c r="H34" s="155">
        <f>IF('AW Schüler'!$D10=0,"x",C34/'AW Schüler'!$D10)</f>
        <v>0.26298857197733605</v>
      </c>
      <c r="I34" s="155">
        <f>IF('AW Schüler'!$G10=0,"x",D34/'AW Schüler'!$G10)</f>
        <v>0.27260123344647896</v>
      </c>
      <c r="J34" s="155">
        <f>IF('AW Schüler'!$J10=0,"x",E34/'AW Schüler'!$J10)</f>
        <v>0.2884813807335147</v>
      </c>
      <c r="K34" s="155">
        <f>IF('AW Schüler'!$M10=0,"x",F34/'AW Schüler'!$M10)</f>
        <v>0.29407176287051484</v>
      </c>
      <c r="L34" s="156">
        <f>IF('AW Schüler'!$P10=0,"x",G34/'AW Schüler'!$P10)</f>
        <v>0.31139746722950457</v>
      </c>
    </row>
    <row r="35" spans="1:12" ht="9" customHeight="1">
      <c r="A35" s="21" t="s">
        <v>85</v>
      </c>
      <c r="B35" s="120"/>
      <c r="C35" s="23">
        <f>'3.2.2'!C35+'3.3.2'!C35</f>
        <v>9111</v>
      </c>
      <c r="D35" s="23">
        <f>'3.2.2'!D35+'3.3.2'!D35</f>
        <v>12684</v>
      </c>
      <c r="E35" s="23">
        <f>'3.2.2'!E35+'3.3.2'!E35</f>
        <v>12710</v>
      </c>
      <c r="F35" s="23">
        <f>'3.2.2'!F35+'3.3.2'!F35</f>
        <v>12510</v>
      </c>
      <c r="G35" s="34">
        <f>'3.2.2'!G35+'3.3.2'!G35</f>
        <v>13859</v>
      </c>
      <c r="H35" s="155">
        <f>IF('AW Schüler'!$D11=0,"x",C35/'AW Schüler'!$D11)</f>
        <v>0.17300243050281028</v>
      </c>
      <c r="I35" s="155">
        <f>IF('AW Schüler'!$G11=0,"x",D35/'AW Schüler'!$G11)</f>
        <v>0.23779081756997431</v>
      </c>
      <c r="J35" s="155">
        <f>IF('AW Schüler'!$J11=0,"x",E35/'AW Schüler'!$J11)</f>
        <v>0.23334373680442086</v>
      </c>
      <c r="K35" s="155">
        <f>IF('AW Schüler'!$M11=0,"x",F35/'AW Schüler'!$M11)</f>
        <v>0.22617153601388487</v>
      </c>
      <c r="L35" s="156">
        <f>IF('AW Schüler'!$P11=0,"x",G35/'AW Schüler'!$P11)</f>
        <v>0.24253189367026581</v>
      </c>
    </row>
    <row r="36" spans="1:12" ht="9" customHeight="1">
      <c r="A36" s="21" t="s">
        <v>114</v>
      </c>
      <c r="B36" s="120"/>
      <c r="C36" s="23">
        <f>'3.2.2'!C36+'3.3.2'!C36</f>
        <v>1565</v>
      </c>
      <c r="D36" s="23">
        <f>'3.2.2'!D36+'3.3.2'!D36</f>
        <v>1533</v>
      </c>
      <c r="E36" s="23">
        <f>'3.2.2'!E36+'3.3.2'!E36</f>
        <v>1571</v>
      </c>
      <c r="F36" s="23">
        <f>'3.2.2'!F36+'3.3.2'!F36</f>
        <v>2332</v>
      </c>
      <c r="G36" s="34">
        <f>'3.2.2'!G36+'3.3.2'!G36</f>
        <v>3170</v>
      </c>
      <c r="H36" s="183">
        <v>0</v>
      </c>
      <c r="I36" s="183">
        <v>0</v>
      </c>
      <c r="J36" s="183">
        <v>0</v>
      </c>
      <c r="K36" s="183">
        <v>0</v>
      </c>
      <c r="L36" s="197">
        <v>0</v>
      </c>
    </row>
    <row r="37" spans="1:12" ht="9" customHeight="1">
      <c r="A37" s="21" t="s">
        <v>176</v>
      </c>
      <c r="B37" s="120"/>
      <c r="C37" s="23">
        <f>'3.2.2'!C37+'3.3.2'!C37</f>
        <v>504</v>
      </c>
      <c r="D37" s="23">
        <f>'3.2.2'!D37+'3.3.2'!D37</f>
        <v>320</v>
      </c>
      <c r="E37" s="23">
        <f>'3.2.2'!E37+'3.3.2'!E37</f>
        <v>300</v>
      </c>
      <c r="F37" s="23">
        <f>'3.2.2'!F37+'3.3.2'!F37</f>
        <v>843</v>
      </c>
      <c r="G37" s="34">
        <f>'3.2.2'!G37+'3.3.2'!G37</f>
        <v>0</v>
      </c>
      <c r="H37" s="155">
        <f>IF('AW Schüler'!$D13=0,"x",C37/'AW Schüler'!$D13)</f>
        <v>1.0267275097783572E-2</v>
      </c>
      <c r="I37" s="155">
        <f>IF('AW Schüler'!$G13=0,"x",D37/'AW Schüler'!$G13)</f>
        <v>6.483244864054459E-3</v>
      </c>
      <c r="J37" s="155">
        <f>IF('AW Schüler'!$J13=0,"x",E37/'AW Schüler'!$J13)</f>
        <v>5.9824117095738528E-3</v>
      </c>
      <c r="K37" s="155">
        <f>IF('AW Schüler'!$M13=0,"x",F37/'AW Schüler'!$M13)</f>
        <v>1.6280102740387402E-2</v>
      </c>
      <c r="L37" s="156">
        <f>IF('AW Schüler'!$P13=0,"x",G37/'AW Schüler'!$P13)</f>
        <v>0</v>
      </c>
    </row>
    <row r="38" spans="1:12" ht="9" customHeight="1">
      <c r="A38" s="21" t="s">
        <v>88</v>
      </c>
      <c r="B38" s="120"/>
      <c r="C38" s="23">
        <f>'3.2.2'!C38+'3.3.2'!C38</f>
        <v>2250</v>
      </c>
      <c r="D38" s="23">
        <f>'3.2.2'!D38+'3.3.2'!D38</f>
        <v>2530</v>
      </c>
      <c r="E38" s="23">
        <f>'3.2.2'!E38+'3.3.2'!E38</f>
        <v>2255</v>
      </c>
      <c r="F38" s="23">
        <f>'3.2.2'!F38+'3.3.2'!F38</f>
        <v>3867</v>
      </c>
      <c r="G38" s="34">
        <f>'3.2.2'!G38+'3.3.2'!G38</f>
        <v>5587</v>
      </c>
      <c r="H38" s="183">
        <v>0</v>
      </c>
      <c r="I38" s="183">
        <v>0</v>
      </c>
      <c r="J38" s="183">
        <v>0</v>
      </c>
      <c r="K38" s="183">
        <v>0</v>
      </c>
      <c r="L38" s="197">
        <v>0</v>
      </c>
    </row>
    <row r="39" spans="1:12" ht="9" customHeight="1">
      <c r="A39" s="21" t="s">
        <v>89</v>
      </c>
      <c r="B39" s="120"/>
      <c r="C39" s="23">
        <f>'3.2.2'!C39+'3.3.2'!C39</f>
        <v>3336</v>
      </c>
      <c r="D39" s="23">
        <f>'3.2.2'!D39+'3.3.2'!D39</f>
        <v>3363</v>
      </c>
      <c r="E39" s="23">
        <f>'3.2.2'!E39+'3.3.2'!E39</f>
        <v>3360</v>
      </c>
      <c r="F39" s="23">
        <f>'3.2.2'!F39+'3.3.2'!F39</f>
        <v>3230</v>
      </c>
      <c r="G39" s="34">
        <f>'3.2.2'!G39+'3.3.2'!G39</f>
        <v>3384</v>
      </c>
      <c r="H39" s="155">
        <f>IF('AW Schüler'!$D15=0,"x",C39/'AW Schüler'!$D15)</f>
        <v>5.214219062847282E-3</v>
      </c>
      <c r="I39" s="155">
        <f>IF('AW Schüler'!$G15=0,"x",D39/'AW Schüler'!$G15)</f>
        <v>5.3768426438141528E-3</v>
      </c>
      <c r="J39" s="155">
        <f>IF('AW Schüler'!$J15=0,"x",E39/'AW Schüler'!$J15)</f>
        <v>5.3740825273542398E-3</v>
      </c>
      <c r="K39" s="155">
        <f>IF('AW Schüler'!$M15=0,"x",F39/'AW Schüler'!$M15)</f>
        <v>5.2116864404181612E-3</v>
      </c>
      <c r="L39" s="156">
        <f>IF('AW Schüler'!$P15=0,"x",G39/'AW Schüler'!$P15)</f>
        <v>5.3476949917508959E-3</v>
      </c>
    </row>
    <row r="40" spans="1:12" ht="9" customHeight="1">
      <c r="A40" s="21" t="s">
        <v>90</v>
      </c>
      <c r="B40" s="120"/>
      <c r="C40" s="23">
        <f>'3.2.2'!C40+'3.3.2'!C40</f>
        <v>25005</v>
      </c>
      <c r="D40" s="23">
        <f>'3.2.2'!D40+'3.3.2'!D40</f>
        <v>26433</v>
      </c>
      <c r="E40" s="23">
        <f>'3.2.2'!E40+'3.3.2'!E40</f>
        <v>28207</v>
      </c>
      <c r="F40" s="23">
        <f>'3.2.2'!F40+'3.3.2'!F40</f>
        <v>29992</v>
      </c>
      <c r="G40" s="34">
        <f>'3.2.2'!G40+'3.3.2'!G40</f>
        <v>31519</v>
      </c>
      <c r="H40" s="155">
        <f>IF('AW Schüler'!$D16=0,"x",C40/'AW Schüler'!$D16)</f>
        <v>0.1846859489482392</v>
      </c>
      <c r="I40" s="155">
        <f>IF('AW Schüler'!$G16=0,"x",D40/'AW Schüler'!$G16)</f>
        <v>0.19871447902571043</v>
      </c>
      <c r="J40" s="155">
        <f>IF('AW Schüler'!$J16=0,"x",E40/'AW Schüler'!$J16)</f>
        <v>0.21096128100996955</v>
      </c>
      <c r="K40" s="155">
        <f>IF('AW Schüler'!$M16=0,"x",F40/'AW Schüler'!$M16)</f>
        <v>0.22240678669949276</v>
      </c>
      <c r="L40" s="156">
        <f>IF('AW Schüler'!$P16=0,"x",G40/'AW Schüler'!$P16)</f>
        <v>0.22885127825335627</v>
      </c>
    </row>
    <row r="41" spans="1:12" ht="9" customHeight="1">
      <c r="A41" s="21" t="s">
        <v>91</v>
      </c>
      <c r="B41" s="120"/>
      <c r="C41" s="23">
        <f>'3.2.2'!C41+'3.3.2'!C41</f>
        <v>852</v>
      </c>
      <c r="D41" s="23">
        <f>'3.2.2'!D41+'3.3.2'!D41</f>
        <v>907</v>
      </c>
      <c r="E41" s="23">
        <f>'3.2.2'!E41+'3.3.2'!E41</f>
        <v>1170</v>
      </c>
      <c r="F41" s="23">
        <f>'3.2.2'!F41+'3.3.2'!F41</f>
        <v>1332</v>
      </c>
      <c r="G41" s="34">
        <f>'3.2.2'!G41+'3.3.2'!G41</f>
        <v>1586</v>
      </c>
      <c r="H41" s="155">
        <f>IF('AW Schüler'!$D17=0,"x",C41/'AW Schüler'!$D17)</f>
        <v>2.8364072175244691E-2</v>
      </c>
      <c r="I41" s="155">
        <f>IF('AW Schüler'!$G17=0,"x",D41/'AW Schüler'!$G17)</f>
        <v>3.0527414089057923E-2</v>
      </c>
      <c r="J41" s="155">
        <f>IF('AW Schüler'!$J17=0,"x",E41/'AW Schüler'!$J17)</f>
        <v>3.9114736560577693E-2</v>
      </c>
      <c r="K41" s="155">
        <f>IF('AW Schüler'!$M17=0,"x",F41/'AW Schüler'!$M17)</f>
        <v>4.4591744501355828E-2</v>
      </c>
      <c r="L41" s="156">
        <f>IF('AW Schüler'!$P17=0,"x",G41/'AW Schüler'!$P17)</f>
        <v>5.1164591263952515E-2</v>
      </c>
    </row>
    <row r="42" spans="1:12" ht="9" customHeight="1">
      <c r="A42" s="21" t="s">
        <v>92</v>
      </c>
      <c r="B42" s="120"/>
      <c r="C42" s="23">
        <f>'3.2.2'!C42+'3.3.2'!C42</f>
        <v>34499</v>
      </c>
      <c r="D42" s="23">
        <f>'3.2.2'!D42+'3.3.2'!D42</f>
        <v>35307</v>
      </c>
      <c r="E42" s="23">
        <f>'3.2.2'!E42+'3.3.2'!E42</f>
        <v>38252</v>
      </c>
      <c r="F42" s="23">
        <f>'3.2.2'!F42+'3.3.2'!F42</f>
        <v>41100</v>
      </c>
      <c r="G42" s="34">
        <f>'3.2.2'!G42+'3.3.2'!G42</f>
        <v>44471</v>
      </c>
      <c r="H42" s="155">
        <f>IF('AW Schüler'!$D18=0,"x",C42/'AW Schüler'!$D18)</f>
        <v>0.27769147180746168</v>
      </c>
      <c r="I42" s="155">
        <f>IF('AW Schüler'!$G18=0,"x",D42/'AW Schüler'!$G18)</f>
        <v>0.27918617155870445</v>
      </c>
      <c r="J42" s="155">
        <f>IF('AW Schüler'!$J18=0,"x",E42/'AW Schüler'!$J18)</f>
        <v>0.2965179374282968</v>
      </c>
      <c r="K42" s="155">
        <f>IF('AW Schüler'!$M18=0,"x",F42/'AW Schüler'!$M18)</f>
        <v>0.31138486715003294</v>
      </c>
      <c r="L42" s="156">
        <f>IF('AW Schüler'!$P18=0,"x",G42/'AW Schüler'!$P18)</f>
        <v>0.32510417428174576</v>
      </c>
    </row>
    <row r="43" spans="1:12" ht="9" customHeight="1">
      <c r="A43" s="21" t="s">
        <v>93</v>
      </c>
      <c r="B43" s="120"/>
      <c r="C43" s="23">
        <f>'3.2.2'!C43+'3.3.2'!C43</f>
        <v>626</v>
      </c>
      <c r="D43" s="23">
        <f>'3.2.2'!D43+'3.3.2'!D43</f>
        <v>627</v>
      </c>
      <c r="E43" s="23">
        <f>'3.2.2'!E43+'3.3.2'!E43</f>
        <v>638</v>
      </c>
      <c r="F43" s="23">
        <f>'3.2.2'!F43+'3.3.2'!F43</f>
        <v>672</v>
      </c>
      <c r="G43" s="34">
        <f>'3.2.2'!G43+'3.3.2'!G43</f>
        <v>682</v>
      </c>
      <c r="H43" s="183">
        <v>0</v>
      </c>
      <c r="I43" s="183">
        <v>0</v>
      </c>
      <c r="J43" s="183">
        <v>0</v>
      </c>
      <c r="K43" s="183">
        <v>0</v>
      </c>
      <c r="L43" s="197">
        <v>0</v>
      </c>
    </row>
    <row r="44" spans="1:12" ht="9" customHeight="1">
      <c r="A44" s="21" t="s">
        <v>94</v>
      </c>
      <c r="B44" s="120"/>
      <c r="C44" s="23">
        <f>'3.2.2'!C44+'3.3.2'!C44</f>
        <v>2004</v>
      </c>
      <c r="D44" s="23">
        <f>'3.2.2'!D44+'3.3.2'!D44</f>
        <v>2332</v>
      </c>
      <c r="E44" s="23">
        <f>'3.2.2'!E44+'3.3.2'!E44</f>
        <v>2287</v>
      </c>
      <c r="F44" s="23">
        <f>'3.2.2'!F44+'3.3.2'!F44</f>
        <v>2344</v>
      </c>
      <c r="G44" s="34">
        <f>'3.2.2'!G44+'3.3.2'!G44</f>
        <v>2517</v>
      </c>
      <c r="H44" s="155">
        <f>IF('AW Schüler'!$D20=0,"x",C44/'AW Schüler'!$D20)</f>
        <v>1.9824899836771034E-2</v>
      </c>
      <c r="I44" s="155">
        <f>IF('AW Schüler'!$G20=0,"x",D44/'AW Schüler'!$G20)</f>
        <v>2.3397680298591322E-2</v>
      </c>
      <c r="J44" s="155">
        <f>IF('AW Schüler'!$J20=0,"x",E44/'AW Schüler'!$J20)</f>
        <v>2.292800785988551E-2</v>
      </c>
      <c r="K44" s="155">
        <f>IF('AW Schüler'!$M20=0,"x",F44/'AW Schüler'!$M20)</f>
        <v>2.3287235733587666E-2</v>
      </c>
      <c r="L44" s="156">
        <f>IF('AW Schüler'!$P20=0,"x",G44/'AW Schüler'!$P20)</f>
        <v>2.4389771218713361E-2</v>
      </c>
    </row>
    <row r="45" spans="1:12" ht="9" customHeight="1">
      <c r="A45" s="21" t="s">
        <v>95</v>
      </c>
      <c r="B45" s="120"/>
      <c r="C45" s="23">
        <f>'3.2.2'!C45+'3.3.2'!C45</f>
        <v>3786</v>
      </c>
      <c r="D45" s="23">
        <f>'3.2.2'!D45+'3.3.2'!D45</f>
        <v>3708</v>
      </c>
      <c r="E45" s="23">
        <f>'3.2.2'!E45+'3.3.2'!E45</f>
        <v>3521</v>
      </c>
      <c r="F45" s="23">
        <f>'3.2.2'!F45+'3.3.2'!F45</f>
        <v>4081</v>
      </c>
      <c r="G45" s="34">
        <f>'3.2.2'!G45+'3.3.2'!G45</f>
        <v>4033</v>
      </c>
      <c r="H45" s="155">
        <f>IF('AW Schüler'!$D21=0,"x",C45/'AW Schüler'!$D21)</f>
        <v>5.8792471582085844E-2</v>
      </c>
      <c r="I45" s="155">
        <f>IF('AW Schüler'!$G21=0,"x",D45/'AW Schüler'!$G21)</f>
        <v>5.7843504305503557E-2</v>
      </c>
      <c r="J45" s="155">
        <f>IF('AW Schüler'!$J21=0,"x",E45/'AW Schüler'!$J21)</f>
        <v>5.4524900891972247E-2</v>
      </c>
      <c r="K45" s="155">
        <f>IF('AW Schüler'!$M21=0,"x",F45/'AW Schüler'!$M21)</f>
        <v>6.242924889092856E-2</v>
      </c>
      <c r="L45" s="156">
        <f>IF('AW Schüler'!$P21=0,"x",G45/'AW Schüler'!$P21)</f>
        <v>6.0462048183739861E-2</v>
      </c>
    </row>
    <row r="46" spans="1:12" ht="9" customHeight="1">
      <c r="A46" s="21" t="s">
        <v>96</v>
      </c>
      <c r="B46" s="120"/>
      <c r="C46" s="23">
        <f>'3.2.2'!C46+'3.3.2'!C46</f>
        <v>142422</v>
      </c>
      <c r="D46" s="23">
        <f>'3.2.2'!D46+'3.3.2'!D46</f>
        <v>154560</v>
      </c>
      <c r="E46" s="23">
        <f>'3.2.2'!E46+'3.3.2'!E46</f>
        <v>161046</v>
      </c>
      <c r="F46" s="23">
        <f>'3.2.2'!F46+'3.3.2'!F46</f>
        <v>173096</v>
      </c>
      <c r="G46" s="34">
        <f>'3.2.2'!G46+'3.3.2'!G46</f>
        <v>187197</v>
      </c>
      <c r="H46" s="155">
        <f>IF('AW Schüler'!$D22=0,"x",C46/'AW Schüler'!$D22)</f>
        <v>5.2075323510022038E-2</v>
      </c>
      <c r="I46" s="155">
        <f>IF('AW Schüler'!$G22=0,"x",D46/'AW Schüler'!$G22)</f>
        <v>5.7321552547723455E-2</v>
      </c>
      <c r="J46" s="155">
        <f>IF('AW Schüler'!$J22=0,"x",E46/'AW Schüler'!$J22)</f>
        <v>5.973314698947476E-2</v>
      </c>
      <c r="K46" s="155">
        <f>IF('AW Schüler'!$M22=0,"x",F46/'AW Schüler'!$M22)</f>
        <v>6.4028432092043272E-2</v>
      </c>
      <c r="L46" s="156">
        <f>IF('AW Schüler'!$P22=0,"x",G46/'AW Schüler'!$P22)</f>
        <v>6.7835642330843937E-2</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'3.2.2'!C48+'3.3.2'!C48</f>
        <v>20036</v>
      </c>
      <c r="D48" s="23">
        <f>'3.2.2'!D48+'3.3.2'!D48</f>
        <v>20763</v>
      </c>
      <c r="E48" s="23">
        <f>'3.2.2'!E48+'3.3.2'!E48</f>
        <v>25096</v>
      </c>
      <c r="F48" s="23">
        <f>'3.2.2'!F48+'3.3.2'!F48</f>
        <v>30608</v>
      </c>
      <c r="G48" s="34">
        <f>'3.2.2'!G48+'3.3.2'!G48</f>
        <v>37731</v>
      </c>
      <c r="H48" s="155">
        <f>IF('AW Schüler'!$D6=0,"x",C48/'AW Schüler'!$D6)</f>
        <v>5.4824657414298851E-2</v>
      </c>
      <c r="I48" s="155">
        <f>IF('AW Schüler'!$G6=0,"x",D48/'AW Schüler'!$G6)</f>
        <v>5.9707544321269894E-2</v>
      </c>
      <c r="J48" s="155">
        <f>IF('AW Schüler'!$J6=0,"x",E48/'AW Schüler'!$J6)</f>
        <v>7.5212486663389963E-2</v>
      </c>
      <c r="K48" s="155">
        <f>IF('AW Schüler'!$M6=0,"x",F48/'AW Schüler'!$M6)</f>
        <v>9.3463251976414335E-2</v>
      </c>
      <c r="L48" s="156">
        <f>IF('AW Schüler'!$P6=0,"x",G48/'AW Schüler'!$P6)</f>
        <v>0.1144744267328475</v>
      </c>
    </row>
    <row r="49" spans="1:12" ht="9" customHeight="1">
      <c r="A49" s="21" t="s">
        <v>81</v>
      </c>
      <c r="B49" s="120"/>
      <c r="C49" s="23">
        <f>'3.2.2'!C49+'3.3.2'!C49</f>
        <v>17200</v>
      </c>
      <c r="D49" s="23">
        <f>'3.2.2'!D49+'3.3.2'!D49</f>
        <v>15025</v>
      </c>
      <c r="E49" s="23">
        <f>'3.2.2'!E49+'3.3.2'!E49</f>
        <v>15385</v>
      </c>
      <c r="F49" s="23">
        <f>'3.2.2'!F49+'3.3.2'!F49</f>
        <v>18867</v>
      </c>
      <c r="G49" s="34">
        <f>'3.2.2'!G49+'3.3.2'!G49</f>
        <v>76333</v>
      </c>
      <c r="H49" s="155">
        <f>IF('AW Schüler'!$D7=0,"x",C49/'AW Schüler'!$D7)</f>
        <v>4.0718251009078749E-2</v>
      </c>
      <c r="I49" s="155">
        <f>IF('AW Schüler'!$G7=0,"x",D49/'AW Schüler'!$G7)</f>
        <v>3.6029447028919477E-2</v>
      </c>
      <c r="J49" s="155">
        <f>IF('AW Schüler'!$J7=0,"x",E49/'AW Schüler'!$J7)</f>
        <v>3.6620750886062689E-2</v>
      </c>
      <c r="K49" s="155">
        <f>IF('AW Schüler'!$M7=0,"x",F49/'AW Schüler'!$M7)</f>
        <v>4.446764682313345E-2</v>
      </c>
      <c r="L49" s="156">
        <f>IF('AW Schüler'!$P7=0,"x",G49/'AW Schüler'!$P7)</f>
        <v>0.17661948823315726</v>
      </c>
    </row>
    <row r="50" spans="1:12" ht="9" customHeight="1">
      <c r="A50" s="21" t="s">
        <v>82</v>
      </c>
      <c r="B50" s="120"/>
      <c r="C50" s="23">
        <f>'3.2.2'!C50+'3.3.2'!C50</f>
        <v>63785</v>
      </c>
      <c r="D50" s="23">
        <f>'3.2.2'!D50+'3.3.2'!D50</f>
        <v>69090</v>
      </c>
      <c r="E50" s="23">
        <f>'3.2.2'!E50+'3.3.2'!E50</f>
        <v>67007</v>
      </c>
      <c r="F50" s="23">
        <f>'3.2.2'!F50+'3.3.2'!F50</f>
        <v>67179</v>
      </c>
      <c r="G50" s="34">
        <f>'3.2.2'!G50+'3.3.2'!G50</f>
        <v>69340</v>
      </c>
      <c r="H50" s="155">
        <f>IF('AW Schüler'!$D8=0,"x",C50/'AW Schüler'!$D8)</f>
        <v>0.6196568741742442</v>
      </c>
      <c r="I50" s="155">
        <f>IF('AW Schüler'!$G8=0,"x",D50/'AW Schüler'!$G8)</f>
        <v>0.64614176026634995</v>
      </c>
      <c r="J50" s="155">
        <f>IF('AW Schüler'!$J8=0,"x",E50/'AW Schüler'!$J8)</f>
        <v>0.60849073737740644</v>
      </c>
      <c r="K50" s="155">
        <f>IF('AW Schüler'!$M8=0,"x",F50/'AW Schüler'!$M8)</f>
        <v>0.59309778578239225</v>
      </c>
      <c r="L50" s="156">
        <f>IF('AW Schüler'!$P8=0,"x",G50/'AW Schüler'!$P8)</f>
        <v>0.5911993656585981</v>
      </c>
    </row>
    <row r="51" spans="1:12" ht="9" customHeight="1">
      <c r="A51" s="21" t="s">
        <v>83</v>
      </c>
      <c r="B51" s="120"/>
      <c r="C51" s="23">
        <f>'3.2.2'!C51+'3.3.2'!C51</f>
        <v>32641</v>
      </c>
      <c r="D51" s="23">
        <f>'3.2.2'!D51+'3.3.2'!D51</f>
        <v>32717</v>
      </c>
      <c r="E51" s="23">
        <f>'3.2.2'!E51+'3.3.2'!E51</f>
        <v>33270</v>
      </c>
      <c r="F51" s="23">
        <f>'3.2.2'!F51+'3.3.2'!F51</f>
        <v>33488</v>
      </c>
      <c r="G51" s="34">
        <f>'3.2.2'!G51+'3.3.2'!G51</f>
        <v>36120</v>
      </c>
      <c r="H51" s="155">
        <f>IF('AW Schüler'!$D9=0,"x",C51/'AW Schüler'!$D9)</f>
        <v>0.4251680300109415</v>
      </c>
      <c r="I51" s="155">
        <f>IF('AW Schüler'!$G9=0,"x",D51/'AW Schüler'!$G9)</f>
        <v>0.42284776343168806</v>
      </c>
      <c r="J51" s="155">
        <f>IF('AW Schüler'!$J9=0,"x",E51/'AW Schüler'!$J9)</f>
        <v>0.42061746188272775</v>
      </c>
      <c r="K51" s="155">
        <f>IF('AW Schüler'!$M9=0,"x",F51/'AW Schüler'!$M9)</f>
        <v>0.4104827045181535</v>
      </c>
      <c r="L51" s="156">
        <f>IF('AW Schüler'!$P9=0,"x",G51/'AW Schüler'!$P9)</f>
        <v>0.42414279004227334</v>
      </c>
    </row>
    <row r="52" spans="1:12" ht="9" customHeight="1">
      <c r="A52" s="21" t="s">
        <v>84</v>
      </c>
      <c r="B52" s="120"/>
      <c r="C52" s="23">
        <f>'3.2.2'!C52+'3.3.2'!C52</f>
        <v>1516</v>
      </c>
      <c r="D52" s="23">
        <f>'3.2.2'!D52+'3.3.2'!D52</f>
        <v>1805</v>
      </c>
      <c r="E52" s="23">
        <f>'3.2.2'!E52+'3.3.2'!E52</f>
        <v>1988</v>
      </c>
      <c r="F52" s="23">
        <f>'3.2.2'!F52+'3.3.2'!F52</f>
        <v>2607</v>
      </c>
      <c r="G52" s="34">
        <f>'3.2.2'!G52+'3.3.2'!G52</f>
        <v>2574</v>
      </c>
      <c r="H52" s="155">
        <f>IF('AW Schüler'!$D10=0,"x",C52/'AW Schüler'!$D10)</f>
        <v>7.2793623355421111E-2</v>
      </c>
      <c r="I52" s="155">
        <f>IF('AW Schüler'!$G10=0,"x",D52/'AW Schüler'!$G10)</f>
        <v>8.629344552278051E-2</v>
      </c>
      <c r="J52" s="155">
        <f>IF('AW Schüler'!$J10=0,"x",E52/'AW Schüler'!$J10)</f>
        <v>9.3237032173342088E-2</v>
      </c>
      <c r="K52" s="155">
        <f>IF('AW Schüler'!$M10=0,"x",F52/'AW Schüler'!$M10)</f>
        <v>0.1196200789208039</v>
      </c>
      <c r="L52" s="156">
        <f>IF('AW Schüler'!$P10=0,"x",G52/'AW Schüler'!$P10)</f>
        <v>0.11437458342590535</v>
      </c>
    </row>
    <row r="53" spans="1:12" ht="9" customHeight="1">
      <c r="A53" s="21" t="s">
        <v>85</v>
      </c>
      <c r="B53" s="120"/>
      <c r="C53" s="23">
        <f>'3.2.2'!C53+'3.3.2'!C53</f>
        <v>12776</v>
      </c>
      <c r="D53" s="23">
        <f>'3.2.2'!D53+'3.3.2'!D53</f>
        <v>38292</v>
      </c>
      <c r="E53" s="23">
        <f>'3.2.2'!E53+'3.3.2'!E53</f>
        <v>39988</v>
      </c>
      <c r="F53" s="23">
        <f>'3.2.2'!F53+'3.3.2'!F53</f>
        <v>41764</v>
      </c>
      <c r="G53" s="34">
        <f>'3.2.2'!G53+'3.3.2'!G53</f>
        <v>42239</v>
      </c>
      <c r="H53" s="155">
        <f>IF('AW Schüler'!$D11=0,"x",C53/'AW Schüler'!$D11)</f>
        <v>0.24259456174996202</v>
      </c>
      <c r="I53" s="155">
        <f>IF('AW Schüler'!$G11=0,"x",D53/'AW Schüler'!$G11)</f>
        <v>0.7178718059278979</v>
      </c>
      <c r="J53" s="155">
        <f>IF('AW Schüler'!$J11=0,"x",E53/'AW Schüler'!$J11)</f>
        <v>0.7341423562026107</v>
      </c>
      <c r="K53" s="155">
        <f>IF('AW Schüler'!$M11=0,"x",F53/'AW Schüler'!$M11)</f>
        <v>0.755062192652589</v>
      </c>
      <c r="L53" s="156">
        <f>IF('AW Schüler'!$P11=0,"x",G53/'AW Schüler'!$P11)</f>
        <v>0.73918065204836991</v>
      </c>
    </row>
    <row r="54" spans="1:12" ht="9" customHeight="1">
      <c r="A54" s="21" t="s">
        <v>114</v>
      </c>
      <c r="B54" s="120"/>
      <c r="C54" s="23">
        <f>'3.2.2'!C54+'3.3.2'!C54</f>
        <v>43161</v>
      </c>
      <c r="D54" s="23">
        <f>'3.2.2'!D54+'3.3.2'!D54</f>
        <v>50041</v>
      </c>
      <c r="E54" s="23">
        <f>'3.2.2'!E54+'3.3.2'!E54</f>
        <v>54053</v>
      </c>
      <c r="F54" s="23">
        <f>'3.2.2'!F54+'3.3.2'!F54</f>
        <v>53597</v>
      </c>
      <c r="G54" s="34">
        <f>'3.2.2'!G54+'3.3.2'!G54</f>
        <v>66530</v>
      </c>
      <c r="H54" s="183">
        <v>0</v>
      </c>
      <c r="I54" s="183">
        <v>0</v>
      </c>
      <c r="J54" s="183">
        <v>0</v>
      </c>
      <c r="K54" s="183">
        <v>0</v>
      </c>
      <c r="L54" s="197">
        <v>0</v>
      </c>
    </row>
    <row r="55" spans="1:12" ht="9" customHeight="1">
      <c r="A55" s="21" t="s">
        <v>176</v>
      </c>
      <c r="B55" s="120"/>
      <c r="C55" s="23">
        <f>'3.2.2'!C55+'3.3.2'!C55</f>
        <v>505</v>
      </c>
      <c r="D55" s="23">
        <f>'3.2.2'!D55+'3.3.2'!D55</f>
        <v>699</v>
      </c>
      <c r="E55" s="23">
        <f>'3.2.2'!E55+'3.3.2'!E55</f>
        <v>417</v>
      </c>
      <c r="F55" s="23">
        <f>'3.2.2'!F55+'3.3.2'!F55</f>
        <v>326</v>
      </c>
      <c r="G55" s="34">
        <f>'3.2.2'!G55+'3.3.2'!G55</f>
        <v>0</v>
      </c>
      <c r="H55" s="155">
        <f>IF('AW Schüler'!$D13=0,"x",C55/'AW Schüler'!$D13)</f>
        <v>1.0287646675358539E-2</v>
      </c>
      <c r="I55" s="155">
        <f>IF('AW Schüler'!$G13=0,"x",D55/'AW Schüler'!$G13)</f>
        <v>1.416183799991896E-2</v>
      </c>
      <c r="J55" s="155">
        <f>IF('AW Schüler'!$J13=0,"x",E55/'AW Schüler'!$J13)</f>
        <v>8.3155522763076559E-3</v>
      </c>
      <c r="K55" s="155">
        <f>IF('AW Schüler'!$M13=0,"x",F55/'AW Schüler'!$M13)</f>
        <v>6.2957455437322573E-3</v>
      </c>
      <c r="L55" s="156">
        <f>IF('AW Schüler'!$P13=0,"x",G55/'AW Schüler'!$P13)</f>
        <v>0</v>
      </c>
    </row>
    <row r="56" spans="1:12" ht="9" customHeight="1">
      <c r="A56" s="21" t="s">
        <v>88</v>
      </c>
      <c r="B56" s="120"/>
      <c r="C56" s="23">
        <f>'3.2.2'!C56+'3.3.2'!C56</f>
        <v>59161</v>
      </c>
      <c r="D56" s="23">
        <f>'3.2.2'!D56+'3.3.2'!D56</f>
        <v>66980</v>
      </c>
      <c r="E56" s="23">
        <f>'3.2.2'!E56+'3.3.2'!E56</f>
        <v>75024</v>
      </c>
      <c r="F56" s="23">
        <f>'3.2.2'!F56+'3.3.2'!F56</f>
        <v>80871</v>
      </c>
      <c r="G56" s="34">
        <f>'3.2.2'!G56+'3.3.2'!G56</f>
        <v>88760</v>
      </c>
      <c r="H56" s="183">
        <v>0</v>
      </c>
      <c r="I56" s="183">
        <v>0</v>
      </c>
      <c r="J56" s="183">
        <v>0</v>
      </c>
      <c r="K56" s="183">
        <v>0</v>
      </c>
      <c r="L56" s="197">
        <v>0</v>
      </c>
    </row>
    <row r="57" spans="1:12" ht="9" customHeight="1">
      <c r="A57" s="21" t="s">
        <v>89</v>
      </c>
      <c r="B57" s="120"/>
      <c r="C57" s="23">
        <f>'3.2.2'!C57+'3.3.2'!C57</f>
        <v>232284</v>
      </c>
      <c r="D57" s="23">
        <f>'3.2.2'!D57+'3.3.2'!D57</f>
        <v>237127</v>
      </c>
      <c r="E57" s="23">
        <f>'3.2.2'!E57+'3.3.2'!E57</f>
        <v>250289</v>
      </c>
      <c r="F57" s="23">
        <f>'3.2.2'!F57+'3.3.2'!F57</f>
        <v>259497</v>
      </c>
      <c r="G57" s="34">
        <f>'3.2.2'!G57+'3.3.2'!G57</f>
        <v>275389</v>
      </c>
      <c r="H57" s="155">
        <f>IF('AW Schüler'!$D15=0,"x",C57/'AW Schüler'!$D15)</f>
        <v>0.36306344748034119</v>
      </c>
      <c r="I57" s="155">
        <f>IF('AW Schüler'!$G15=0,"x",D57/'AW Schüler'!$G15)</f>
        <v>0.3791241646148435</v>
      </c>
      <c r="J57" s="155">
        <f>IF('AW Schüler'!$J15=0,"x",E57/'AW Schüler'!$J15)</f>
        <v>0.40031956597885876</v>
      </c>
      <c r="K57" s="155">
        <f>IF('AW Schüler'!$M15=0,"x",F57/'AW Schüler'!$M15)</f>
        <v>0.41870495239293859</v>
      </c>
      <c r="L57" s="156">
        <f>IF('AW Schüler'!$P15=0,"x",G57/'AW Schüler'!$P15)</f>
        <v>0.43519396456361925</v>
      </c>
    </row>
    <row r="58" spans="1:12" ht="9" customHeight="1">
      <c r="A58" s="21" t="s">
        <v>90</v>
      </c>
      <c r="B58" s="120"/>
      <c r="C58" s="23">
        <f>'3.2.2'!C58+'3.3.2'!C58</f>
        <v>10564</v>
      </c>
      <c r="D58" s="23">
        <f>'3.2.2'!D58+'3.3.2'!D58</f>
        <v>11213</v>
      </c>
      <c r="E58" s="23">
        <f>'3.2.2'!E58+'3.3.2'!E58</f>
        <v>13871</v>
      </c>
      <c r="F58" s="23">
        <f>'3.2.2'!F58+'3.3.2'!F58</f>
        <v>15460</v>
      </c>
      <c r="G58" s="34">
        <f>'3.2.2'!G58+'3.3.2'!G58</f>
        <v>19333</v>
      </c>
      <c r="H58" s="155">
        <f>IF('AW Schüler'!$D16=0,"x",C58/'AW Schüler'!$D16)</f>
        <v>7.802528952966202E-2</v>
      </c>
      <c r="I58" s="155">
        <f>IF('AW Schüler'!$G16=0,"x",D58/'AW Schüler'!$G16)</f>
        <v>8.4295594647421437E-2</v>
      </c>
      <c r="J58" s="155">
        <f>IF('AW Schüler'!$J16=0,"x",E58/'AW Schüler'!$J16)</f>
        <v>0.10374176370721054</v>
      </c>
      <c r="K58" s="155">
        <f>IF('AW Schüler'!$M16=0,"x",F58/'AW Schüler'!$M16)</f>
        <v>0.11464420253314746</v>
      </c>
      <c r="L58" s="156">
        <f>IF('AW Schüler'!$P16=0,"x",G58/'AW Schüler'!$P16)</f>
        <v>0.14037189512586493</v>
      </c>
    </row>
    <row r="59" spans="1:12" ht="9" customHeight="1">
      <c r="A59" s="21" t="s">
        <v>91</v>
      </c>
      <c r="B59" s="120"/>
      <c r="C59" s="23">
        <f>'3.2.2'!C59+'3.3.2'!C59</f>
        <v>11664</v>
      </c>
      <c r="D59" s="23">
        <f>'3.2.2'!D59+'3.3.2'!D59</f>
        <v>11274</v>
      </c>
      <c r="E59" s="23">
        <f>'3.2.2'!E59+'3.3.2'!E59</f>
        <v>11904</v>
      </c>
      <c r="F59" s="23">
        <f>'3.2.2'!F59+'3.3.2'!F59</f>
        <v>12690</v>
      </c>
      <c r="G59" s="34">
        <f>'3.2.2'!G59+'3.3.2'!G59</f>
        <v>13162</v>
      </c>
      <c r="H59" s="155">
        <f>IF('AW Schüler'!$D17=0,"x",C59/'AW Schüler'!$D17)</f>
        <v>0.38830814301884281</v>
      </c>
      <c r="I59" s="155">
        <f>IF('AW Schüler'!$G17=0,"x",D59/'AW Schüler'!$G17)</f>
        <v>0.37945542055131098</v>
      </c>
      <c r="J59" s="155">
        <f>IF('AW Schüler'!$J17=0,"x",E59/'AW Schüler'!$J17)</f>
        <v>0.39796737095480073</v>
      </c>
      <c r="K59" s="155">
        <f>IF('AW Schüler'!$M17=0,"x",F59/'AW Schüler'!$M17)</f>
        <v>0.42482675504670081</v>
      </c>
      <c r="L59" s="156">
        <f>IF('AW Schüler'!$P17=0,"x",G59/'AW Schüler'!$P17)</f>
        <v>0.42460803922833729</v>
      </c>
    </row>
    <row r="60" spans="1:12" ht="9" customHeight="1">
      <c r="A60" s="21" t="s">
        <v>92</v>
      </c>
      <c r="B60" s="120"/>
      <c r="C60" s="23">
        <f>'3.2.2'!C60+'3.3.2'!C60</f>
        <v>68211</v>
      </c>
      <c r="D60" s="23">
        <f>'3.2.2'!D60+'3.3.2'!D60</f>
        <v>67788</v>
      </c>
      <c r="E60" s="23">
        <f>'3.2.2'!E60+'3.3.2'!E60</f>
        <v>72119</v>
      </c>
      <c r="F60" s="23">
        <f>'3.2.2'!F60+'3.3.2'!F60</f>
        <v>71939</v>
      </c>
      <c r="G60" s="34">
        <f>'3.2.2'!G60+'3.3.2'!G60</f>
        <v>72495</v>
      </c>
      <c r="H60" s="155">
        <f>IF('AW Schüler'!$D18=0,"x",C60/'AW Schüler'!$D18)</f>
        <v>0.54904817482995938</v>
      </c>
      <c r="I60" s="155">
        <f>IF('AW Schüler'!$G18=0,"x",D60/'AW Schüler'!$G18)</f>
        <v>0.53602606275303644</v>
      </c>
      <c r="J60" s="155">
        <f>IF('AW Schüler'!$J18=0,"x",E60/'AW Schüler'!$J18)</f>
        <v>0.55904468078509195</v>
      </c>
      <c r="K60" s="155">
        <f>IF('AW Schüler'!$M18=0,"x",F60/'AW Schüler'!$M18)</f>
        <v>0.54502958535051638</v>
      </c>
      <c r="L60" s="156">
        <f>IF('AW Schüler'!$P18=0,"x",G60/'AW Schüler'!$P18)</f>
        <v>0.52997295123912569</v>
      </c>
    </row>
    <row r="61" spans="1:12" ht="9" customHeight="1">
      <c r="A61" s="21" t="s">
        <v>93</v>
      </c>
      <c r="B61" s="120"/>
      <c r="C61" s="23">
        <f>'3.2.2'!C61+'3.3.2'!C61</f>
        <v>1817</v>
      </c>
      <c r="D61" s="23">
        <f>'3.2.2'!D61+'3.3.2'!D61</f>
        <v>1832</v>
      </c>
      <c r="E61" s="23">
        <f>'3.2.2'!E61+'3.3.2'!E61</f>
        <v>1961</v>
      </c>
      <c r="F61" s="23">
        <f>'3.2.2'!F61+'3.3.2'!F61</f>
        <v>1982</v>
      </c>
      <c r="G61" s="34">
        <f>'3.2.2'!G61+'3.3.2'!G61</f>
        <v>45316</v>
      </c>
      <c r="H61" s="183">
        <v>0</v>
      </c>
      <c r="I61" s="183">
        <v>0</v>
      </c>
      <c r="J61" s="183">
        <v>0</v>
      </c>
      <c r="K61" s="183">
        <v>0</v>
      </c>
      <c r="L61" s="197">
        <v>0</v>
      </c>
    </row>
    <row r="62" spans="1:12" ht="9" customHeight="1">
      <c r="A62" s="21" t="s">
        <v>94</v>
      </c>
      <c r="B62" s="120"/>
      <c r="C62" s="23">
        <f>'3.2.2'!C62+'3.3.2'!C62</f>
        <v>14781</v>
      </c>
      <c r="D62" s="23">
        <f>'3.2.2'!D62+'3.3.2'!D62</f>
        <v>15517</v>
      </c>
      <c r="E62" s="23">
        <f>'3.2.2'!E62+'3.3.2'!E62</f>
        <v>16732</v>
      </c>
      <c r="F62" s="23">
        <f>'3.2.2'!F62+'3.3.2'!F62</f>
        <v>17635</v>
      </c>
      <c r="G62" s="34">
        <f>'3.2.2'!G62+'3.3.2'!G62</f>
        <v>18604</v>
      </c>
      <c r="H62" s="155">
        <f>IF('AW Schüler'!$D20=0,"x",C62/'AW Schüler'!$D20)</f>
        <v>0.1462234752930702</v>
      </c>
      <c r="I62" s="155">
        <f>IF('AW Schüler'!$G20=0,"x",D62/'AW Schüler'!$G20)</f>
        <v>0.155686880443071</v>
      </c>
      <c r="J62" s="155">
        <f>IF('AW Schüler'!$J20=0,"x",E62/'AW Schüler'!$J20)</f>
        <v>0.16774439331508717</v>
      </c>
      <c r="K62" s="155">
        <f>IF('AW Schüler'!$M20=0,"x",F62/'AW Schüler'!$M20)</f>
        <v>0.17520068351613416</v>
      </c>
      <c r="L62" s="156">
        <f>IF('AW Schüler'!$P20=0,"x",G62/'AW Schüler'!$P20)</f>
        <v>0.18027306466147927</v>
      </c>
    </row>
    <row r="63" spans="1:12" ht="9" customHeight="1">
      <c r="A63" s="21" t="s">
        <v>95</v>
      </c>
      <c r="B63" s="120"/>
      <c r="C63" s="23">
        <f>'3.2.2'!C63+'3.3.2'!C63</f>
        <v>52408</v>
      </c>
      <c r="D63" s="23">
        <f>'3.2.2'!D63+'3.3.2'!D63</f>
        <v>51727</v>
      </c>
      <c r="E63" s="23">
        <f>'3.2.2'!E63+'3.3.2'!E63</f>
        <v>51513</v>
      </c>
      <c r="F63" s="23">
        <f>'3.2.2'!F63+'3.3.2'!F63</f>
        <v>51677</v>
      </c>
      <c r="G63" s="34">
        <f>'3.2.2'!G63+'3.3.2'!G63</f>
        <v>55309</v>
      </c>
      <c r="H63" s="155">
        <f>IF('AW Schüler'!$D21=0,"x",C63/'AW Schüler'!$D21)</f>
        <v>0.81383936890490094</v>
      </c>
      <c r="I63" s="155">
        <f>IF('AW Schüler'!$G21=0,"x",D63/'AW Schüler'!$G21)</f>
        <v>0.8069231249220018</v>
      </c>
      <c r="J63" s="155">
        <f>IF('AW Schüler'!$J21=0,"x",E63/'AW Schüler'!$J21)</f>
        <v>0.79771122398414274</v>
      </c>
      <c r="K63" s="155">
        <f>IF('AW Schüler'!$M21=0,"x",F63/'AW Schüler'!$M21)</f>
        <v>0.79053082453724954</v>
      </c>
      <c r="L63" s="156">
        <f>IF('AW Schüler'!$P21=0,"x",G63/'AW Schüler'!$P21)</f>
        <v>0.82918309521310885</v>
      </c>
    </row>
    <row r="64" spans="1:12" ht="8.65" customHeight="1">
      <c r="A64" s="24" t="s">
        <v>96</v>
      </c>
      <c r="B64" s="121"/>
      <c r="C64" s="26">
        <f>'3.2.2'!C64+'3.3.2'!C64</f>
        <v>642510</v>
      </c>
      <c r="D64" s="26">
        <f>'3.2.2'!D64+'3.3.2'!D64</f>
        <v>691890</v>
      </c>
      <c r="E64" s="26">
        <f>'3.2.2'!E64+'3.3.2'!E64</f>
        <v>730617</v>
      </c>
      <c r="F64" s="26">
        <f>'3.2.2'!F64+'3.3.2'!F64</f>
        <v>760187</v>
      </c>
      <c r="G64" s="47">
        <f>'3.2.2'!G64+'3.3.2'!G64</f>
        <v>919235</v>
      </c>
      <c r="H64" s="157">
        <f>IF('AW Schüler'!$D22=0,"x",C64/'AW Schüler'!$D22)</f>
        <v>0.23492800345750137</v>
      </c>
      <c r="I64" s="157">
        <f>IF('AW Schüler'!$G22=0,"x",D64/'AW Schüler'!$G22)</f>
        <v>0.25660073105748177</v>
      </c>
      <c r="J64" s="157">
        <f>IF('AW Schüler'!$J22=0,"x",E64/'AW Schüler'!$J22)</f>
        <v>0.2709912239609123</v>
      </c>
      <c r="K64" s="157">
        <f>IF('AW Schüler'!$M22=0,"x",F64/'AW Schüler'!$M22)</f>
        <v>0.28119414490660732</v>
      </c>
      <c r="L64" s="158">
        <f>IF('AW Schüler'!$P22=0,"x",G64/'AW Schüler'!$P22)</f>
        <v>0.33310841882077874</v>
      </c>
    </row>
    <row r="65" spans="1:12" ht="18.75" customHeight="1">
      <c r="A65" s="396" t="s">
        <v>312</v>
      </c>
      <c r="B65" s="396"/>
      <c r="C65" s="396"/>
      <c r="D65" s="396"/>
      <c r="E65" s="396"/>
      <c r="F65" s="396"/>
      <c r="G65" s="396"/>
      <c r="H65" s="396"/>
      <c r="I65" s="396"/>
      <c r="J65" s="396"/>
      <c r="K65" s="396"/>
      <c r="L65" s="396"/>
    </row>
    <row r="66" spans="1:12" ht="18.600000000000001" customHeight="1">
      <c r="A66" s="381" t="s">
        <v>206</v>
      </c>
      <c r="B66" s="381"/>
      <c r="C66" s="381"/>
      <c r="D66" s="381"/>
      <c r="E66" s="381"/>
      <c r="F66" s="381"/>
      <c r="G66" s="381"/>
      <c r="H66" s="381"/>
      <c r="I66" s="381"/>
      <c r="J66" s="395"/>
      <c r="K66" s="395"/>
      <c r="L66" s="395"/>
    </row>
    <row r="67" spans="1:12" ht="10.15" customHeight="1">
      <c r="A67" s="306" t="s">
        <v>221</v>
      </c>
    </row>
    <row r="68" spans="1:12" ht="10.15" customHeight="1">
      <c r="A68" s="305"/>
    </row>
    <row r="82" spans="1:1" ht="10.5" customHeight="1"/>
    <row r="83" spans="1:1" ht="10.15" customHeight="1">
      <c r="A83" s="214"/>
    </row>
  </sheetData>
  <mergeCells count="8">
    <mergeCell ref="A1:L1"/>
    <mergeCell ref="A47:L47"/>
    <mergeCell ref="A66:L66"/>
    <mergeCell ref="C9:G9"/>
    <mergeCell ref="H9:L9"/>
    <mergeCell ref="A11:L11"/>
    <mergeCell ref="A29:L29"/>
    <mergeCell ref="A65:L65"/>
  </mergeCells>
  <phoneticPr fontId="18" type="noConversion"/>
  <conditionalFormatting sqref="N25 H12:L28 H30:L46 H48:L64">
    <cfRule type="cellIs" dxfId="34"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84"/>
  <sheetViews>
    <sheetView tabSelected="1" view="pageBreakPreview"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28515625" style="2" customWidth="1"/>
    <col min="3" max="12" width="6.7109375" style="2" customWidth="1"/>
    <col min="13" max="16384" width="11.42578125" style="2"/>
  </cols>
  <sheetData>
    <row r="1" spans="1:13" ht="13.5">
      <c r="A1" s="383">
        <v>1</v>
      </c>
      <c r="B1" s="383"/>
      <c r="C1" s="383"/>
      <c r="D1" s="383"/>
      <c r="E1" s="383"/>
      <c r="F1" s="383"/>
      <c r="G1" s="383"/>
      <c r="H1" s="383"/>
      <c r="I1" s="383"/>
      <c r="J1" s="383"/>
      <c r="K1" s="383"/>
      <c r="L1" s="383"/>
      <c r="M1" s="58" t="s">
        <v>108</v>
      </c>
    </row>
    <row r="2" spans="1:13" ht="12" customHeight="1"/>
    <row r="3" spans="1:13" s="1" customFormat="1" ht="12.6" customHeight="1">
      <c r="A3" s="11">
        <v>1</v>
      </c>
      <c r="B3" s="12" t="s">
        <v>263</v>
      </c>
      <c r="C3" s="12"/>
      <c r="D3" s="12"/>
      <c r="E3" s="12"/>
      <c r="F3" s="12"/>
      <c r="G3" s="12"/>
    </row>
    <row r="4" spans="1:13" s="1" customFormat="1" ht="12.6" customHeight="1">
      <c r="A4" s="13" t="s">
        <v>0</v>
      </c>
      <c r="B4" s="12" t="s">
        <v>1</v>
      </c>
      <c r="C4" s="14"/>
      <c r="D4" s="14"/>
      <c r="E4" s="14"/>
      <c r="F4" s="14"/>
      <c r="G4" s="14"/>
    </row>
    <row r="5" spans="1:13" s="1" customFormat="1" ht="12.6" customHeight="1">
      <c r="A5" s="13"/>
      <c r="B5" s="12"/>
      <c r="C5" s="14"/>
      <c r="D5" s="14"/>
      <c r="E5" s="14"/>
      <c r="F5" s="14"/>
      <c r="G5" s="14"/>
    </row>
    <row r="6" spans="1:13" ht="13.5">
      <c r="A6" s="15"/>
      <c r="B6" s="12"/>
    </row>
    <row r="7" spans="1:13" ht="6.75" customHeight="1"/>
    <row r="9" spans="1:13" ht="10.15" customHeight="1">
      <c r="A9" s="118" t="s">
        <v>77</v>
      </c>
      <c r="B9" s="119"/>
      <c r="C9" s="375" t="s">
        <v>78</v>
      </c>
      <c r="D9" s="375"/>
      <c r="E9" s="375"/>
      <c r="F9" s="375"/>
      <c r="G9" s="376"/>
      <c r="H9" s="377" t="s">
        <v>147</v>
      </c>
      <c r="I9" s="375"/>
      <c r="J9" s="375"/>
      <c r="K9" s="375"/>
      <c r="L9" s="376"/>
    </row>
    <row r="10" spans="1:13" ht="10.15" customHeight="1">
      <c r="A10" s="115"/>
      <c r="B10" s="18"/>
      <c r="C10" s="19">
        <v>2012</v>
      </c>
      <c r="D10" s="19">
        <v>2013</v>
      </c>
      <c r="E10" s="19">
        <v>2014</v>
      </c>
      <c r="F10" s="19">
        <v>2015</v>
      </c>
      <c r="G10" s="20">
        <v>2016</v>
      </c>
      <c r="H10" s="18">
        <v>2012</v>
      </c>
      <c r="I10" s="18">
        <v>2013</v>
      </c>
      <c r="J10" s="19">
        <v>2014</v>
      </c>
      <c r="K10" s="19">
        <v>2015</v>
      </c>
      <c r="L10" s="20">
        <v>2016</v>
      </c>
    </row>
    <row r="11" spans="1:13" ht="10.15" customHeight="1">
      <c r="A11" s="378" t="s">
        <v>79</v>
      </c>
      <c r="B11" s="379"/>
      <c r="C11" s="379"/>
      <c r="D11" s="379"/>
      <c r="E11" s="379"/>
      <c r="F11" s="379"/>
      <c r="G11" s="379"/>
      <c r="H11" s="379"/>
      <c r="I11" s="379"/>
      <c r="J11" s="379"/>
      <c r="K11" s="379"/>
      <c r="L11" s="380"/>
    </row>
    <row r="12" spans="1:13" ht="10.15" customHeight="1">
      <c r="A12" s="116" t="s">
        <v>80</v>
      </c>
      <c r="B12" s="22"/>
      <c r="C12" s="23">
        <f>'1_2 '!C12+'1_3 '!C12</f>
        <v>1258</v>
      </c>
      <c r="D12" s="252">
        <f>'1_2 '!D12+'1_3 '!D12</f>
        <v>1330</v>
      </c>
      <c r="E12" s="252">
        <f>'1_2 '!E12+'1_3 '!E12</f>
        <v>1455</v>
      </c>
      <c r="F12" s="252">
        <f>'1_2 '!F12+'1_3 '!F12</f>
        <v>1551</v>
      </c>
      <c r="G12" s="239">
        <f>'1_2 '!G12+'1_3 '!G12</f>
        <v>1665</v>
      </c>
      <c r="H12" s="240">
        <f>[1]GtS_VE!$F$5/100</f>
        <v>0.30541393542121875</v>
      </c>
      <c r="I12" s="240">
        <f>[2]GtS_VE!$F$5/100</f>
        <v>0.3244693827762869</v>
      </c>
      <c r="J12" s="240">
        <f>[3]GtS_VE!$F$5/100</f>
        <v>0.35793357933579339</v>
      </c>
      <c r="K12" s="240">
        <f>[4]GtS_VE!$F$5/100</f>
        <v>0.38486352357320103</v>
      </c>
      <c r="L12" s="212">
        <f>[5]GtS_VE!$F$5/100</f>
        <v>0.41593804646515109</v>
      </c>
    </row>
    <row r="13" spans="1:13" ht="10.15" customHeight="1">
      <c r="A13" s="116" t="s">
        <v>81</v>
      </c>
      <c r="B13" s="22"/>
      <c r="C13" s="23">
        <f>'1_2 '!C13+'1_3 '!C13</f>
        <v>2161</v>
      </c>
      <c r="D13" s="23">
        <f>'1_2 '!D13+'1_3 '!D13</f>
        <v>2209</v>
      </c>
      <c r="E13" s="23">
        <f>'1_2 '!E13+'1_3 '!E13</f>
        <v>2230</v>
      </c>
      <c r="F13" s="23">
        <f>'1_2 '!F13+'1_3 '!F13</f>
        <v>2320</v>
      </c>
      <c r="G13" s="34">
        <f>'1_2 '!G13+'1_3 '!G13</f>
        <v>3344</v>
      </c>
      <c r="H13" s="29">
        <f>[6]GtS_VE!$F$5/100</f>
        <v>0.47630592902799207</v>
      </c>
      <c r="I13" s="29">
        <f>[7]GtS_VE!$F$5/100</f>
        <v>0.4866710729235515</v>
      </c>
      <c r="J13" s="29">
        <f>[8]GtS_VE!$F$5/100</f>
        <v>0.49270879363676534</v>
      </c>
      <c r="K13" s="29">
        <f>[9]GtS_VE!$F$5/100</f>
        <v>0.51168945743273053</v>
      </c>
      <c r="L13" s="30">
        <f>[10]GtS_VE!$F$5/100</f>
        <v>0.74097052958120979</v>
      </c>
    </row>
    <row r="14" spans="1:13" ht="10.15" customHeight="1">
      <c r="A14" s="116" t="s">
        <v>82</v>
      </c>
      <c r="B14" s="22"/>
      <c r="C14" s="23">
        <f>'1_2 '!C14+'1_3 '!C14</f>
        <v>665</v>
      </c>
      <c r="D14" s="23">
        <f>'1_2 '!D14+'1_3 '!D14</f>
        <v>645</v>
      </c>
      <c r="E14" s="23">
        <f>'1_2 '!E14+'1_3 '!E14</f>
        <v>650</v>
      </c>
      <c r="F14" s="23">
        <f>'1_2 '!F14+'1_3 '!F14</f>
        <v>674</v>
      </c>
      <c r="G14" s="34">
        <f>'1_2 '!G14+'1_3 '!G14</f>
        <v>703</v>
      </c>
      <c r="H14" s="29">
        <f>[11]GtS_VE!$F$5/100</f>
        <v>0.875</v>
      </c>
      <c r="I14" s="29">
        <f>[12]GtS_VE!$F$5/100</f>
        <v>0.84980237154150207</v>
      </c>
      <c r="J14" s="29">
        <f>[13]GtS_VE!$F$5/100</f>
        <v>0.85638998682476941</v>
      </c>
      <c r="K14" s="29">
        <f>[14]GtS_VE!$F$5/100</f>
        <v>0.89035667107001315</v>
      </c>
      <c r="L14" s="30">
        <f>[15]GtS_VE!$F$5/100</f>
        <v>0.92621870882740454</v>
      </c>
    </row>
    <row r="15" spans="1:13" ht="10.15" customHeight="1">
      <c r="A15" s="116" t="s">
        <v>83</v>
      </c>
      <c r="B15" s="22"/>
      <c r="C15" s="23">
        <f>'1_2 '!C15+'1_3 '!C15</f>
        <v>480</v>
      </c>
      <c r="D15" s="23">
        <f>'1_2 '!D15+'1_3 '!D15</f>
        <v>483</v>
      </c>
      <c r="E15" s="23">
        <f>'1_2 '!E15+'1_3 '!E15</f>
        <v>484</v>
      </c>
      <c r="F15" s="23">
        <f>'1_2 '!F15+'1_3 '!F15</f>
        <v>485</v>
      </c>
      <c r="G15" s="34">
        <f>'1_2 '!G15+'1_3 '!G15</f>
        <v>488</v>
      </c>
      <c r="H15" s="29">
        <f>[16]GtS_VE!$F$5/100</f>
        <v>0.56804733727810652</v>
      </c>
      <c r="I15" s="29">
        <f>[17]GtS_VE!$F$5/100</f>
        <v>0.57499999999999996</v>
      </c>
      <c r="J15" s="29">
        <f>[18]GtS_VE!$F$5/100</f>
        <v>0.57894736842105265</v>
      </c>
      <c r="K15" s="29">
        <f>[19]GtS_VE!$F$5/100</f>
        <v>0.57806912991656734</v>
      </c>
      <c r="L15" s="30">
        <f>[20]GtS_VE!$F$5/100</f>
        <v>0.57957244655581941</v>
      </c>
    </row>
    <row r="16" spans="1:13" ht="10.15" customHeight="1">
      <c r="A16" s="116" t="s">
        <v>84</v>
      </c>
      <c r="B16" s="22"/>
      <c r="C16" s="23">
        <f>'1_2 '!C16+'1_3 '!C16</f>
        <v>76</v>
      </c>
      <c r="D16" s="23">
        <f>'1_2 '!D16+'1_3 '!D16</f>
        <v>79</v>
      </c>
      <c r="E16" s="23">
        <f>'1_2 '!E16+'1_3 '!E16</f>
        <v>81</v>
      </c>
      <c r="F16" s="23">
        <f>'1_2 '!F16+'1_3 '!F16</f>
        <v>87</v>
      </c>
      <c r="G16" s="34">
        <f>'1_2 '!G16+'1_3 '!G16</f>
        <v>86</v>
      </c>
      <c r="H16" s="29">
        <f>[21]GtS_VE!$F$5/100</f>
        <v>0.41530054644808745</v>
      </c>
      <c r="I16" s="29">
        <f>[22]GtS_VE!$F$5/100</f>
        <v>0.43646408839779005</v>
      </c>
      <c r="J16" s="29">
        <f>[23]GtS_VE!$F$5/100</f>
        <v>0.4550561797752809</v>
      </c>
      <c r="K16" s="29">
        <f>[24]GtS_VE!$F$5/100</f>
        <v>0.4887640449438202</v>
      </c>
      <c r="L16" s="30">
        <f>[25]GtS_VE!$F$5/100</f>
        <v>0.5</v>
      </c>
    </row>
    <row r="17" spans="1:12" ht="10.15" customHeight="1">
      <c r="A17" s="116" t="s">
        <v>85</v>
      </c>
      <c r="B17" s="22"/>
      <c r="C17" s="23">
        <f>'1_2 '!C17+'1_3 '!C17</f>
        <v>280</v>
      </c>
      <c r="D17" s="23">
        <f>'1_2 '!D17+'1_3 '!D17</f>
        <v>382</v>
      </c>
      <c r="E17" s="23">
        <f>'1_2 '!E17+'1_3 '!E17</f>
        <v>379</v>
      </c>
      <c r="F17" s="23">
        <f>'1_2 '!F17+'1_3 '!F17</f>
        <v>386</v>
      </c>
      <c r="G17" s="34">
        <f>'1_2 '!G17+'1_3 '!G17</f>
        <v>388</v>
      </c>
      <c r="H17" s="29">
        <f>[26]GtS_VE!$F$5/100</f>
        <v>0.67307692307692302</v>
      </c>
      <c r="I17" s="29">
        <f>[27]GtS_VE!$F$5/100</f>
        <v>0.94320987654320987</v>
      </c>
      <c r="J17" s="29">
        <f>[28]GtS_VE!$F$5/100</f>
        <v>0.93349753694581283</v>
      </c>
      <c r="K17" s="29">
        <f>[29]GtS_VE!$F$5/100</f>
        <v>0.9530864197530865</v>
      </c>
      <c r="L17" s="30">
        <f>[30]GtS_VE!$F$5/100</f>
        <v>0.95566502463054193</v>
      </c>
    </row>
    <row r="18" spans="1:12" ht="10.15" customHeight="1">
      <c r="A18" s="116" t="s">
        <v>86</v>
      </c>
      <c r="B18" s="22"/>
      <c r="C18" s="23">
        <f>'1_2 '!C18+'1_3 '!C18</f>
        <v>847</v>
      </c>
      <c r="D18" s="23">
        <f>'1_2 '!D18+'1_3 '!D18</f>
        <v>917</v>
      </c>
      <c r="E18" s="23">
        <f>'1_2 '!E18+'1_3 '!E18</f>
        <v>958</v>
      </c>
      <c r="F18" s="23">
        <f>'1_2 '!F18+'1_3 '!F18</f>
        <v>955</v>
      </c>
      <c r="G18" s="34">
        <f>'1_2 '!G18+'1_3 '!G18</f>
        <v>1071</v>
      </c>
      <c r="H18" s="57">
        <v>0</v>
      </c>
      <c r="I18" s="57">
        <v>0</v>
      </c>
      <c r="J18" s="57">
        <v>0</v>
      </c>
      <c r="K18" s="57">
        <v>0</v>
      </c>
      <c r="L18" s="195">
        <v>0</v>
      </c>
    </row>
    <row r="19" spans="1:12" ht="10.15" customHeight="1">
      <c r="A19" s="116" t="s">
        <v>176</v>
      </c>
      <c r="B19" s="22"/>
      <c r="C19" s="23">
        <f>'1_2 '!C19+'1_3 '!C19</f>
        <v>237</v>
      </c>
      <c r="D19" s="23">
        <f>'1_2 '!D19+'1_3 '!D19</f>
        <v>244</v>
      </c>
      <c r="E19" s="23">
        <f>'1_2 '!E19+'1_3 '!E19</f>
        <v>240</v>
      </c>
      <c r="F19" s="23">
        <f>'1_2 '!F19+'1_3 '!F19</f>
        <v>241</v>
      </c>
      <c r="G19" s="34">
        <f>'1_2 '!G19+'1_3 '!G19</f>
        <v>238</v>
      </c>
      <c r="H19" s="29">
        <f>[31]GtS_VE!$F$5/100</f>
        <v>0.41946902654867257</v>
      </c>
      <c r="I19" s="29">
        <f>[32]GtS_VE!$F$5/100</f>
        <v>0.43033509700176364</v>
      </c>
      <c r="J19" s="29">
        <f>[33]GtS_VE!$F$5/100</f>
        <v>0.42253521126760563</v>
      </c>
      <c r="K19" s="29">
        <f>[34]GtS_VE!$F$5/100</f>
        <v>0.42959001782531198</v>
      </c>
      <c r="L19" s="30">
        <f>[35]GtS_VE!$F$5/100</f>
        <v>0.4265232974910394</v>
      </c>
    </row>
    <row r="20" spans="1:12" ht="10.15" customHeight="1">
      <c r="A20" s="336" t="s">
        <v>251</v>
      </c>
      <c r="B20" s="22"/>
      <c r="C20" s="23">
        <f>'1_2 '!C20+'1_3 '!C20</f>
        <v>1458</v>
      </c>
      <c r="D20" s="23">
        <f>'1_2 '!D20+'1_3 '!D20</f>
        <v>1580</v>
      </c>
      <c r="E20" s="23">
        <f>'1_2 '!E20+'1_3 '!E20</f>
        <v>1647</v>
      </c>
      <c r="F20" s="23">
        <f>'1_2 '!F20+'1_3 '!F20</f>
        <v>1675</v>
      </c>
      <c r="G20" s="34">
        <f>'1_2 '!G20+'1_3 '!G20</f>
        <v>1742</v>
      </c>
      <c r="H20" s="57">
        <v>0</v>
      </c>
      <c r="I20" s="57">
        <v>0</v>
      </c>
      <c r="J20" s="57">
        <v>0</v>
      </c>
      <c r="K20" s="57">
        <v>0</v>
      </c>
      <c r="L20" s="195">
        <v>0</v>
      </c>
    </row>
    <row r="21" spans="1:12" ht="10.15" customHeight="1">
      <c r="A21" s="116" t="s">
        <v>89</v>
      </c>
      <c r="B21" s="22"/>
      <c r="C21" s="23">
        <f>'1_2 '!C21+'1_3 '!C21</f>
        <v>4117</v>
      </c>
      <c r="D21" s="23">
        <f>'1_2 '!D21+'1_3 '!D21</f>
        <v>4139</v>
      </c>
      <c r="E21" s="23">
        <f>'1_2 '!E21+'1_3 '!E21</f>
        <v>4143</v>
      </c>
      <c r="F21" s="23">
        <f>'1_2 '!F21+'1_3 '!F21</f>
        <v>4106</v>
      </c>
      <c r="G21" s="34">
        <f>'1_2 '!G21+'1_3 '!G21</f>
        <v>4061</v>
      </c>
      <c r="H21" s="29">
        <f>[36]GtS_VE!$F$5/100</f>
        <v>0.70424221690044475</v>
      </c>
      <c r="I21" s="29">
        <f>[37]GtS_VE!$F$5/100</f>
        <v>0.71670995670995663</v>
      </c>
      <c r="J21" s="29">
        <f>[38]GtS_VE!$F$5/100</f>
        <v>0.73030142781597041</v>
      </c>
      <c r="K21" s="29">
        <f>[39]GtS_VE!$F$5/100</f>
        <v>0.74182475158084915</v>
      </c>
      <c r="L21" s="30">
        <f>[40]GtS_VE!$F$5/100</f>
        <v>0.7524550676301649</v>
      </c>
    </row>
    <row r="22" spans="1:12" ht="10.15" customHeight="1">
      <c r="A22" s="116" t="s">
        <v>90</v>
      </c>
      <c r="B22" s="22"/>
      <c r="C22" s="23">
        <f>'1_2 '!C22+'1_3 '!C22</f>
        <v>1036</v>
      </c>
      <c r="D22" s="23">
        <f>'1_2 '!D22+'1_3 '!D22</f>
        <v>1044</v>
      </c>
      <c r="E22" s="23">
        <f>'1_2 '!E22+'1_3 '!E22</f>
        <v>1055</v>
      </c>
      <c r="F22" s="23">
        <f>'1_2 '!F22+'1_3 '!F22</f>
        <v>1071</v>
      </c>
      <c r="G22" s="34">
        <f>'1_2 '!G22+'1_3 '!G22</f>
        <v>1093</v>
      </c>
      <c r="H22" s="29">
        <f>[41]GtS_VE!$F$5/100</f>
        <v>0.67535853976531934</v>
      </c>
      <c r="I22" s="29">
        <f>[42]GtS_VE!$F$5/100</f>
        <v>0.68910891089108917</v>
      </c>
      <c r="J22" s="29">
        <f>[43]GtS_VE!$F$5/100</f>
        <v>0.70053120849933603</v>
      </c>
      <c r="K22" s="29">
        <f>[44]GtS_VE!$F$5/100</f>
        <v>0.7168674698795181</v>
      </c>
      <c r="L22" s="30">
        <f>[45]GtS_VE!$F$5/100</f>
        <v>0.73355704697986579</v>
      </c>
    </row>
    <row r="23" spans="1:12" ht="10.15" customHeight="1">
      <c r="A23" s="116" t="s">
        <v>91</v>
      </c>
      <c r="B23" s="22"/>
      <c r="C23" s="23">
        <f>'1_2 '!C23+'1_3 '!C23</f>
        <v>290</v>
      </c>
      <c r="D23" s="23">
        <f>'1_2 '!D23+'1_3 '!D23</f>
        <v>291</v>
      </c>
      <c r="E23" s="23">
        <f>'1_2 '!E23+'1_3 '!E23</f>
        <v>290</v>
      </c>
      <c r="F23" s="23">
        <f>'1_2 '!F23+'1_3 '!F23</f>
        <v>292</v>
      </c>
      <c r="G23" s="34">
        <f>'1_2 '!G23+'1_3 '!G23</f>
        <v>290</v>
      </c>
      <c r="H23" s="29">
        <f>[46]GtS_VE!$F$5/100</f>
        <v>0.94462540716612375</v>
      </c>
      <c r="I23" s="29">
        <f>[47]GtS_VE!$F$5/100</f>
        <v>0.94788273615635177</v>
      </c>
      <c r="J23" s="29">
        <f>[48]GtS_VE!$F$5/100</f>
        <v>0.95081967213114749</v>
      </c>
      <c r="K23" s="29">
        <f>[49]GtS_VE!$F$5/100</f>
        <v>0.9700996677740864</v>
      </c>
      <c r="L23" s="30">
        <f>[50]GtS_VE!$F$5/100</f>
        <v>0.96989966555183937</v>
      </c>
    </row>
    <row r="24" spans="1:12" ht="10.15" customHeight="1">
      <c r="A24" s="116" t="s">
        <v>92</v>
      </c>
      <c r="B24" s="22"/>
      <c r="C24" s="23">
        <f>'1_2 '!C24+'1_3 '!C24</f>
        <v>1434</v>
      </c>
      <c r="D24" s="23">
        <f>'1_2 '!D24+'1_3 '!D24</f>
        <v>1436</v>
      </c>
      <c r="E24" s="23">
        <f>'1_2 '!E24+'1_3 '!E24</f>
        <v>1438</v>
      </c>
      <c r="F24" s="23">
        <f>'1_2 '!F24+'1_3 '!F24</f>
        <v>1445</v>
      </c>
      <c r="G24" s="34">
        <f>'1_2 '!G24+'1_3 '!G24</f>
        <v>1458</v>
      </c>
      <c r="H24" s="29">
        <f>[51]GtS_VE!$F$5/100</f>
        <v>0.96695886716115975</v>
      </c>
      <c r="I24" s="29">
        <f>[52]GtS_VE!$F$5/100</f>
        <v>0.97421981004070557</v>
      </c>
      <c r="J24" s="29">
        <f>[53]GtS_VE!$F$5/100</f>
        <v>0.97359512525389302</v>
      </c>
      <c r="K24" s="29">
        <f>[54]GtS_VE!$F$5/100</f>
        <v>0.97437626432906266</v>
      </c>
      <c r="L24" s="30">
        <f>[55]GtS_VE!$F$5/100</f>
        <v>0.97394789579158314</v>
      </c>
    </row>
    <row r="25" spans="1:12" ht="10.15" customHeight="1">
      <c r="A25" s="116" t="s">
        <v>93</v>
      </c>
      <c r="B25" s="22"/>
      <c r="C25" s="23">
        <f>'1_2 '!C25+'1_3 '!C25</f>
        <v>219</v>
      </c>
      <c r="D25" s="23">
        <f>'1_2 '!D25+'1_3 '!D25</f>
        <v>225</v>
      </c>
      <c r="E25" s="23">
        <f>'1_2 '!E25+'1_3 '!E25</f>
        <v>221</v>
      </c>
      <c r="F25" s="23">
        <f>'1_2 '!F25+'1_3 '!F25</f>
        <v>219</v>
      </c>
      <c r="G25" s="34">
        <f>'1_2 '!G25+'1_3 '!G25</f>
        <v>510</v>
      </c>
      <c r="H25" s="57">
        <v>0</v>
      </c>
      <c r="I25" s="57">
        <v>0</v>
      </c>
      <c r="J25" s="57">
        <v>0</v>
      </c>
      <c r="K25" s="57">
        <v>0</v>
      </c>
      <c r="L25" s="195">
        <v>0</v>
      </c>
    </row>
    <row r="26" spans="1:12" ht="10.15" customHeight="1">
      <c r="A26" s="116" t="s">
        <v>94</v>
      </c>
      <c r="B26" s="22"/>
      <c r="C26" s="23">
        <f>'1_2 '!C26+'1_3 '!C26</f>
        <v>492</v>
      </c>
      <c r="D26" s="23">
        <f>'1_2 '!D26+'1_3 '!D26</f>
        <v>500</v>
      </c>
      <c r="E26" s="23">
        <f>'1_2 '!E26+'1_3 '!E26</f>
        <v>519</v>
      </c>
      <c r="F26" s="23">
        <f>'1_2 '!F26+'1_3 '!F26</f>
        <v>529</v>
      </c>
      <c r="G26" s="34">
        <f>'1_2 '!G26+'1_3 '!G26</f>
        <v>538</v>
      </c>
      <c r="H26" s="29">
        <f>[56]GtS_VE!$F$5/100</f>
        <v>0.56228571428571428</v>
      </c>
      <c r="I26" s="29">
        <f>[57]GtS_VE!$F$5/100</f>
        <v>0.57937427578215528</v>
      </c>
      <c r="J26" s="29">
        <f>[58]GtS_VE!$F$5/100</f>
        <v>0.60630841121495327</v>
      </c>
      <c r="K26" s="29">
        <f>[59]GtS_VE!$F$5/100</f>
        <v>0.61871345029239766</v>
      </c>
      <c r="L26" s="30">
        <f>[60]GtS_VE!$F$5/100</f>
        <v>0.62923976608187138</v>
      </c>
    </row>
    <row r="27" spans="1:12" ht="10.15" customHeight="1">
      <c r="A27" s="116" t="s">
        <v>95</v>
      </c>
      <c r="B27" s="22"/>
      <c r="C27" s="23">
        <f>'1_2 '!C27+'1_3 '!C27</f>
        <v>692</v>
      </c>
      <c r="D27" s="23">
        <f>'1_2 '!D27+'1_3 '!D27</f>
        <v>694</v>
      </c>
      <c r="E27" s="23">
        <f>'1_2 '!E27+'1_3 '!E27</f>
        <v>698</v>
      </c>
      <c r="F27" s="23">
        <f>'1_2 '!F27+'1_3 '!F27</f>
        <v>697</v>
      </c>
      <c r="G27" s="34">
        <f>'1_2 '!G27+'1_3 '!G27</f>
        <v>683</v>
      </c>
      <c r="H27" s="29">
        <f>[61]GtS_VE!$F$5/100</f>
        <v>0.76803551609322984</v>
      </c>
      <c r="I27" s="29">
        <f>[62]GtS_VE!$F$5/100</f>
        <v>0.76940133037694014</v>
      </c>
      <c r="J27" s="29">
        <f>[63]GtS_VE!$F$5/100</f>
        <v>0.77212389380530977</v>
      </c>
      <c r="K27" s="29">
        <f>[64]GtS_VE!$F$5/100</f>
        <v>0.77616926503340766</v>
      </c>
      <c r="L27" s="30">
        <f>[65]GtS_VE!$F$5/100</f>
        <v>0.76827896512935878</v>
      </c>
    </row>
    <row r="28" spans="1:12" ht="10.15" customHeight="1">
      <c r="A28" s="117" t="s">
        <v>96</v>
      </c>
      <c r="B28" s="25"/>
      <c r="C28" s="26">
        <f>'1_2 '!C28+'1_3 '!C28</f>
        <v>15742</v>
      </c>
      <c r="D28" s="26">
        <f>'1_2 '!D28+'1_3 '!D28</f>
        <v>16198</v>
      </c>
      <c r="E28" s="26">
        <f>'1_2 '!E28+'1_3 '!E28</f>
        <v>16488</v>
      </c>
      <c r="F28" s="26">
        <f>'1_2 '!F28+'1_3 '!F28</f>
        <v>16733</v>
      </c>
      <c r="G28" s="47">
        <f>'1_2 '!G28+'1_3 '!G28</f>
        <v>18358</v>
      </c>
      <c r="H28" s="31">
        <f>GtS_VE!F33/100</f>
        <v>0.5591787439613527</v>
      </c>
      <c r="I28" s="31">
        <f>GtS_VE!F26/100</f>
        <v>0.57938977715777806</v>
      </c>
      <c r="J28" s="31">
        <f>GtS_VE!F19/100</f>
        <v>0.5951487149870055</v>
      </c>
      <c r="K28" s="31">
        <f>GtS_VE!F12/100</f>
        <v>0.60980320699708457</v>
      </c>
      <c r="L28" s="32">
        <f>GtS_VE!F5/100</f>
        <v>0.67460404953514863</v>
      </c>
    </row>
    <row r="29" spans="1:12" ht="6" customHeight="1">
      <c r="C29" s="209"/>
      <c r="D29" s="209"/>
      <c r="E29" s="209"/>
      <c r="F29" s="209"/>
      <c r="G29" s="209"/>
    </row>
    <row r="30" spans="1:12" ht="20.25" customHeight="1">
      <c r="A30" s="381" t="s">
        <v>195</v>
      </c>
      <c r="B30" s="381"/>
      <c r="C30" s="381"/>
      <c r="D30" s="381"/>
      <c r="E30" s="381"/>
      <c r="F30" s="381"/>
      <c r="G30" s="381"/>
      <c r="H30" s="382"/>
      <c r="I30" s="382"/>
      <c r="J30" s="367"/>
      <c r="K30" s="367"/>
      <c r="L30" s="367"/>
    </row>
    <row r="31" spans="1:12" ht="9.4" customHeight="1">
      <c r="A31" s="306" t="s">
        <v>221</v>
      </c>
    </row>
    <row r="32" spans="1:12">
      <c r="A32" s="2" t="s">
        <v>250</v>
      </c>
    </row>
    <row r="64" ht="8.65" customHeight="1"/>
    <row r="65" spans="1:1" ht="12.6" customHeight="1"/>
    <row r="66" spans="1:1" ht="10.15" customHeight="1">
      <c r="A66" s="214"/>
    </row>
    <row r="67" spans="1:1" ht="10.15" customHeight="1">
      <c r="A67" s="214"/>
    </row>
    <row r="68" spans="1:1" ht="10.15" customHeight="1">
      <c r="A68" s="214"/>
    </row>
    <row r="83" spans="1:1" ht="10.5" customHeight="1"/>
    <row r="84" spans="1:1" ht="10.15" customHeight="1">
      <c r="A84" s="214"/>
    </row>
  </sheetData>
  <mergeCells count="5">
    <mergeCell ref="C9:G9"/>
    <mergeCell ref="H9:L9"/>
    <mergeCell ref="A11:L11"/>
    <mergeCell ref="A30:L30"/>
    <mergeCell ref="A1:L1"/>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M83"/>
  <sheetViews>
    <sheetView view="pageBreakPreview" topLeftCell="A58" zoomScale="175" zoomScaleNormal="15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'3.1.2'!A1:E1+1</f>
        <v>37</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2.6" customHeight="1">
      <c r="A5" s="13" t="s">
        <v>41</v>
      </c>
      <c r="B5" s="39" t="s">
        <v>9</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293</v>
      </c>
      <c r="D12" s="42">
        <f t="shared" ref="D12:E12" si="1">SUM(D30+D48)</f>
        <v>280</v>
      </c>
      <c r="E12" s="42">
        <f t="shared" si="1"/>
        <v>209</v>
      </c>
      <c r="F12" s="42">
        <f t="shared" ref="F12:G12" si="2">SUM(F30+F48)</f>
        <v>216</v>
      </c>
      <c r="G12" s="44">
        <f t="shared" si="2"/>
        <v>125</v>
      </c>
      <c r="H12" s="153">
        <f>IF('AW Schüler'!$D24=0,"x",C12/'AW Schüler'!$D24)</f>
        <v>0.73250000000000004</v>
      </c>
      <c r="I12" s="153">
        <f>IF('AW Schüler'!$G24=0,"x",D12/'AW Schüler'!$G24)</f>
        <v>0.79096045197740117</v>
      </c>
      <c r="J12" s="153">
        <f>IF('AW Schüler'!$J24=0,"x",E12/'AW Schüler'!$J24)</f>
        <v>0.63525835866261393</v>
      </c>
      <c r="K12" s="153">
        <f>IF('AW Schüler'!$M24=0,"x",F12/'AW Schüler'!$M24)</f>
        <v>0.63343108504398826</v>
      </c>
      <c r="L12" s="154">
        <f>IF('AW Schüler'!$P24=0,"x",G12/'AW Schüler'!$P24)</f>
        <v>0.33244680851063829</v>
      </c>
    </row>
    <row r="13" spans="1:13" ht="9" customHeight="1">
      <c r="A13" s="21" t="s">
        <v>81</v>
      </c>
      <c r="B13" s="120"/>
      <c r="C13" s="42">
        <f t="shared" si="0"/>
        <v>149</v>
      </c>
      <c r="D13" s="42">
        <f t="shared" ref="D13:E13" si="3">SUM(D31+D49)</f>
        <v>123</v>
      </c>
      <c r="E13" s="42">
        <f t="shared" si="3"/>
        <v>122</v>
      </c>
      <c r="F13" s="42" t="e">
        <f t="shared" ref="F13:G13" si="4">SUM(F31+F49)</f>
        <v>#VALUE!</v>
      </c>
      <c r="G13" s="44">
        <f t="shared" si="4"/>
        <v>123</v>
      </c>
      <c r="H13" s="153">
        <f>IF('AW Schüler'!$D25=0,"x",C13/'AW Schüler'!$D25)</f>
        <v>0.24306688417618272</v>
      </c>
      <c r="I13" s="153">
        <f>IF('AW Schüler'!$G25=0,"x",D13/'AW Schüler'!$G25)</f>
        <v>0.20065252854812399</v>
      </c>
      <c r="J13" s="153">
        <f>IF('AW Schüler'!$J25=0,"x",E13/'AW Schüler'!$J25)</f>
        <v>0.19967266775777415</v>
      </c>
      <c r="K13" s="153" t="e">
        <f>IF('AW Schüler'!$M25=0,"x",F13/'AW Schüler'!$M25)</f>
        <v>#VALUE!</v>
      </c>
      <c r="L13" s="154">
        <f>IF('AW Schüler'!$P25=0,"x",G13/'AW Schüler'!$P25)</f>
        <v>0.20465890183028287</v>
      </c>
    </row>
    <row r="14" spans="1:13" ht="9" customHeight="1">
      <c r="A14" s="21" t="s">
        <v>82</v>
      </c>
      <c r="B14" s="120"/>
      <c r="C14" s="42">
        <f t="shared" si="0"/>
        <v>11111</v>
      </c>
      <c r="D14" s="42">
        <f t="shared" ref="D14:E14" si="5">SUM(D32+D50)</f>
        <v>13077</v>
      </c>
      <c r="E14" s="42">
        <f t="shared" si="5"/>
        <v>13292</v>
      </c>
      <c r="F14" s="42">
        <f t="shared" ref="F14:G14" si="6">SUM(F32+F50)</f>
        <v>13352</v>
      </c>
      <c r="G14" s="44">
        <f t="shared" si="6"/>
        <v>15726</v>
      </c>
      <c r="H14" s="153">
        <f>IF('AW Schüler'!$D26=0,"x",C14/'AW Schüler'!$D26)</f>
        <v>0.25006189093691628</v>
      </c>
      <c r="I14" s="153">
        <f>IF('AW Schüler'!$G26=0,"x",D14/'AW Schüler'!$G26)</f>
        <v>0.28709741157873936</v>
      </c>
      <c r="J14" s="153">
        <f>IF('AW Schüler'!$J26=0,"x",E14/'AW Schüler'!$J26)</f>
        <v>0.28353847138377525</v>
      </c>
      <c r="K14" s="153">
        <f>IF('AW Schüler'!$M26=0,"x",F14/'AW Schüler'!$M26)</f>
        <v>0.27554326516292793</v>
      </c>
      <c r="L14" s="154">
        <f>IF('AW Schüler'!$P26=0,"x",G14/'AW Schüler'!$P26)</f>
        <v>0.31080279852958614</v>
      </c>
    </row>
    <row r="15" spans="1:13" ht="9" customHeight="1">
      <c r="A15" s="21" t="s">
        <v>83</v>
      </c>
      <c r="B15" s="120"/>
      <c r="C15" s="42">
        <f t="shared" si="0"/>
        <v>14231</v>
      </c>
      <c r="D15" s="42">
        <f t="shared" ref="D15:E15" si="7">SUM(D33+D51)</f>
        <v>14581</v>
      </c>
      <c r="E15" s="42">
        <f t="shared" si="7"/>
        <v>15242</v>
      </c>
      <c r="F15" s="42">
        <f t="shared" ref="F15:G15" si="8">SUM(F33+F51)</f>
        <v>15092</v>
      </c>
      <c r="G15" s="44">
        <f t="shared" si="8"/>
        <v>16203</v>
      </c>
      <c r="H15" s="153">
        <f>IF('AW Schüler'!$D27=0,"x",C15/'AW Schüler'!$D27)</f>
        <v>0.40158591302875524</v>
      </c>
      <c r="I15" s="153">
        <f>IF('AW Schüler'!$G27=0,"x",D15/'AW Schüler'!$G27)</f>
        <v>0.40796284379284298</v>
      </c>
      <c r="J15" s="153">
        <f>IF('AW Schüler'!$J27=0,"x",E15/'AW Schüler'!$J27)</f>
        <v>0.42000551116009921</v>
      </c>
      <c r="K15" s="153">
        <f>IF('AW Schüler'!$M27=0,"x",F15/'AW Schüler'!$M27)</f>
        <v>0.41441045636773022</v>
      </c>
      <c r="L15" s="154">
        <f>IF('AW Schüler'!$P27=0,"x",G15/'AW Schüler'!$P27)</f>
        <v>0.43704482926039812</v>
      </c>
    </row>
    <row r="16" spans="1:13" ht="9" customHeight="1">
      <c r="A16" s="21" t="s">
        <v>84</v>
      </c>
      <c r="B16" s="120"/>
      <c r="C16" s="149">
        <f t="shared" si="0"/>
        <v>0</v>
      </c>
      <c r="D16" s="149">
        <f t="shared" ref="D16:E16" si="9">SUM(D34+D52)</f>
        <v>0</v>
      </c>
      <c r="E16" s="149">
        <f t="shared" si="9"/>
        <v>0</v>
      </c>
      <c r="F16" s="149">
        <f t="shared" ref="F16:G16" si="10">SUM(F34+F52)</f>
        <v>0</v>
      </c>
      <c r="G16" s="150">
        <f t="shared" si="10"/>
        <v>0</v>
      </c>
      <c r="H16" s="153" t="str">
        <f>IF('AW Schüler'!$D28=0,"x",C16/'AW Schüler'!$D28)</f>
        <v>x</v>
      </c>
      <c r="I16" s="153" t="str">
        <f>IF('AW Schüler'!$G28=0,"x",D16/'AW Schüler'!$G28)</f>
        <v>x</v>
      </c>
      <c r="J16" s="153" t="str">
        <f>IF('AW Schüler'!$J28=0,"x",E16/'AW Schüler'!$J28)</f>
        <v>x</v>
      </c>
      <c r="K16" s="153" t="str">
        <f>IF('AW Schüler'!$M28=0,"x",F16/'AW Schüler'!$M28)</f>
        <v>x</v>
      </c>
      <c r="L16" s="154" t="str">
        <f>IF('AW Schüler'!$P28=0,"x",G16/'AW Schüler'!$P28)</f>
        <v>x</v>
      </c>
    </row>
    <row r="17" spans="1:12" ht="9" customHeight="1">
      <c r="A17" s="21" t="s">
        <v>85</v>
      </c>
      <c r="B17" s="120"/>
      <c r="C17" s="42">
        <f t="shared" si="0"/>
        <v>68</v>
      </c>
      <c r="D17" s="42">
        <f t="shared" ref="D17:E17" si="11">SUM(D35+D53)</f>
        <v>272</v>
      </c>
      <c r="E17" s="42">
        <f t="shared" si="11"/>
        <v>293</v>
      </c>
      <c r="F17" s="42">
        <f t="shared" ref="F17:G17" si="12">SUM(F35+F53)</f>
        <v>401</v>
      </c>
      <c r="G17" s="44">
        <f t="shared" si="12"/>
        <v>406</v>
      </c>
      <c r="H17" s="153">
        <f>IF('AW Schüler'!$D29=0,"x",C17/'AW Schüler'!$D29)</f>
        <v>0.24113475177304963</v>
      </c>
      <c r="I17" s="153">
        <f>IF('AW Schüler'!$G29=0,"x",D17/'AW Schüler'!$G29)</f>
        <v>0.88311688311688308</v>
      </c>
      <c r="J17" s="153">
        <f>IF('AW Schüler'!$J29=0,"x",E17/'AW Schüler'!$J29)</f>
        <v>0.80939226519337015</v>
      </c>
      <c r="K17" s="153">
        <f>IF('AW Schüler'!$M29=0,"x",F17/'AW Schüler'!$M29)</f>
        <v>1</v>
      </c>
      <c r="L17" s="154">
        <f>IF('AW Schüler'!$P29=0,"x",G17/'AW Schüler'!$P29)</f>
        <v>1</v>
      </c>
    </row>
    <row r="18" spans="1:12" ht="9" customHeight="1">
      <c r="A18" s="21" t="s">
        <v>86</v>
      </c>
      <c r="B18" s="120"/>
      <c r="C18" s="42">
        <f t="shared" si="0"/>
        <v>8714</v>
      </c>
      <c r="D18" s="42">
        <f t="shared" ref="D18:E18" si="13">SUM(D36+D54)</f>
        <v>8214</v>
      </c>
      <c r="E18" s="42">
        <f t="shared" si="13"/>
        <v>8195</v>
      </c>
      <c r="F18" s="42">
        <f t="shared" ref="F18:G18" si="14">SUM(F36+F54)</f>
        <v>8245</v>
      </c>
      <c r="G18" s="44">
        <f t="shared" si="14"/>
        <v>8583</v>
      </c>
      <c r="H18" s="54">
        <v>0</v>
      </c>
      <c r="I18" s="54">
        <v>0</v>
      </c>
      <c r="J18" s="54">
        <v>0</v>
      </c>
      <c r="K18" s="54">
        <v>0</v>
      </c>
      <c r="L18" s="114">
        <v>0</v>
      </c>
    </row>
    <row r="19" spans="1:12" ht="9" customHeight="1">
      <c r="A19" s="21" t="s">
        <v>87</v>
      </c>
      <c r="B19" s="120"/>
      <c r="C19" s="149">
        <f t="shared" si="0"/>
        <v>0</v>
      </c>
      <c r="D19" s="149">
        <f t="shared" ref="D19:E19" si="15">SUM(D37+D55)</f>
        <v>0</v>
      </c>
      <c r="E19" s="149">
        <f t="shared" si="15"/>
        <v>0</v>
      </c>
      <c r="F19" s="149">
        <f t="shared" ref="F19:G19" si="16">SUM(F37+F55)</f>
        <v>0</v>
      </c>
      <c r="G19" s="150">
        <f t="shared" si="16"/>
        <v>0</v>
      </c>
      <c r="H19" s="153" t="str">
        <f>IF('AW Schüler'!$D31=0,"x",C19/'AW Schüler'!$D31)</f>
        <v>x</v>
      </c>
      <c r="I19" s="153" t="str">
        <f>IF('AW Schüler'!$G31=0,"x",D19/'AW Schüler'!$G31)</f>
        <v>x</v>
      </c>
      <c r="J19" s="153" t="str">
        <f>IF('AW Schüler'!$J31=0,"x",E19/'AW Schüler'!$J31)</f>
        <v>x</v>
      </c>
      <c r="K19" s="153" t="str">
        <f>IF('AW Schüler'!$M31=0,"x",F19/'AW Schüler'!$M31)</f>
        <v>x</v>
      </c>
      <c r="L19" s="154" t="str">
        <f>IF('AW Schüler'!$P31=0,"x",G19/'AW Schüler'!$P31)</f>
        <v>x</v>
      </c>
    </row>
    <row r="20" spans="1:12" ht="9" customHeight="1">
      <c r="A20" s="21" t="s">
        <v>88</v>
      </c>
      <c r="B20" s="120"/>
      <c r="C20" s="149">
        <f t="shared" si="0"/>
        <v>0</v>
      </c>
      <c r="D20" s="149">
        <f t="shared" ref="D20:E20" si="17">SUM(D38+D56)</f>
        <v>0</v>
      </c>
      <c r="E20" s="149">
        <f t="shared" si="17"/>
        <v>0</v>
      </c>
      <c r="F20" s="149">
        <f t="shared" ref="F20:G20" si="18">SUM(F38+F56)</f>
        <v>0</v>
      </c>
      <c r="G20" s="150">
        <f t="shared" si="18"/>
        <v>0</v>
      </c>
      <c r="H20" s="153" t="str">
        <f>IF('AW Schüler'!$D32=0,"x",C20/'AW Schüler'!$D32)</f>
        <v>x</v>
      </c>
      <c r="I20" s="153" t="str">
        <f>IF('AW Schüler'!$G32=0,"x",D20/'AW Schüler'!$G32)</f>
        <v>x</v>
      </c>
      <c r="J20" s="153" t="str">
        <f>IF('AW Schüler'!$J32=0,"x",E20/'AW Schüler'!$J32)</f>
        <v>x</v>
      </c>
      <c r="K20" s="153" t="str">
        <f>IF('AW Schüler'!$M32=0,"x",F20/'AW Schüler'!$M32)</f>
        <v>x</v>
      </c>
      <c r="L20" s="154" t="str">
        <f>IF('AW Schüler'!$P32=0,"x",G20/'AW Schüler'!$P32)</f>
        <v>x</v>
      </c>
    </row>
    <row r="21" spans="1:12" ht="9" customHeight="1">
      <c r="A21" s="21" t="s">
        <v>89</v>
      </c>
      <c r="B21" s="120"/>
      <c r="C21" s="149">
        <f t="shared" si="0"/>
        <v>0</v>
      </c>
      <c r="D21" s="149">
        <f t="shared" ref="D21:E21" si="19">SUM(D39+D57)</f>
        <v>0</v>
      </c>
      <c r="E21" s="149">
        <f t="shared" si="19"/>
        <v>0</v>
      </c>
      <c r="F21" s="149">
        <f t="shared" ref="F21:G21" si="20">SUM(F39+F57)</f>
        <v>0</v>
      </c>
      <c r="G21" s="150">
        <f t="shared" si="20"/>
        <v>0</v>
      </c>
      <c r="H21" s="153" t="str">
        <f>IF('AW Schüler'!$D33=0,"x",C21/'AW Schüler'!$D33)</f>
        <v>x</v>
      </c>
      <c r="I21" s="153" t="str">
        <f>IF('AW Schüler'!$G33=0,"x",D21/'AW Schüler'!$G33)</f>
        <v>x</v>
      </c>
      <c r="J21" s="153" t="str">
        <f>IF('AW Schüler'!$J33=0,"x",E21/'AW Schüler'!$J33)</f>
        <v>x</v>
      </c>
      <c r="K21" s="153" t="str">
        <f>IF('AW Schüler'!$M33=0,"x",F21/'AW Schüler'!$M33)</f>
        <v>x</v>
      </c>
      <c r="L21" s="154" t="str">
        <f>IF('AW Schüler'!$P33=0,"x",G21/'AW Schüler'!$P33)</f>
        <v>x</v>
      </c>
    </row>
    <row r="22" spans="1:12" ht="9" customHeight="1">
      <c r="A22" s="21" t="s">
        <v>90</v>
      </c>
      <c r="B22" s="120"/>
      <c r="C22" s="149">
        <f t="shared" si="0"/>
        <v>0</v>
      </c>
      <c r="D22" s="149">
        <f t="shared" ref="D22:E22" si="21">SUM(D40+D58)</f>
        <v>0</v>
      </c>
      <c r="E22" s="149">
        <f t="shared" si="21"/>
        <v>0</v>
      </c>
      <c r="F22" s="149">
        <f t="shared" ref="F22:G22" si="22">SUM(F40+F58)</f>
        <v>0</v>
      </c>
      <c r="G22" s="150">
        <f t="shared" si="22"/>
        <v>0</v>
      </c>
      <c r="H22" s="153" t="str">
        <f>IF('AW Schüler'!$D34=0,"x",C22/'AW Schüler'!$D34)</f>
        <v>x</v>
      </c>
      <c r="I22" s="153" t="str">
        <f>IF('AW Schüler'!$G34=0,"x",D22/'AW Schüler'!$G34)</f>
        <v>x</v>
      </c>
      <c r="J22" s="153" t="str">
        <f>IF('AW Schüler'!$J34=0,"x",E22/'AW Schüler'!$J34)</f>
        <v>x</v>
      </c>
      <c r="K22" s="153" t="str">
        <f>IF('AW Schüler'!$M34=0,"x",F22/'AW Schüler'!$M34)</f>
        <v>x</v>
      </c>
      <c r="L22" s="154" t="str">
        <f>IF('AW Schüler'!$P34=0,"x",G22/'AW Schüler'!$P34)</f>
        <v>x</v>
      </c>
    </row>
    <row r="23" spans="1:12" ht="9" customHeight="1">
      <c r="A23" s="21" t="s">
        <v>91</v>
      </c>
      <c r="B23" s="120"/>
      <c r="C23" s="149">
        <f t="shared" si="0"/>
        <v>0</v>
      </c>
      <c r="D23" s="149">
        <f t="shared" ref="D23:E23" si="23">SUM(D41+D59)</f>
        <v>0</v>
      </c>
      <c r="E23" s="149">
        <f t="shared" si="23"/>
        <v>0</v>
      </c>
      <c r="F23" s="149">
        <f t="shared" ref="F23:G23" si="24">SUM(F41+F59)</f>
        <v>0</v>
      </c>
      <c r="G23" s="150">
        <f t="shared" si="24"/>
        <v>0</v>
      </c>
      <c r="H23" s="153" t="str">
        <f>IF('AW Schüler'!$D35=0,"x",C23/'AW Schüler'!$D35)</f>
        <v>x</v>
      </c>
      <c r="I23" s="153" t="str">
        <f>IF('AW Schüler'!$G35=0,"x",D23/'AW Schüler'!$G35)</f>
        <v>x</v>
      </c>
      <c r="J23" s="153" t="str">
        <f>IF('AW Schüler'!$J35=0,"x",E23/'AW Schüler'!$J35)</f>
        <v>x</v>
      </c>
      <c r="K23" s="153" t="str">
        <f>IF('AW Schüler'!$M35=0,"x",F23/'AW Schüler'!$M35)</f>
        <v>x</v>
      </c>
      <c r="L23" s="154" t="str">
        <f>IF('AW Schüler'!$P35=0,"x",G23/'AW Schüler'!$P35)</f>
        <v>x</v>
      </c>
    </row>
    <row r="24" spans="1:12" ht="9" customHeight="1">
      <c r="A24" s="21" t="s">
        <v>92</v>
      </c>
      <c r="B24" s="120"/>
      <c r="C24" s="149">
        <f t="shared" si="0"/>
        <v>0</v>
      </c>
      <c r="D24" s="149">
        <f t="shared" ref="D24:E24" si="25">SUM(D42+D60)</f>
        <v>0</v>
      </c>
      <c r="E24" s="149">
        <f t="shared" si="25"/>
        <v>0</v>
      </c>
      <c r="F24" s="149">
        <f t="shared" ref="F24:G24" si="26">SUM(F42+F60)</f>
        <v>0</v>
      </c>
      <c r="G24" s="150">
        <f t="shared" si="26"/>
        <v>0</v>
      </c>
      <c r="H24" s="153" t="str">
        <f>IF('AW Schüler'!$D36=0,"x",C24/'AW Schüler'!$D36)</f>
        <v>x</v>
      </c>
      <c r="I24" s="153" t="str">
        <f>IF('AW Schüler'!$G36=0,"x",D24/'AW Schüler'!$G36)</f>
        <v>x</v>
      </c>
      <c r="J24" s="153" t="str">
        <f>IF('AW Schüler'!$J36=0,"x",E24/'AW Schüler'!$J36)</f>
        <v>x</v>
      </c>
      <c r="K24" s="153" t="str">
        <f>IF('AW Schüler'!$M36=0,"x",F24/'AW Schüler'!$M36)</f>
        <v>x</v>
      </c>
      <c r="L24" s="154" t="str">
        <f>IF('AW Schüler'!$P36=0,"x",G24/'AW Schüler'!$P36)</f>
        <v>x</v>
      </c>
    </row>
    <row r="25" spans="1:12" ht="9" customHeight="1">
      <c r="A25" s="21" t="s">
        <v>93</v>
      </c>
      <c r="B25" s="120"/>
      <c r="C25" s="149">
        <f t="shared" si="0"/>
        <v>0</v>
      </c>
      <c r="D25" s="149">
        <f t="shared" ref="D25:E25" si="27">SUM(D43+D61)</f>
        <v>0</v>
      </c>
      <c r="E25" s="149">
        <f t="shared" si="27"/>
        <v>0</v>
      </c>
      <c r="F25" s="149">
        <f t="shared" ref="F25:G25" si="28">SUM(F43+F61)</f>
        <v>0</v>
      </c>
      <c r="G25" s="150">
        <f t="shared" si="28"/>
        <v>0</v>
      </c>
      <c r="H25" s="153" t="str">
        <f>IF('AW Schüler'!$D37=0,"x",C25/'AW Schüler'!$D37)</f>
        <v>x</v>
      </c>
      <c r="I25" s="153" t="str">
        <f>IF('AW Schüler'!$G37=0,"x",D25/'AW Schüler'!$G37)</f>
        <v>x</v>
      </c>
      <c r="J25" s="153" t="str">
        <f>IF('AW Schüler'!$J37=0,"x",E25/'AW Schüler'!$J37)</f>
        <v>x</v>
      </c>
      <c r="K25" s="153" t="str">
        <f>IF('AW Schüler'!$M37=0,"x",F25/'AW Schüler'!$M37)</f>
        <v>x</v>
      </c>
      <c r="L25" s="154" t="str">
        <f>IF('AW Schüler'!$P37=0,"x",G25/'AW Schüler'!$P37)</f>
        <v>x</v>
      </c>
    </row>
    <row r="26" spans="1:12" ht="9" customHeight="1">
      <c r="A26" s="21" t="s">
        <v>94</v>
      </c>
      <c r="B26" s="120"/>
      <c r="C26" s="149">
        <f t="shared" si="0"/>
        <v>0</v>
      </c>
      <c r="D26" s="149">
        <f t="shared" ref="D26:E26" si="29">SUM(D44+D62)</f>
        <v>0</v>
      </c>
      <c r="E26" s="149">
        <f t="shared" si="29"/>
        <v>0</v>
      </c>
      <c r="F26" s="149">
        <f t="shared" ref="F26:G26" si="30">SUM(F44+F62)</f>
        <v>0</v>
      </c>
      <c r="G26" s="150">
        <f t="shared" si="30"/>
        <v>0</v>
      </c>
      <c r="H26" s="153" t="str">
        <f>IF('AW Schüler'!$D38=0,"x",C26/'AW Schüler'!$D38)</f>
        <v>x</v>
      </c>
      <c r="I26" s="153" t="str">
        <f>IF('AW Schüler'!$G38=0,"x",D26/'AW Schüler'!$G38)</f>
        <v>x</v>
      </c>
      <c r="J26" s="153" t="str">
        <f>IF('AW Schüler'!$J38=0,"x",E26/'AW Schüler'!$J38)</f>
        <v>x</v>
      </c>
      <c r="K26" s="153" t="str">
        <f>IF('AW Schüler'!$M38=0,"x",F26/'AW Schüler'!$M38)</f>
        <v>x</v>
      </c>
      <c r="L26" s="154" t="str">
        <f>IF('AW Schüler'!$P38=0,"x",G26/'AW Schüler'!$P38)</f>
        <v>x</v>
      </c>
    </row>
    <row r="27" spans="1:12" ht="9" customHeight="1">
      <c r="A27" s="21" t="s">
        <v>95</v>
      </c>
      <c r="B27" s="120"/>
      <c r="C27" s="149">
        <f t="shared" si="0"/>
        <v>0</v>
      </c>
      <c r="D27" s="149">
        <f t="shared" ref="D27:E27" si="31">SUM(D45+D63)</f>
        <v>0</v>
      </c>
      <c r="E27" s="149">
        <f t="shared" si="31"/>
        <v>0</v>
      </c>
      <c r="F27" s="149">
        <f t="shared" ref="F27:G27" si="32">SUM(F45+F63)</f>
        <v>0</v>
      </c>
      <c r="G27" s="150">
        <f t="shared" si="32"/>
        <v>0</v>
      </c>
      <c r="H27" s="153" t="str">
        <f>IF('AW Schüler'!$D39=0,"x",C27/'AW Schüler'!$D39)</f>
        <v>x</v>
      </c>
      <c r="I27" s="153" t="str">
        <f>IF('AW Schüler'!$G39=0,"x",D27/'AW Schüler'!$G39)</f>
        <v>x</v>
      </c>
      <c r="J27" s="153" t="str">
        <f>IF('AW Schüler'!$J39=0,"x",E27/'AW Schüler'!$J39)</f>
        <v>x</v>
      </c>
      <c r="K27" s="153" t="str">
        <f>IF('AW Schüler'!$M39=0,"x",F27/'AW Schüler'!$M39)</f>
        <v>x</v>
      </c>
      <c r="L27" s="154" t="str">
        <f>IF('AW Schüler'!$P39=0,"x",G27/'AW Schüler'!$P39)</f>
        <v>x</v>
      </c>
    </row>
    <row r="28" spans="1:12" ht="9" customHeight="1">
      <c r="A28" s="21" t="s">
        <v>96</v>
      </c>
      <c r="B28" s="120"/>
      <c r="C28" s="42">
        <f t="shared" si="0"/>
        <v>34566</v>
      </c>
      <c r="D28" s="42">
        <f t="shared" ref="D28:E28" si="33">SUM(D46+D64)</f>
        <v>36547</v>
      </c>
      <c r="E28" s="42">
        <f t="shared" si="33"/>
        <v>37353</v>
      </c>
      <c r="F28" s="42">
        <f t="shared" ref="F28:G28" si="34">SUM(F46+F64)</f>
        <v>37430</v>
      </c>
      <c r="G28" s="44">
        <f t="shared" si="34"/>
        <v>41166</v>
      </c>
      <c r="H28" s="153">
        <f>IF('AW Schüler'!$D40=0,"x",C28/'AW Schüler'!$D40)</f>
        <v>0.35688031717188401</v>
      </c>
      <c r="I28" s="153">
        <f>IF('AW Schüler'!$G40=0,"x",D28/'AW Schüler'!$G40)</f>
        <v>0.37608306406799891</v>
      </c>
      <c r="J28" s="153">
        <f>IF('AW Schüler'!$J40=0,"x",E28/'AW Schüler'!$J40)</f>
        <v>0.3780285396214958</v>
      </c>
      <c r="K28" s="153">
        <f>IF('AW Schüler'!$M40=0,"x",F28/'AW Schüler'!$M40)</f>
        <v>0.37238223150773514</v>
      </c>
      <c r="L28" s="154">
        <f>IF('AW Schüler'!$P40=0,"x",G28/'AW Schüler'!$P40)</f>
        <v>0.39809684063941514</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'3.2.3'!C30+'3.3.3'!C30</f>
        <v>0</v>
      </c>
      <c r="D30" s="23">
        <f>'3.2.3'!D30+'3.3.3'!D30</f>
        <v>0</v>
      </c>
      <c r="E30" s="23">
        <f>'3.2.3'!E30+'3.3.3'!E30</f>
        <v>0</v>
      </c>
      <c r="F30" s="23">
        <f>'3.2.3'!F30+'3.3.3'!F30</f>
        <v>0</v>
      </c>
      <c r="G30" s="34">
        <f>'3.2.3'!G30+'3.3.3'!G30</f>
        <v>0</v>
      </c>
      <c r="H30" s="155">
        <f>IF('AW Schüler'!$D24=0,"x",C30/'AW Schüler'!$D24)</f>
        <v>0</v>
      </c>
      <c r="I30" s="155">
        <f>IF('AW Schüler'!$G24=0,"x",D30/'AW Schüler'!$G24)</f>
        <v>0</v>
      </c>
      <c r="J30" s="155">
        <f>IF('AW Schüler'!$J24=0,"x",E30/'AW Schüler'!$J24)</f>
        <v>0</v>
      </c>
      <c r="K30" s="155">
        <f>IF('AW Schüler'!$M24=0,"x",F30/'AW Schüler'!$M24)</f>
        <v>0</v>
      </c>
      <c r="L30" s="156">
        <f>IF('AW Schüler'!$P24=0,"x",G30/'AW Schüler'!$P24)</f>
        <v>0</v>
      </c>
    </row>
    <row r="31" spans="1:12" ht="9" customHeight="1">
      <c r="A31" s="21" t="s">
        <v>81</v>
      </c>
      <c r="B31" s="120"/>
      <c r="C31" s="23">
        <f>'3.2.3'!C31+'3.3.3'!C31</f>
        <v>123</v>
      </c>
      <c r="D31" s="23">
        <f>'3.2.3'!D31+'3.3.3'!D31</f>
        <v>123</v>
      </c>
      <c r="E31" s="23">
        <f>'3.2.3'!E31+'3.3.3'!E31</f>
        <v>122</v>
      </c>
      <c r="F31" s="23" t="e">
        <f>'3.2.3'!F31+'3.3.3'!F31</f>
        <v>#VALUE!</v>
      </c>
      <c r="G31" s="34">
        <f>'3.2.3'!G31+'3.3.3'!G31</f>
        <v>123</v>
      </c>
      <c r="H31" s="155">
        <f>IF('AW Schüler'!$D25=0,"x",C31/'AW Schüler'!$D25)</f>
        <v>0.20065252854812399</v>
      </c>
      <c r="I31" s="155">
        <f>IF('AW Schüler'!$G25=0,"x",D31/'AW Schüler'!$G25)</f>
        <v>0.20065252854812399</v>
      </c>
      <c r="J31" s="155">
        <f>IF('AW Schüler'!$J25=0,"x",E31/'AW Schüler'!$J25)</f>
        <v>0.19967266775777415</v>
      </c>
      <c r="K31" s="155" t="e">
        <f>IF('AW Schüler'!$M25=0,"x",F31/'AW Schüler'!$M25)</f>
        <v>#VALUE!</v>
      </c>
      <c r="L31" s="156">
        <f>IF('AW Schüler'!$P25=0,"x",G31/'AW Schüler'!$P25)</f>
        <v>0.20465890183028287</v>
      </c>
    </row>
    <row r="32" spans="1:12" ht="9" customHeight="1">
      <c r="A32" s="21" t="s">
        <v>82</v>
      </c>
      <c r="B32" s="120"/>
      <c r="C32" s="23">
        <f>'3.2.3'!C32+'3.3.3'!C32</f>
        <v>7777</v>
      </c>
      <c r="D32" s="23">
        <f>'3.2.3'!D32+'3.3.3'!D32</f>
        <v>7600</v>
      </c>
      <c r="E32" s="23">
        <f>'3.2.3'!E32+'3.3.3'!E32</f>
        <v>7910</v>
      </c>
      <c r="F32" s="23">
        <f>'3.2.3'!F32+'3.3.3'!F32</f>
        <v>7737</v>
      </c>
      <c r="G32" s="34">
        <f>'3.2.3'!G32+'3.3.3'!G32</f>
        <v>9593</v>
      </c>
      <c r="H32" s="155">
        <f>IF('AW Schüler'!$D26=0,"x",C32/'AW Schüler'!$D26)</f>
        <v>0.17502756959917179</v>
      </c>
      <c r="I32" s="155">
        <f>IF('AW Schüler'!$G26=0,"x",D32/'AW Schüler'!$G26)</f>
        <v>0.16685327888647392</v>
      </c>
      <c r="J32" s="155">
        <f>IF('AW Schüler'!$J26=0,"x",E32/'AW Schüler'!$J26)</f>
        <v>0.16873226817978199</v>
      </c>
      <c r="K32" s="155">
        <f>IF('AW Schüler'!$M26=0,"x",F32/'AW Schüler'!$M26)</f>
        <v>0.15966733392492313</v>
      </c>
      <c r="L32" s="156">
        <f>IF('AW Schüler'!$P26=0,"x",G32/'AW Schüler'!$P26)</f>
        <v>0.18959247401083046</v>
      </c>
    </row>
    <row r="33" spans="1:12" ht="9" customHeight="1">
      <c r="A33" s="21" t="s">
        <v>83</v>
      </c>
      <c r="B33" s="120"/>
      <c r="C33" s="23">
        <f>'3.2.3'!C33+'3.3.3'!C33</f>
        <v>0</v>
      </c>
      <c r="D33" s="23">
        <f>'3.2.3'!D33+'3.3.3'!D33</f>
        <v>0</v>
      </c>
      <c r="E33" s="23">
        <f>'3.2.3'!E33+'3.3.3'!E33</f>
        <v>0</v>
      </c>
      <c r="F33" s="23">
        <f>'3.2.3'!F33+'3.3.3'!F33</f>
        <v>0</v>
      </c>
      <c r="G33" s="34">
        <f>'3.2.3'!G33+'3.3.3'!G33</f>
        <v>9854</v>
      </c>
      <c r="H33" s="155">
        <f>IF('AW Schüler'!$D27=0,"x",C33/'AW Schüler'!$D27)</f>
        <v>0</v>
      </c>
      <c r="I33" s="155">
        <f>IF('AW Schüler'!$G27=0,"x",D33/'AW Schüler'!$G27)</f>
        <v>0</v>
      </c>
      <c r="J33" s="155">
        <f>IF('AW Schüler'!$J27=0,"x",E33/'AW Schüler'!$J27)</f>
        <v>0</v>
      </c>
      <c r="K33" s="155">
        <f>IF('AW Schüler'!$M27=0,"x",F33/'AW Schüler'!$M27)</f>
        <v>0</v>
      </c>
      <c r="L33" s="156">
        <f>IF('AW Schüler'!$P27=0,"x",G33/'AW Schüler'!$P27)</f>
        <v>0.26579273884663107</v>
      </c>
    </row>
    <row r="34" spans="1:12" ht="9" customHeight="1">
      <c r="A34" s="21" t="s">
        <v>84</v>
      </c>
      <c r="B34" s="120"/>
      <c r="C34" s="193">
        <f>'3.2.3'!C34+'3.3.3'!C34</f>
        <v>0</v>
      </c>
      <c r="D34" s="193">
        <f>'3.2.3'!D34+'3.3.3'!D34</f>
        <v>0</v>
      </c>
      <c r="E34" s="193">
        <f>'3.2.3'!E34+'3.3.3'!E34</f>
        <v>0</v>
      </c>
      <c r="F34" s="193">
        <f>'3.2.3'!F34+'3.3.3'!F34</f>
        <v>0</v>
      </c>
      <c r="G34" s="194">
        <f>'3.2.3'!G34+'3.3.3'!G34</f>
        <v>0</v>
      </c>
      <c r="H34" s="155" t="str">
        <f>IF('AW Schüler'!$D28=0,"x",C34/'AW Schüler'!$D28)</f>
        <v>x</v>
      </c>
      <c r="I34" s="155" t="str">
        <f>IF('AW Schüler'!$G28=0,"x",D34/'AW Schüler'!$G28)</f>
        <v>x</v>
      </c>
      <c r="J34" s="155" t="str">
        <f>IF('AW Schüler'!$J28=0,"x",E34/'AW Schüler'!$J28)</f>
        <v>x</v>
      </c>
      <c r="K34" s="155" t="str">
        <f>IF('AW Schüler'!$M28=0,"x",F34/'AW Schüler'!$M28)</f>
        <v>x</v>
      </c>
      <c r="L34" s="156" t="str">
        <f>IF('AW Schüler'!$P28=0,"x",G34/'AW Schüler'!$P28)</f>
        <v>x</v>
      </c>
    </row>
    <row r="35" spans="1:12" ht="9" customHeight="1">
      <c r="A35" s="21" t="s">
        <v>85</v>
      </c>
      <c r="B35" s="120"/>
      <c r="C35" s="23">
        <f>'3.2.3'!C35+'3.3.3'!C35</f>
        <v>68</v>
      </c>
      <c r="D35" s="23">
        <f>'3.2.3'!D35+'3.3.3'!D35</f>
        <v>209</v>
      </c>
      <c r="E35" s="23">
        <f>'3.2.3'!E35+'3.3.3'!E35</f>
        <v>206</v>
      </c>
      <c r="F35" s="23">
        <f>'3.2.3'!F35+'3.3.3'!F35</f>
        <v>231</v>
      </c>
      <c r="G35" s="34">
        <f>'3.2.3'!G35+'3.3.3'!G35</f>
        <v>338</v>
      </c>
      <c r="H35" s="155">
        <f>IF('AW Schüler'!$D29=0,"x",C35/'AW Schüler'!$D29)</f>
        <v>0.24113475177304963</v>
      </c>
      <c r="I35" s="155">
        <f>IF('AW Schüler'!$G29=0,"x",D35/'AW Schüler'!$G29)</f>
        <v>0.6785714285714286</v>
      </c>
      <c r="J35" s="155">
        <f>IF('AW Schüler'!$J29=0,"x",E35/'AW Schüler'!$J29)</f>
        <v>0.56906077348066297</v>
      </c>
      <c r="K35" s="155">
        <f>IF('AW Schüler'!$M29=0,"x",F35/'AW Schüler'!$M29)</f>
        <v>0.57605985037406482</v>
      </c>
      <c r="L35" s="156">
        <f>IF('AW Schüler'!$P29=0,"x",G35/'AW Schüler'!$P29)</f>
        <v>0.83251231527093594</v>
      </c>
    </row>
    <row r="36" spans="1:12" ht="9" customHeight="1">
      <c r="A36" s="21" t="s">
        <v>86</v>
      </c>
      <c r="B36" s="120"/>
      <c r="C36" s="23">
        <f>'3.2.3'!C36+'3.3.3'!C36</f>
        <v>515</v>
      </c>
      <c r="D36" s="23">
        <f>'3.2.3'!D36+'3.3.3'!D36</f>
        <v>506</v>
      </c>
      <c r="E36" s="23">
        <f>'3.2.3'!E36+'3.3.3'!E36</f>
        <v>428</v>
      </c>
      <c r="F36" s="23">
        <f>'3.2.3'!F36+'3.3.3'!F36</f>
        <v>508</v>
      </c>
      <c r="G36" s="34">
        <f>'3.2.3'!G36+'3.3.3'!G36</f>
        <v>769</v>
      </c>
      <c r="H36" s="57" t="s">
        <v>178</v>
      </c>
      <c r="I36" s="57" t="s">
        <v>178</v>
      </c>
      <c r="J36" s="57" t="s">
        <v>178</v>
      </c>
      <c r="K36" s="57" t="s">
        <v>178</v>
      </c>
      <c r="L36" s="195" t="s">
        <v>178</v>
      </c>
    </row>
    <row r="37" spans="1:12" ht="9" customHeight="1">
      <c r="A37" s="21" t="s">
        <v>87</v>
      </c>
      <c r="B37" s="120"/>
      <c r="C37" s="193">
        <f>'3.2.3'!C37+'3.3.3'!C37</f>
        <v>0</v>
      </c>
      <c r="D37" s="193">
        <f>'3.2.3'!D37+'3.3.3'!D37</f>
        <v>0</v>
      </c>
      <c r="E37" s="193">
        <f>'3.2.3'!E37+'3.3.3'!E37</f>
        <v>0</v>
      </c>
      <c r="F37" s="193">
        <f>'3.2.3'!F37+'3.3.3'!F37</f>
        <v>0</v>
      </c>
      <c r="G37" s="194">
        <f>'3.2.3'!G37+'3.3.3'!G37</f>
        <v>0</v>
      </c>
      <c r="H37" s="155" t="str">
        <f>IF('AW Schüler'!$D31=0,"x",C37/'AW Schüler'!$D31)</f>
        <v>x</v>
      </c>
      <c r="I37" s="155" t="str">
        <f>IF('AW Schüler'!$G31=0,"x",D37/'AW Schüler'!$G31)</f>
        <v>x</v>
      </c>
      <c r="J37" s="155" t="str">
        <f>IF('AW Schüler'!$J31=0,"x",E37/'AW Schüler'!$J31)</f>
        <v>x</v>
      </c>
      <c r="K37" s="155" t="str">
        <f>IF('AW Schüler'!$M31=0,"x",F37/'AW Schüler'!$M31)</f>
        <v>x</v>
      </c>
      <c r="L37" s="156" t="str">
        <f>IF('AW Schüler'!$P31=0,"x",G37/'AW Schüler'!$P31)</f>
        <v>x</v>
      </c>
    </row>
    <row r="38" spans="1:12" ht="9" customHeight="1">
      <c r="A38" s="21" t="s">
        <v>88</v>
      </c>
      <c r="B38" s="120"/>
      <c r="C38" s="193">
        <f>'3.2.3'!C38+'3.3.3'!C38</f>
        <v>0</v>
      </c>
      <c r="D38" s="193">
        <f>'3.2.3'!D38+'3.3.3'!D38</f>
        <v>0</v>
      </c>
      <c r="E38" s="193">
        <f>'3.2.3'!E38+'3.3.3'!E38</f>
        <v>0</v>
      </c>
      <c r="F38" s="193">
        <f>'3.2.3'!F38+'3.3.3'!F38</f>
        <v>0</v>
      </c>
      <c r="G38" s="194">
        <f>'3.2.3'!G38+'3.3.3'!G38</f>
        <v>0</v>
      </c>
      <c r="H38" s="155" t="str">
        <f>IF('AW Schüler'!$D32=0,"x",C38/'AW Schüler'!$D32)</f>
        <v>x</v>
      </c>
      <c r="I38" s="155" t="str">
        <f>IF('AW Schüler'!$G32=0,"x",D38/'AW Schüler'!$G32)</f>
        <v>x</v>
      </c>
      <c r="J38" s="155" t="str">
        <f>IF('AW Schüler'!$J32=0,"x",E38/'AW Schüler'!$J32)</f>
        <v>x</v>
      </c>
      <c r="K38" s="155" t="str">
        <f>IF('AW Schüler'!$M32=0,"x",F38/'AW Schüler'!$M32)</f>
        <v>x</v>
      </c>
      <c r="L38" s="156" t="str">
        <f>IF('AW Schüler'!$P32=0,"x",G38/'AW Schüler'!$P32)</f>
        <v>x</v>
      </c>
    </row>
    <row r="39" spans="1:12" ht="9" customHeight="1">
      <c r="A39" s="21" t="s">
        <v>89</v>
      </c>
      <c r="B39" s="120"/>
      <c r="C39" s="193">
        <f>'3.2.3'!C39+'3.3.3'!C39</f>
        <v>0</v>
      </c>
      <c r="D39" s="193">
        <f>'3.2.3'!D39+'3.3.3'!D39</f>
        <v>0</v>
      </c>
      <c r="E39" s="193">
        <f>'3.2.3'!E39+'3.3.3'!E39</f>
        <v>0</v>
      </c>
      <c r="F39" s="193">
        <f>'3.2.3'!F39+'3.3.3'!F39</f>
        <v>0</v>
      </c>
      <c r="G39" s="194">
        <f>'3.2.3'!G39+'3.3.3'!G39</f>
        <v>0</v>
      </c>
      <c r="H39" s="155" t="str">
        <f>IF('AW Schüler'!$D33=0,"x",C39/'AW Schüler'!$D33)</f>
        <v>x</v>
      </c>
      <c r="I39" s="155" t="str">
        <f>IF('AW Schüler'!$G33=0,"x",D39/'AW Schüler'!$G33)</f>
        <v>x</v>
      </c>
      <c r="J39" s="155" t="str">
        <f>IF('AW Schüler'!$J33=0,"x",E39/'AW Schüler'!$J33)</f>
        <v>x</v>
      </c>
      <c r="K39" s="155" t="str">
        <f>IF('AW Schüler'!$M33=0,"x",F39/'AW Schüler'!$M33)</f>
        <v>x</v>
      </c>
      <c r="L39" s="156" t="str">
        <f>IF('AW Schüler'!$P33=0,"x",G39/'AW Schüler'!$P33)</f>
        <v>x</v>
      </c>
    </row>
    <row r="40" spans="1:12" ht="9" customHeight="1">
      <c r="A40" s="21" t="s">
        <v>90</v>
      </c>
      <c r="B40" s="120"/>
      <c r="C40" s="193">
        <f>'3.2.3'!C40+'3.3.3'!C40</f>
        <v>0</v>
      </c>
      <c r="D40" s="193">
        <f>'3.2.3'!D40+'3.3.3'!D40</f>
        <v>0</v>
      </c>
      <c r="E40" s="193">
        <f>'3.2.3'!E40+'3.3.3'!E40</f>
        <v>0</v>
      </c>
      <c r="F40" s="193">
        <f>'3.2.3'!F40+'3.3.3'!F40</f>
        <v>0</v>
      </c>
      <c r="G40" s="194">
        <f>'3.2.3'!G40+'3.3.3'!G40</f>
        <v>0</v>
      </c>
      <c r="H40" s="155" t="str">
        <f>IF('AW Schüler'!$D34=0,"x",C40/'AW Schüler'!$D34)</f>
        <v>x</v>
      </c>
      <c r="I40" s="155" t="str">
        <f>IF('AW Schüler'!$G34=0,"x",D40/'AW Schüler'!$G34)</f>
        <v>x</v>
      </c>
      <c r="J40" s="155" t="str">
        <f>IF('AW Schüler'!$J34=0,"x",E40/'AW Schüler'!$J34)</f>
        <v>x</v>
      </c>
      <c r="K40" s="155" t="str">
        <f>IF('AW Schüler'!$M34=0,"x",F40/'AW Schüler'!$M34)</f>
        <v>x</v>
      </c>
      <c r="L40" s="156" t="str">
        <f>IF('AW Schüler'!$P34=0,"x",G40/'AW Schüler'!$P34)</f>
        <v>x</v>
      </c>
    </row>
    <row r="41" spans="1:12" ht="9" customHeight="1">
      <c r="A41" s="21" t="s">
        <v>91</v>
      </c>
      <c r="B41" s="120"/>
      <c r="C41" s="193">
        <f>'3.2.3'!C41+'3.3.3'!C41</f>
        <v>0</v>
      </c>
      <c r="D41" s="193">
        <f>'3.2.3'!D41+'3.3.3'!D41</f>
        <v>0</v>
      </c>
      <c r="E41" s="193">
        <f>'3.2.3'!E41+'3.3.3'!E41</f>
        <v>0</v>
      </c>
      <c r="F41" s="193">
        <f>'3.2.3'!F41+'3.3.3'!F41</f>
        <v>0</v>
      </c>
      <c r="G41" s="194">
        <f>'3.2.3'!G41+'3.3.3'!G41</f>
        <v>0</v>
      </c>
      <c r="H41" s="155" t="str">
        <f>IF('AW Schüler'!$D35=0,"x",C41/'AW Schüler'!$D35)</f>
        <v>x</v>
      </c>
      <c r="I41" s="155" t="str">
        <f>IF('AW Schüler'!$G35=0,"x",D41/'AW Schüler'!$G35)</f>
        <v>x</v>
      </c>
      <c r="J41" s="155" t="str">
        <f>IF('AW Schüler'!$J35=0,"x",E41/'AW Schüler'!$J35)</f>
        <v>x</v>
      </c>
      <c r="K41" s="155" t="str">
        <f>IF('AW Schüler'!$M35=0,"x",F41/'AW Schüler'!$M35)</f>
        <v>x</v>
      </c>
      <c r="L41" s="156" t="str">
        <f>IF('AW Schüler'!$P35=0,"x",G41/'AW Schüler'!$P35)</f>
        <v>x</v>
      </c>
    </row>
    <row r="42" spans="1:12" ht="9" customHeight="1">
      <c r="A42" s="21" t="s">
        <v>92</v>
      </c>
      <c r="B42" s="120"/>
      <c r="C42" s="193">
        <f>'3.2.3'!C42+'3.3.3'!C42</f>
        <v>0</v>
      </c>
      <c r="D42" s="193">
        <f>'3.2.3'!D42+'3.3.3'!D42</f>
        <v>0</v>
      </c>
      <c r="E42" s="193">
        <f>'3.2.3'!E42+'3.3.3'!E42</f>
        <v>0</v>
      </c>
      <c r="F42" s="193">
        <f>'3.2.3'!F42+'3.3.3'!F42</f>
        <v>0</v>
      </c>
      <c r="G42" s="194">
        <f>'3.2.3'!G42+'3.3.3'!G42</f>
        <v>0</v>
      </c>
      <c r="H42" s="155" t="str">
        <f>IF('AW Schüler'!$D36=0,"x",C42/'AW Schüler'!$D36)</f>
        <v>x</v>
      </c>
      <c r="I42" s="155" t="str">
        <f>IF('AW Schüler'!$G36=0,"x",D42/'AW Schüler'!$G36)</f>
        <v>x</v>
      </c>
      <c r="J42" s="155" t="str">
        <f>IF('AW Schüler'!$J36=0,"x",E42/'AW Schüler'!$J36)</f>
        <v>x</v>
      </c>
      <c r="K42" s="155" t="str">
        <f>IF('AW Schüler'!$M36=0,"x",F42/'AW Schüler'!$M36)</f>
        <v>x</v>
      </c>
      <c r="L42" s="156" t="str">
        <f>IF('AW Schüler'!$P36=0,"x",G42/'AW Schüler'!$P36)</f>
        <v>x</v>
      </c>
    </row>
    <row r="43" spans="1:12" ht="9" customHeight="1">
      <c r="A43" s="21" t="s">
        <v>93</v>
      </c>
      <c r="B43" s="120"/>
      <c r="C43" s="193">
        <f>'3.2.3'!C43+'3.3.3'!C43</f>
        <v>0</v>
      </c>
      <c r="D43" s="193">
        <f>'3.2.3'!D43+'3.3.3'!D43</f>
        <v>0</v>
      </c>
      <c r="E43" s="193">
        <f>'3.2.3'!E43+'3.3.3'!E43</f>
        <v>0</v>
      </c>
      <c r="F43" s="193">
        <f>'3.2.3'!F43+'3.3.3'!F43</f>
        <v>0</v>
      </c>
      <c r="G43" s="194">
        <f>'3.2.3'!G43+'3.3.3'!G43</f>
        <v>0</v>
      </c>
      <c r="H43" s="155" t="str">
        <f>IF('AW Schüler'!$D37=0,"x",C43/'AW Schüler'!$D37)</f>
        <v>x</v>
      </c>
      <c r="I43" s="155" t="str">
        <f>IF('AW Schüler'!$G37=0,"x",D43/'AW Schüler'!$G37)</f>
        <v>x</v>
      </c>
      <c r="J43" s="155" t="str">
        <f>IF('AW Schüler'!$J37=0,"x",E43/'AW Schüler'!$J37)</f>
        <v>x</v>
      </c>
      <c r="K43" s="155" t="str">
        <f>IF('AW Schüler'!$M37=0,"x",F43/'AW Schüler'!$M37)</f>
        <v>x</v>
      </c>
      <c r="L43" s="156" t="str">
        <f>IF('AW Schüler'!$P37=0,"x",G43/'AW Schüler'!$P37)</f>
        <v>x</v>
      </c>
    </row>
    <row r="44" spans="1:12" ht="9" customHeight="1">
      <c r="A44" s="21" t="s">
        <v>94</v>
      </c>
      <c r="B44" s="120"/>
      <c r="C44" s="193">
        <f>'3.2.3'!C44+'3.3.3'!C44</f>
        <v>0</v>
      </c>
      <c r="D44" s="193">
        <f>'3.2.3'!D44+'3.3.3'!D44</f>
        <v>0</v>
      </c>
      <c r="E44" s="193">
        <f>'3.2.3'!E44+'3.3.3'!E44</f>
        <v>0</v>
      </c>
      <c r="F44" s="193">
        <f>'3.2.3'!F44+'3.3.3'!F44</f>
        <v>0</v>
      </c>
      <c r="G44" s="194">
        <f>'3.2.3'!G44+'3.3.3'!G44</f>
        <v>0</v>
      </c>
      <c r="H44" s="155" t="str">
        <f>IF('AW Schüler'!$D38=0,"x",C44/'AW Schüler'!$D38)</f>
        <v>x</v>
      </c>
      <c r="I44" s="155" t="str">
        <f>IF('AW Schüler'!$G38=0,"x",D44/'AW Schüler'!$G38)</f>
        <v>x</v>
      </c>
      <c r="J44" s="155" t="str">
        <f>IF('AW Schüler'!$J38=0,"x",E44/'AW Schüler'!$J38)</f>
        <v>x</v>
      </c>
      <c r="K44" s="155" t="str">
        <f>IF('AW Schüler'!$M38=0,"x",F44/'AW Schüler'!$M38)</f>
        <v>x</v>
      </c>
      <c r="L44" s="156" t="str">
        <f>IF('AW Schüler'!$P38=0,"x",G44/'AW Schüler'!$P38)</f>
        <v>x</v>
      </c>
    </row>
    <row r="45" spans="1:12" ht="9" customHeight="1">
      <c r="A45" s="21" t="s">
        <v>95</v>
      </c>
      <c r="B45" s="120"/>
      <c r="C45" s="193">
        <f>'3.2.3'!C45+'3.3.3'!C45</f>
        <v>0</v>
      </c>
      <c r="D45" s="193">
        <f>'3.2.3'!D45+'3.3.3'!D45</f>
        <v>0</v>
      </c>
      <c r="E45" s="193">
        <f>'3.2.3'!E45+'3.3.3'!E45</f>
        <v>0</v>
      </c>
      <c r="F45" s="193">
        <f>'3.2.3'!F45+'3.3.3'!F45</f>
        <v>0</v>
      </c>
      <c r="G45" s="194">
        <f>'3.2.3'!G45+'3.3.3'!G45</f>
        <v>0</v>
      </c>
      <c r="H45" s="155" t="str">
        <f>IF('AW Schüler'!$D39=0,"x",C45/'AW Schüler'!$D39)</f>
        <v>x</v>
      </c>
      <c r="I45" s="155" t="str">
        <f>IF('AW Schüler'!$G39=0,"x",D45/'AW Schüler'!$G39)</f>
        <v>x</v>
      </c>
      <c r="J45" s="155" t="str">
        <f>IF('AW Schüler'!$J39=0,"x",E45/'AW Schüler'!$J39)</f>
        <v>x</v>
      </c>
      <c r="K45" s="155" t="str">
        <f>IF('AW Schüler'!$M39=0,"x",F45/'AW Schüler'!$M39)</f>
        <v>x</v>
      </c>
      <c r="L45" s="156" t="str">
        <f>IF('AW Schüler'!$P39=0,"x",G45/'AW Schüler'!$P39)</f>
        <v>x</v>
      </c>
    </row>
    <row r="46" spans="1:12" ht="9" customHeight="1">
      <c r="A46" s="21" t="s">
        <v>96</v>
      </c>
      <c r="B46" s="120"/>
      <c r="C46" s="23">
        <f>'3.2.3'!C46+'3.3.3'!C46</f>
        <v>8483</v>
      </c>
      <c r="D46" s="23">
        <f>'3.2.3'!D46+'3.3.3'!D46</f>
        <v>8438</v>
      </c>
      <c r="E46" s="23">
        <f>'3.2.3'!E46+'3.3.3'!E46</f>
        <v>8666</v>
      </c>
      <c r="F46" s="23">
        <f>'3.2.3'!F46+'3.3.3'!F46</f>
        <v>8600</v>
      </c>
      <c r="G46" s="34">
        <f>'3.2.3'!G46+'3.3.3'!G46</f>
        <v>20677</v>
      </c>
      <c r="H46" s="155">
        <f>IF('AW Schüler'!$D40=0,"x",C46/'AW Schüler'!$D40)</f>
        <v>8.7583629305360539E-2</v>
      </c>
      <c r="I46" s="155">
        <f>IF('AW Schüler'!$G40=0,"x",D46/'AW Schüler'!$G40)</f>
        <v>8.6830352548930831E-2</v>
      </c>
      <c r="J46" s="155">
        <f>IF('AW Schüler'!$J40=0,"x",E46/'AW Schüler'!$J40)</f>
        <v>8.7703673717235101E-2</v>
      </c>
      <c r="K46" s="155">
        <f>IF('AW Schüler'!$M40=0,"x",F46/'AW Schüler'!$M40)</f>
        <v>8.555936924837089E-2</v>
      </c>
      <c r="L46" s="156">
        <f>IF('AW Schüler'!$P40=0,"x",G46/'AW Schüler'!$P40)</f>
        <v>0.19995744968909263</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'3.2.3'!C48+'3.3.3'!C48</f>
        <v>293</v>
      </c>
      <c r="D48" s="23">
        <f>'3.2.3'!D48+'3.3.3'!D48</f>
        <v>280</v>
      </c>
      <c r="E48" s="23">
        <f>'3.2.3'!E48+'3.3.3'!E48</f>
        <v>209</v>
      </c>
      <c r="F48" s="23">
        <f>'3.2.3'!F48+'3.3.3'!F48</f>
        <v>216</v>
      </c>
      <c r="G48" s="34">
        <f>'3.2.3'!G48+'3.3.3'!G48</f>
        <v>125</v>
      </c>
      <c r="H48" s="155">
        <f>IF('AW Schüler'!$D24=0,"x",C48/'AW Schüler'!$D24)</f>
        <v>0.73250000000000004</v>
      </c>
      <c r="I48" s="155">
        <f>IF('AW Schüler'!$G24=0,"x",D48/'AW Schüler'!$G24)</f>
        <v>0.79096045197740117</v>
      </c>
      <c r="J48" s="155">
        <f>IF('AW Schüler'!$J24=0,"x",E48/'AW Schüler'!$J24)</f>
        <v>0.63525835866261393</v>
      </c>
      <c r="K48" s="155">
        <f>IF('AW Schüler'!$M24=0,"x",F48/'AW Schüler'!$M24)</f>
        <v>0.63343108504398826</v>
      </c>
      <c r="L48" s="156">
        <f>IF('AW Schüler'!$P24=0,"x",G48/'AW Schüler'!$P24)</f>
        <v>0.33244680851063829</v>
      </c>
    </row>
    <row r="49" spans="1:12" ht="9" customHeight="1">
      <c r="A49" s="21" t="s">
        <v>81</v>
      </c>
      <c r="B49" s="120"/>
      <c r="C49" s="23">
        <f>'3.2.3'!C49+'3.3.3'!C49</f>
        <v>26</v>
      </c>
      <c r="D49" s="23">
        <f>'3.2.3'!D49+'3.3.3'!D49</f>
        <v>0</v>
      </c>
      <c r="E49" s="23">
        <f>'3.2.3'!E49+'3.3.3'!E49</f>
        <v>0</v>
      </c>
      <c r="F49" s="23" t="e">
        <f>'3.2.3'!F49+'3.3.3'!F49</f>
        <v>#VALUE!</v>
      </c>
      <c r="G49" s="34">
        <f>'3.2.3'!G49+'3.3.3'!G49</f>
        <v>0</v>
      </c>
      <c r="H49" s="155">
        <f>IF('AW Schüler'!$D25=0,"x",C49/'AW Schüler'!$D25)</f>
        <v>4.2414355628058731E-2</v>
      </c>
      <c r="I49" s="155">
        <f>IF('AW Schüler'!$G25=0,"x",D49/'AW Schüler'!$G25)</f>
        <v>0</v>
      </c>
      <c r="J49" s="155">
        <f>IF('AW Schüler'!$J25=0,"x",E49/'AW Schüler'!$J25)</f>
        <v>0</v>
      </c>
      <c r="K49" s="155" t="e">
        <f>IF('AW Schüler'!$M25=0,"x",F49/'AW Schüler'!$M25)</f>
        <v>#VALUE!</v>
      </c>
      <c r="L49" s="156">
        <f>IF('AW Schüler'!$P25=0,"x",G49/'AW Schüler'!$P25)</f>
        <v>0</v>
      </c>
    </row>
    <row r="50" spans="1:12" ht="9" customHeight="1">
      <c r="A50" s="21" t="s">
        <v>82</v>
      </c>
      <c r="B50" s="120"/>
      <c r="C50" s="23">
        <f>'3.2.3'!C50+'3.3.3'!C50</f>
        <v>3334</v>
      </c>
      <c r="D50" s="23">
        <f>'3.2.3'!D50+'3.3.3'!D50</f>
        <v>5477</v>
      </c>
      <c r="E50" s="23">
        <f>'3.2.3'!E50+'3.3.3'!E50</f>
        <v>5382</v>
      </c>
      <c r="F50" s="23">
        <f>'3.2.3'!F50+'3.3.3'!F50</f>
        <v>5615</v>
      </c>
      <c r="G50" s="34">
        <f>'3.2.3'!G50+'3.3.3'!G50</f>
        <v>6133</v>
      </c>
      <c r="H50" s="155">
        <f>IF('AW Schüler'!$D26=0,"x",C50/'AW Schüler'!$D26)</f>
        <v>7.5034321337744472E-2</v>
      </c>
      <c r="I50" s="155">
        <f>IF('AW Schüler'!$G26=0,"x",D50/'AW Schüler'!$G26)</f>
        <v>0.12024413269226547</v>
      </c>
      <c r="J50" s="155">
        <f>IF('AW Schüler'!$J26=0,"x",E50/'AW Schüler'!$J26)</f>
        <v>0.11480620320399326</v>
      </c>
      <c r="K50" s="155">
        <f>IF('AW Schüler'!$M26=0,"x",F50/'AW Schüler'!$M26)</f>
        <v>0.11587593123800483</v>
      </c>
      <c r="L50" s="156">
        <f>IF('AW Schüler'!$P26=0,"x",G50/'AW Schüler'!$P26)</f>
        <v>0.12121032451875569</v>
      </c>
    </row>
    <row r="51" spans="1:12" ht="9" customHeight="1">
      <c r="A51" s="21" t="s">
        <v>83</v>
      </c>
      <c r="B51" s="120"/>
      <c r="C51" s="23">
        <f>'3.2.3'!C51+'3.3.3'!C51</f>
        <v>14231</v>
      </c>
      <c r="D51" s="23">
        <f>'3.2.3'!D51+'3.3.3'!D51</f>
        <v>14581</v>
      </c>
      <c r="E51" s="23">
        <f>'3.2.3'!E51+'3.3.3'!E51</f>
        <v>15242</v>
      </c>
      <c r="F51" s="23">
        <f>'3.2.3'!F51+'3.3.3'!F51</f>
        <v>15092</v>
      </c>
      <c r="G51" s="34">
        <f>'3.2.3'!G51+'3.3.3'!G51</f>
        <v>6349</v>
      </c>
      <c r="H51" s="155">
        <f>IF('AW Schüler'!$D27=0,"x",C51/'AW Schüler'!$D27)</f>
        <v>0.40158591302875524</v>
      </c>
      <c r="I51" s="155">
        <f>IF('AW Schüler'!$G27=0,"x",D51/'AW Schüler'!$G27)</f>
        <v>0.40796284379284298</v>
      </c>
      <c r="J51" s="155">
        <f>IF('AW Schüler'!$J27=0,"x",E51/'AW Schüler'!$J27)</f>
        <v>0.42000551116009921</v>
      </c>
      <c r="K51" s="155">
        <f>IF('AW Schüler'!$M27=0,"x",F51/'AW Schüler'!$M27)</f>
        <v>0.41441045636773022</v>
      </c>
      <c r="L51" s="156">
        <f>IF('AW Schüler'!$P27=0,"x",G51/'AW Schüler'!$P27)</f>
        <v>0.17125209041376707</v>
      </c>
    </row>
    <row r="52" spans="1:12" ht="9" customHeight="1">
      <c r="A52" s="21" t="s">
        <v>84</v>
      </c>
      <c r="B52" s="120"/>
      <c r="C52" s="193">
        <f>'3.2.3'!C52+'3.3.3'!C52</f>
        <v>0</v>
      </c>
      <c r="D52" s="193">
        <f>'3.2.3'!D52+'3.3.3'!D52</f>
        <v>0</v>
      </c>
      <c r="E52" s="193">
        <f>'3.2.3'!E52+'3.3.3'!E52</f>
        <v>0</v>
      </c>
      <c r="F52" s="193">
        <f>'3.2.3'!F52+'3.3.3'!F52</f>
        <v>0</v>
      </c>
      <c r="G52" s="194">
        <f>'3.2.3'!G52+'3.3.3'!G52</f>
        <v>0</v>
      </c>
      <c r="H52" s="155" t="str">
        <f>IF('AW Schüler'!$D28=0,"x",C52/'AW Schüler'!$D28)</f>
        <v>x</v>
      </c>
      <c r="I52" s="155" t="str">
        <f>IF('AW Schüler'!$G28=0,"x",D52/'AW Schüler'!$G28)</f>
        <v>x</v>
      </c>
      <c r="J52" s="155" t="str">
        <f>IF('AW Schüler'!$J28=0,"x",E52/'AW Schüler'!$J28)</f>
        <v>x</v>
      </c>
      <c r="K52" s="155" t="str">
        <f>IF('AW Schüler'!$M28=0,"x",F52/'AW Schüler'!$M28)</f>
        <v>x</v>
      </c>
      <c r="L52" s="156" t="str">
        <f>IF('AW Schüler'!$P28=0,"x",G52/'AW Schüler'!$P28)</f>
        <v>x</v>
      </c>
    </row>
    <row r="53" spans="1:12" ht="9" customHeight="1">
      <c r="A53" s="21" t="s">
        <v>85</v>
      </c>
      <c r="B53" s="120"/>
      <c r="C53" s="23">
        <f>'3.2.3'!C53+'3.3.3'!C53</f>
        <v>0</v>
      </c>
      <c r="D53" s="23">
        <f>'3.2.3'!D53+'3.3.3'!D53</f>
        <v>63</v>
      </c>
      <c r="E53" s="23">
        <f>'3.2.3'!E53+'3.3.3'!E53</f>
        <v>87</v>
      </c>
      <c r="F53" s="23">
        <f>'3.2.3'!F53+'3.3.3'!F53</f>
        <v>170</v>
      </c>
      <c r="G53" s="34">
        <f>'3.2.3'!G53+'3.3.3'!G53</f>
        <v>68</v>
      </c>
      <c r="H53" s="155">
        <f>IF('AW Schüler'!$D29=0,"x",C53/'AW Schüler'!$D29)</f>
        <v>0</v>
      </c>
      <c r="I53" s="155">
        <f>IF('AW Schüler'!$G29=0,"x",D53/'AW Schüler'!$G29)</f>
        <v>0.20454545454545456</v>
      </c>
      <c r="J53" s="155">
        <f>IF('AW Schüler'!$J29=0,"x",E53/'AW Schüler'!$J29)</f>
        <v>0.24033149171270718</v>
      </c>
      <c r="K53" s="155">
        <f>IF('AW Schüler'!$M29=0,"x",F53/'AW Schüler'!$M29)</f>
        <v>0.42394014962593518</v>
      </c>
      <c r="L53" s="156">
        <f>IF('AW Schüler'!$P29=0,"x",G53/'AW Schüler'!$P29)</f>
        <v>0.16748768472906403</v>
      </c>
    </row>
    <row r="54" spans="1:12" ht="9" customHeight="1">
      <c r="A54" s="21" t="s">
        <v>114</v>
      </c>
      <c r="B54" s="120"/>
      <c r="C54" s="23">
        <f>'3.2.3'!C54+'3.3.3'!C54</f>
        <v>8199</v>
      </c>
      <c r="D54" s="23">
        <f>'3.2.3'!D54+'3.3.3'!D54</f>
        <v>7708</v>
      </c>
      <c r="E54" s="23">
        <f>'3.2.3'!E54+'3.3.3'!E54</f>
        <v>7767</v>
      </c>
      <c r="F54" s="23">
        <f>'3.2.3'!F54+'3.3.3'!F54</f>
        <v>7737</v>
      </c>
      <c r="G54" s="34">
        <f>'3.2.3'!G54+'3.3.3'!G54</f>
        <v>7814</v>
      </c>
      <c r="H54" s="57" t="s">
        <v>178</v>
      </c>
      <c r="I54" s="57" t="s">
        <v>178</v>
      </c>
      <c r="J54" s="57" t="s">
        <v>178</v>
      </c>
      <c r="K54" s="57" t="s">
        <v>178</v>
      </c>
      <c r="L54" s="195" t="s">
        <v>178</v>
      </c>
    </row>
    <row r="55" spans="1:12" ht="9" customHeight="1">
      <c r="A55" s="21" t="s">
        <v>87</v>
      </c>
      <c r="B55" s="120"/>
      <c r="C55" s="193">
        <f>'3.2.3'!C55+'3.3.3'!C55</f>
        <v>0</v>
      </c>
      <c r="D55" s="193">
        <f>'3.2.3'!D55+'3.3.3'!D55</f>
        <v>0</v>
      </c>
      <c r="E55" s="193">
        <f>'3.2.3'!E55+'3.3.3'!E55</f>
        <v>0</v>
      </c>
      <c r="F55" s="193">
        <f>'3.2.3'!F55+'3.3.3'!F55</f>
        <v>0</v>
      </c>
      <c r="G55" s="194">
        <f>'3.2.3'!G55+'3.3.3'!G55</f>
        <v>0</v>
      </c>
      <c r="H55" s="155" t="str">
        <f>IF('AW Schüler'!$D31=0,"x",C55/'AW Schüler'!$D31)</f>
        <v>x</v>
      </c>
      <c r="I55" s="155" t="str">
        <f>IF('AW Schüler'!$G31=0,"x",D55/'AW Schüler'!$G31)</f>
        <v>x</v>
      </c>
      <c r="J55" s="155" t="str">
        <f>IF('AW Schüler'!$J31=0,"x",E55/'AW Schüler'!$J31)</f>
        <v>x</v>
      </c>
      <c r="K55" s="155" t="str">
        <f>IF('AW Schüler'!$M31=0,"x",F55/'AW Schüler'!$M31)</f>
        <v>x</v>
      </c>
      <c r="L55" s="156" t="str">
        <f>IF('AW Schüler'!$P31=0,"x",G55/'AW Schüler'!$P31)</f>
        <v>x</v>
      </c>
    </row>
    <row r="56" spans="1:12" ht="9" customHeight="1">
      <c r="A56" s="21" t="s">
        <v>88</v>
      </c>
      <c r="B56" s="120"/>
      <c r="C56" s="193">
        <f>'3.2.3'!C56+'3.3.3'!C56</f>
        <v>0</v>
      </c>
      <c r="D56" s="193">
        <f>'3.2.3'!D56+'3.3.3'!D56</f>
        <v>0</v>
      </c>
      <c r="E56" s="193">
        <f>'3.2.3'!E56+'3.3.3'!E56</f>
        <v>0</v>
      </c>
      <c r="F56" s="193">
        <f>'3.2.3'!F56+'3.3.3'!F56</f>
        <v>0</v>
      </c>
      <c r="G56" s="194">
        <f>'3.2.3'!G56+'3.3.3'!G56</f>
        <v>0</v>
      </c>
      <c r="H56" s="155" t="str">
        <f>IF('AW Schüler'!$D32=0,"x",C56/'AW Schüler'!$D32)</f>
        <v>x</v>
      </c>
      <c r="I56" s="155" t="str">
        <f>IF('AW Schüler'!$G32=0,"x",D56/'AW Schüler'!$G32)</f>
        <v>x</v>
      </c>
      <c r="J56" s="155" t="str">
        <f>IF('AW Schüler'!$J32=0,"x",E56/'AW Schüler'!$J32)</f>
        <v>x</v>
      </c>
      <c r="K56" s="155" t="str">
        <f>IF('AW Schüler'!$M32=0,"x",F56/'AW Schüler'!$M32)</f>
        <v>x</v>
      </c>
      <c r="L56" s="156" t="str">
        <f>IF('AW Schüler'!$P32=0,"x",G56/'AW Schüler'!$P32)</f>
        <v>x</v>
      </c>
    </row>
    <row r="57" spans="1:12" ht="9" customHeight="1">
      <c r="A57" s="21" t="s">
        <v>89</v>
      </c>
      <c r="B57" s="120"/>
      <c r="C57" s="193">
        <f>'3.2.3'!C57+'3.3.3'!C57</f>
        <v>0</v>
      </c>
      <c r="D57" s="193">
        <f>'3.2.3'!D57+'3.3.3'!D57</f>
        <v>0</v>
      </c>
      <c r="E57" s="193">
        <f>'3.2.3'!E57+'3.3.3'!E57</f>
        <v>0</v>
      </c>
      <c r="F57" s="193">
        <f>'3.2.3'!F57+'3.3.3'!F57</f>
        <v>0</v>
      </c>
      <c r="G57" s="194">
        <f>'3.2.3'!G57+'3.3.3'!G57</f>
        <v>0</v>
      </c>
      <c r="H57" s="155" t="str">
        <f>IF('AW Schüler'!$D33=0,"x",C57/'AW Schüler'!$D33)</f>
        <v>x</v>
      </c>
      <c r="I57" s="155" t="str">
        <f>IF('AW Schüler'!$G33=0,"x",D57/'AW Schüler'!$G33)</f>
        <v>x</v>
      </c>
      <c r="J57" s="155" t="str">
        <f>IF('AW Schüler'!$J33=0,"x",E57/'AW Schüler'!$J33)</f>
        <v>x</v>
      </c>
      <c r="K57" s="155" t="str">
        <f>IF('AW Schüler'!$M33=0,"x",F57/'AW Schüler'!$M33)</f>
        <v>x</v>
      </c>
      <c r="L57" s="156" t="str">
        <f>IF('AW Schüler'!$P33=0,"x",G57/'AW Schüler'!$P33)</f>
        <v>x</v>
      </c>
    </row>
    <row r="58" spans="1:12" ht="9" customHeight="1">
      <c r="A58" s="21" t="s">
        <v>90</v>
      </c>
      <c r="B58" s="120"/>
      <c r="C58" s="193">
        <f>'3.2.3'!C58+'3.3.3'!C58</f>
        <v>0</v>
      </c>
      <c r="D58" s="193">
        <f>'3.2.3'!D58+'3.3.3'!D58</f>
        <v>0</v>
      </c>
      <c r="E58" s="193">
        <f>'3.2.3'!E58+'3.3.3'!E58</f>
        <v>0</v>
      </c>
      <c r="F58" s="193">
        <f>'3.2.3'!F58+'3.3.3'!F58</f>
        <v>0</v>
      </c>
      <c r="G58" s="194">
        <f>'3.2.3'!G58+'3.3.3'!G58</f>
        <v>0</v>
      </c>
      <c r="H58" s="155" t="str">
        <f>IF('AW Schüler'!$D34=0,"x",C58/'AW Schüler'!$D34)</f>
        <v>x</v>
      </c>
      <c r="I58" s="155" t="str">
        <f>IF('AW Schüler'!$G34=0,"x",D58/'AW Schüler'!$G34)</f>
        <v>x</v>
      </c>
      <c r="J58" s="155" t="str">
        <f>IF('AW Schüler'!$J34=0,"x",E58/'AW Schüler'!$J34)</f>
        <v>x</v>
      </c>
      <c r="K58" s="155" t="str">
        <f>IF('AW Schüler'!$M34=0,"x",F58/'AW Schüler'!$M34)</f>
        <v>x</v>
      </c>
      <c r="L58" s="156" t="str">
        <f>IF('AW Schüler'!$P34=0,"x",G58/'AW Schüler'!$P34)</f>
        <v>x</v>
      </c>
    </row>
    <row r="59" spans="1:12" ht="9" customHeight="1">
      <c r="A59" s="21" t="s">
        <v>91</v>
      </c>
      <c r="B59" s="120"/>
      <c r="C59" s="193">
        <f>'3.2.3'!C59+'3.3.3'!C59</f>
        <v>0</v>
      </c>
      <c r="D59" s="193">
        <f>'3.2.3'!D59+'3.3.3'!D59</f>
        <v>0</v>
      </c>
      <c r="E59" s="193">
        <f>'3.2.3'!E59+'3.3.3'!E59</f>
        <v>0</v>
      </c>
      <c r="F59" s="193">
        <f>'3.2.3'!F59+'3.3.3'!F59</f>
        <v>0</v>
      </c>
      <c r="G59" s="194">
        <f>'3.2.3'!G59+'3.3.3'!G59</f>
        <v>0</v>
      </c>
      <c r="H59" s="155" t="str">
        <f>IF('AW Schüler'!$D35=0,"x",C59/'AW Schüler'!$D35)</f>
        <v>x</v>
      </c>
      <c r="I59" s="155" t="str">
        <f>IF('AW Schüler'!$G35=0,"x",D59/'AW Schüler'!$G35)</f>
        <v>x</v>
      </c>
      <c r="J59" s="155" t="str">
        <f>IF('AW Schüler'!$J35=0,"x",E59/'AW Schüler'!$J35)</f>
        <v>x</v>
      </c>
      <c r="K59" s="155" t="str">
        <f>IF('AW Schüler'!$M35=0,"x",F59/'AW Schüler'!$M35)</f>
        <v>x</v>
      </c>
      <c r="L59" s="156" t="str">
        <f>IF('AW Schüler'!$P35=0,"x",G59/'AW Schüler'!$P35)</f>
        <v>x</v>
      </c>
    </row>
    <row r="60" spans="1:12" ht="9" customHeight="1">
      <c r="A60" s="21" t="s">
        <v>92</v>
      </c>
      <c r="B60" s="120"/>
      <c r="C60" s="193">
        <f>'3.2.3'!C60+'3.3.3'!C60</f>
        <v>0</v>
      </c>
      <c r="D60" s="193">
        <f>'3.2.3'!D60+'3.3.3'!D60</f>
        <v>0</v>
      </c>
      <c r="E60" s="193">
        <f>'3.2.3'!E60+'3.3.3'!E60</f>
        <v>0</v>
      </c>
      <c r="F60" s="193">
        <f>'3.2.3'!F60+'3.3.3'!F60</f>
        <v>0</v>
      </c>
      <c r="G60" s="194">
        <f>'3.2.3'!G60+'3.3.3'!G60</f>
        <v>0</v>
      </c>
      <c r="H60" s="155" t="str">
        <f>IF('AW Schüler'!$D36=0,"x",C60/'AW Schüler'!$D36)</f>
        <v>x</v>
      </c>
      <c r="I60" s="155" t="str">
        <f>IF('AW Schüler'!$G36=0,"x",D60/'AW Schüler'!$G36)</f>
        <v>x</v>
      </c>
      <c r="J60" s="155" t="str">
        <f>IF('AW Schüler'!$J36=0,"x",E60/'AW Schüler'!$J36)</f>
        <v>x</v>
      </c>
      <c r="K60" s="155" t="str">
        <f>IF('AW Schüler'!$M36=0,"x",F60/'AW Schüler'!$M36)</f>
        <v>x</v>
      </c>
      <c r="L60" s="156" t="str">
        <f>IF('AW Schüler'!$P36=0,"x",G60/'AW Schüler'!$P36)</f>
        <v>x</v>
      </c>
    </row>
    <row r="61" spans="1:12" ht="9" customHeight="1">
      <c r="A61" s="21" t="s">
        <v>93</v>
      </c>
      <c r="B61" s="120"/>
      <c r="C61" s="193">
        <f>'3.2.3'!C61+'3.3.3'!C61</f>
        <v>0</v>
      </c>
      <c r="D61" s="193">
        <f>'3.2.3'!D61+'3.3.3'!D61</f>
        <v>0</v>
      </c>
      <c r="E61" s="193">
        <f>'3.2.3'!E61+'3.3.3'!E61</f>
        <v>0</v>
      </c>
      <c r="F61" s="193">
        <f>'3.2.3'!F61+'3.3.3'!F61</f>
        <v>0</v>
      </c>
      <c r="G61" s="194">
        <f>'3.2.3'!G61+'3.3.3'!G61</f>
        <v>0</v>
      </c>
      <c r="H61" s="155" t="str">
        <f>IF('AW Schüler'!$D37=0,"x",C61/'AW Schüler'!$D37)</f>
        <v>x</v>
      </c>
      <c r="I61" s="155" t="str">
        <f>IF('AW Schüler'!$G37=0,"x",D61/'AW Schüler'!$G37)</f>
        <v>x</v>
      </c>
      <c r="J61" s="155" t="str">
        <f>IF('AW Schüler'!$J37=0,"x",E61/'AW Schüler'!$J37)</f>
        <v>x</v>
      </c>
      <c r="K61" s="155" t="str">
        <f>IF('AW Schüler'!$M37=0,"x",F61/'AW Schüler'!$M37)</f>
        <v>x</v>
      </c>
      <c r="L61" s="156" t="str">
        <f>IF('AW Schüler'!$P37=0,"x",G61/'AW Schüler'!$P37)</f>
        <v>x</v>
      </c>
    </row>
    <row r="62" spans="1:12" ht="9" customHeight="1">
      <c r="A62" s="21" t="s">
        <v>94</v>
      </c>
      <c r="B62" s="120"/>
      <c r="C62" s="193">
        <f>'3.2.3'!C62+'3.3.3'!C62</f>
        <v>0</v>
      </c>
      <c r="D62" s="193">
        <f>'3.2.3'!D62+'3.3.3'!D62</f>
        <v>0</v>
      </c>
      <c r="E62" s="193">
        <f>'3.2.3'!E62+'3.3.3'!E62</f>
        <v>0</v>
      </c>
      <c r="F62" s="193">
        <f>'3.2.3'!F62+'3.3.3'!F62</f>
        <v>0</v>
      </c>
      <c r="G62" s="194">
        <f>'3.2.3'!G62+'3.3.3'!G62</f>
        <v>0</v>
      </c>
      <c r="H62" s="155" t="str">
        <f>IF('AW Schüler'!$D38=0,"x",C62/'AW Schüler'!$D38)</f>
        <v>x</v>
      </c>
      <c r="I62" s="155" t="str">
        <f>IF('AW Schüler'!$G38=0,"x",D62/'AW Schüler'!$G38)</f>
        <v>x</v>
      </c>
      <c r="J62" s="155" t="str">
        <f>IF('AW Schüler'!$J38=0,"x",E62/'AW Schüler'!$J38)</f>
        <v>x</v>
      </c>
      <c r="K62" s="155" t="str">
        <f>IF('AW Schüler'!$M38=0,"x",F62/'AW Schüler'!$M38)</f>
        <v>x</v>
      </c>
      <c r="L62" s="156" t="str">
        <f>IF('AW Schüler'!$P38=0,"x",G62/'AW Schüler'!$P38)</f>
        <v>x</v>
      </c>
    </row>
    <row r="63" spans="1:12" ht="9" customHeight="1">
      <c r="A63" s="21" t="s">
        <v>95</v>
      </c>
      <c r="B63" s="120"/>
      <c r="C63" s="193">
        <f>'3.2.3'!C63+'3.3.3'!C63</f>
        <v>0</v>
      </c>
      <c r="D63" s="193">
        <f>'3.2.3'!D63+'3.3.3'!D63</f>
        <v>0</v>
      </c>
      <c r="E63" s="193">
        <f>'3.2.3'!E63+'3.3.3'!E63</f>
        <v>0</v>
      </c>
      <c r="F63" s="193">
        <f>'3.2.3'!F63+'3.3.3'!F63</f>
        <v>0</v>
      </c>
      <c r="G63" s="194">
        <f>'3.2.3'!G63+'3.3.3'!G63</f>
        <v>0</v>
      </c>
      <c r="H63" s="155" t="str">
        <f>IF('AW Schüler'!$D39=0,"x",C63/'AW Schüler'!$D39)</f>
        <v>x</v>
      </c>
      <c r="I63" s="155" t="str">
        <f>IF('AW Schüler'!$G39=0,"x",D63/'AW Schüler'!$G39)</f>
        <v>x</v>
      </c>
      <c r="J63" s="155" t="str">
        <f>IF('AW Schüler'!$J39=0,"x",E63/'AW Schüler'!$J39)</f>
        <v>x</v>
      </c>
      <c r="K63" s="155" t="str">
        <f>IF('AW Schüler'!$M39=0,"x",F63/'AW Schüler'!$M39)</f>
        <v>x</v>
      </c>
      <c r="L63" s="156" t="str">
        <f>IF('AW Schüler'!$P39=0,"x",G63/'AW Schüler'!$P39)</f>
        <v>x</v>
      </c>
    </row>
    <row r="64" spans="1:12" ht="8.65" customHeight="1">
      <c r="A64" s="24" t="s">
        <v>96</v>
      </c>
      <c r="B64" s="121"/>
      <c r="C64" s="26">
        <f>'3.2.3'!C64+'3.3.3'!C64</f>
        <v>26083</v>
      </c>
      <c r="D64" s="26">
        <f>'3.2.3'!D64+'3.3.3'!D64</f>
        <v>28109</v>
      </c>
      <c r="E64" s="26">
        <f>'3.2.3'!E64+'3.3.3'!E64</f>
        <v>28687</v>
      </c>
      <c r="F64" s="26">
        <f>'3.2.3'!F64+'3.3.3'!F64</f>
        <v>28830</v>
      </c>
      <c r="G64" s="47">
        <f>'3.2.3'!G64+'3.3.3'!G64</f>
        <v>20489</v>
      </c>
      <c r="H64" s="157">
        <f>IF('AW Schüler'!$D40=0,"x",C64/'AW Schüler'!$D40)</f>
        <v>0.2692966878665235</v>
      </c>
      <c r="I64" s="157">
        <f>IF('AW Schüler'!$G40=0,"x",D64/'AW Schüler'!$G40)</f>
        <v>0.28925271151906812</v>
      </c>
      <c r="J64" s="157">
        <f>IF('AW Schüler'!$J40=0,"x",E64/'AW Schüler'!$J40)</f>
        <v>0.29032486590426071</v>
      </c>
      <c r="K64" s="157">
        <f>IF('AW Schüler'!$M40=0,"x",F64/'AW Schüler'!$M40)</f>
        <v>0.28682286225936426</v>
      </c>
      <c r="L64" s="158">
        <f>IF('AW Schüler'!$P40=0,"x",G64/'AW Schüler'!$P40)</f>
        <v>0.19813939095032251</v>
      </c>
    </row>
    <row r="65" spans="1:12" ht="18.75" customHeight="1">
      <c r="A65" s="396" t="s">
        <v>312</v>
      </c>
      <c r="B65" s="396"/>
      <c r="C65" s="396"/>
      <c r="D65" s="396"/>
      <c r="E65" s="396"/>
      <c r="F65" s="396"/>
      <c r="G65" s="396"/>
      <c r="H65" s="396"/>
      <c r="I65" s="396"/>
      <c r="J65" s="396"/>
      <c r="K65" s="396"/>
      <c r="L65" s="396"/>
    </row>
    <row r="66" spans="1:12" s="241" customFormat="1" ht="18.600000000000001" customHeight="1">
      <c r="A66" s="381" t="s">
        <v>293</v>
      </c>
      <c r="B66" s="381"/>
      <c r="C66" s="381"/>
      <c r="D66" s="381"/>
      <c r="E66" s="381"/>
      <c r="F66" s="381"/>
      <c r="G66" s="381"/>
      <c r="H66" s="381"/>
      <c r="I66" s="394"/>
      <c r="J66" s="395"/>
      <c r="K66" s="395"/>
      <c r="L66" s="395"/>
    </row>
    <row r="67" spans="1:12" ht="10.15" customHeight="1">
      <c r="A67" s="214" t="s">
        <v>101</v>
      </c>
    </row>
    <row r="82" spans="1:1" ht="10.5" customHeight="1"/>
    <row r="83" spans="1:1" ht="10.15" customHeight="1">
      <c r="A83" s="214"/>
    </row>
  </sheetData>
  <mergeCells count="8">
    <mergeCell ref="A1:L1"/>
    <mergeCell ref="A47:L47"/>
    <mergeCell ref="A66:L66"/>
    <mergeCell ref="C9:G9"/>
    <mergeCell ref="H9:L9"/>
    <mergeCell ref="A11:L11"/>
    <mergeCell ref="A29:L29"/>
    <mergeCell ref="A65:L65"/>
  </mergeCells>
  <phoneticPr fontId="18" type="noConversion"/>
  <conditionalFormatting sqref="N25 H17:L17 H12:L15 H28:L28">
    <cfRule type="cellIs" dxfId="33"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M83"/>
  <sheetViews>
    <sheetView view="pageBreakPreview" zoomScale="175" zoomScaleNormal="100" zoomScaleSheetLayoutView="175" workbookViewId="0">
      <selection activeCell="F23" sqref="F23:G23"/>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'3.1.3'!A1:E1+1</f>
        <v>38</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132</v>
      </c>
      <c r="C4" s="14"/>
      <c r="D4" s="14"/>
      <c r="E4" s="14"/>
      <c r="F4" s="14"/>
      <c r="G4" s="14"/>
      <c r="H4" s="14"/>
      <c r="I4" s="14"/>
      <c r="J4" s="14"/>
      <c r="K4" s="14"/>
      <c r="L4" s="14"/>
    </row>
    <row r="5" spans="1:13" s="1" customFormat="1" ht="12.6" customHeight="1">
      <c r="A5" s="13" t="s">
        <v>42</v>
      </c>
      <c r="B5" s="39" t="s">
        <v>11</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58396</v>
      </c>
      <c r="D12" s="42">
        <f t="shared" ref="D12:E12" si="1">SUM(D30+D48)</f>
        <v>53526</v>
      </c>
      <c r="E12" s="42">
        <f t="shared" si="1"/>
        <v>46945</v>
      </c>
      <c r="F12" s="42">
        <f t="shared" ref="F12:G12" si="2">SUM(F30+F48)</f>
        <v>42668</v>
      </c>
      <c r="G12" s="44">
        <f t="shared" si="2"/>
        <v>34055</v>
      </c>
      <c r="H12" s="153">
        <f>IF('AW Schüler'!$D42=0,"x",C12/'AW Schüler'!$D42)</f>
        <v>0.41274508418031974</v>
      </c>
      <c r="I12" s="153">
        <f>IF('AW Schüler'!$G42=0,"x",D12/'AW Schüler'!$G42)</f>
        <v>0.4212390216262159</v>
      </c>
      <c r="J12" s="153">
        <f>IF('AW Schüler'!$J42=0,"x",E12/'AW Schüler'!$J42)</f>
        <v>0.41162492985409654</v>
      </c>
      <c r="K12" s="153">
        <f>IF('AW Schüler'!$M42=0,"x",F12/'AW Schüler'!$M42)</f>
        <v>0.42765933988834431</v>
      </c>
      <c r="L12" s="154">
        <f>IF('AW Schüler'!$P42=0,"x",G12/'AW Schüler'!$P42)</f>
        <v>0.40673370915344925</v>
      </c>
    </row>
    <row r="13" spans="1:13" ht="9" customHeight="1">
      <c r="A13" s="21" t="s">
        <v>81</v>
      </c>
      <c r="B13" s="120"/>
      <c r="C13" s="42">
        <f t="shared" si="0"/>
        <v>48323</v>
      </c>
      <c r="D13" s="42">
        <f t="shared" ref="D13:E13" si="3">SUM(D31+D49)</f>
        <v>54508</v>
      </c>
      <c r="E13" s="42">
        <f t="shared" si="3"/>
        <v>56092</v>
      </c>
      <c r="F13" s="42">
        <f t="shared" ref="F13:G13" si="4">SUM(F31+F49)</f>
        <v>57813</v>
      </c>
      <c r="G13" s="44">
        <f t="shared" si="4"/>
        <v>60455</v>
      </c>
      <c r="H13" s="153">
        <f>IF('AW Schüler'!$D43=0,"x",C13/'AW Schüler'!$D43)</f>
        <v>0.23210451739955329</v>
      </c>
      <c r="I13" s="153">
        <f>IF('AW Schüler'!$G43=0,"x",D13/'AW Schüler'!$G43)</f>
        <v>0.26592641017885194</v>
      </c>
      <c r="J13" s="153">
        <f>IF('AW Schüler'!$J43=0,"x",E13/'AW Schüler'!$J43)</f>
        <v>0.27657413342537351</v>
      </c>
      <c r="K13" s="153">
        <f>IF('AW Schüler'!$M43=0,"x",F13/'AW Schüler'!$M43)</f>
        <v>0.28592553759718292</v>
      </c>
      <c r="L13" s="154">
        <f>IF('AW Schüler'!$P43=0,"x",G13/'AW Schüler'!$P43)</f>
        <v>0.29784456213819438</v>
      </c>
    </row>
    <row r="14" spans="1:13" ht="9" customHeight="1">
      <c r="A14" s="21" t="s">
        <v>82</v>
      </c>
      <c r="B14" s="120"/>
      <c r="C14" s="149">
        <f t="shared" si="0"/>
        <v>0</v>
      </c>
      <c r="D14" s="149">
        <f t="shared" ref="D14:E14" si="5">SUM(D32+D50)</f>
        <v>0</v>
      </c>
      <c r="E14" s="149">
        <f t="shared" si="5"/>
        <v>0</v>
      </c>
      <c r="F14" s="149">
        <f t="shared" ref="F14:G14" si="6">SUM(F32+F50)</f>
        <v>0</v>
      </c>
      <c r="G14" s="150">
        <f t="shared" si="6"/>
        <v>0</v>
      </c>
      <c r="H14" s="198">
        <f>IF('AW Schüler'!$D44=0,"x",C14/'AW Schüler'!$D44)</f>
        <v>0</v>
      </c>
      <c r="I14" s="198">
        <f>IF('AW Schüler'!$G44=0,"x",D14/'AW Schüler'!$G44)</f>
        <v>0</v>
      </c>
      <c r="J14" s="198" t="str">
        <f>IF('AW Schüler'!$J44=0,"x",E14/'AW Schüler'!$J44)</f>
        <v>x</v>
      </c>
      <c r="K14" s="198" t="str">
        <f>IF('AW Schüler'!$M44=0,"x",F14/'AW Schüler'!$M44)</f>
        <v>x</v>
      </c>
      <c r="L14" s="199" t="str">
        <f>IF('AW Schüler'!$P44=0,"x",G14/'AW Schüler'!$P44)</f>
        <v>x</v>
      </c>
    </row>
    <row r="15" spans="1:13" ht="9" customHeight="1">
      <c r="A15" s="21" t="s">
        <v>83</v>
      </c>
      <c r="B15" s="120"/>
      <c r="C15" s="149">
        <f t="shared" si="0"/>
        <v>0</v>
      </c>
      <c r="D15" s="149">
        <f t="shared" ref="D15:E15" si="7">SUM(D33+D51)</f>
        <v>0</v>
      </c>
      <c r="E15" s="149">
        <f t="shared" si="7"/>
        <v>0</v>
      </c>
      <c r="F15" s="149">
        <f t="shared" ref="F15:G15" si="8">SUM(F33+F51)</f>
        <v>0</v>
      </c>
      <c r="G15" s="150">
        <f t="shared" si="8"/>
        <v>0</v>
      </c>
      <c r="H15" s="153" t="str">
        <f>IF('AW Schüler'!$D45=0,"x",C15/'AW Schüler'!$D45)</f>
        <v>x</v>
      </c>
      <c r="I15" s="153" t="str">
        <f>IF('AW Schüler'!$G45=0,"x",D15/'AW Schüler'!$G45)</f>
        <v>x</v>
      </c>
      <c r="J15" s="153" t="str">
        <f>IF('AW Schüler'!$J45=0,"x",E15/'AW Schüler'!$J45)</f>
        <v>x</v>
      </c>
      <c r="K15" s="153" t="str">
        <f>IF('AW Schüler'!$M45=0,"x",F15/'AW Schüler'!$M45)</f>
        <v>x</v>
      </c>
      <c r="L15" s="154" t="str">
        <f>IF('AW Schüler'!$P45=0,"x",G15/'AW Schüler'!$P45)</f>
        <v>x</v>
      </c>
    </row>
    <row r="16" spans="1:13" ht="9" customHeight="1">
      <c r="A16" s="21" t="s">
        <v>84</v>
      </c>
      <c r="B16" s="120"/>
      <c r="C16" s="149">
        <f t="shared" si="0"/>
        <v>0</v>
      </c>
      <c r="D16" s="149">
        <f t="shared" ref="D16:E16" si="9">SUM(D34+D52)</f>
        <v>0</v>
      </c>
      <c r="E16" s="149">
        <f t="shared" si="9"/>
        <v>0</v>
      </c>
      <c r="F16" s="149">
        <f t="shared" ref="F16:G16" si="10">SUM(F34+F52)</f>
        <v>0</v>
      </c>
      <c r="G16" s="150">
        <f t="shared" si="10"/>
        <v>0</v>
      </c>
      <c r="H16" s="153" t="str">
        <f>IF('AW Schüler'!$D46=0,"x",C16/'AW Schüler'!$D46)</f>
        <v>x</v>
      </c>
      <c r="I16" s="153" t="str">
        <f>IF('AW Schüler'!$G46=0,"x",D16/'AW Schüler'!$G46)</f>
        <v>x</v>
      </c>
      <c r="J16" s="153" t="str">
        <f>IF('AW Schüler'!$J46=0,"x",E16/'AW Schüler'!$J46)</f>
        <v>x</v>
      </c>
      <c r="K16" s="153" t="str">
        <f>IF('AW Schüler'!$M46=0,"x",F16/'AW Schüler'!$M46)</f>
        <v>x</v>
      </c>
      <c r="L16" s="154" t="str">
        <f>IF('AW Schüler'!$P46=0,"x",G16/'AW Schüler'!$P46)</f>
        <v>x</v>
      </c>
    </row>
    <row r="17" spans="1:12" ht="9" customHeight="1">
      <c r="A17" s="21" t="s">
        <v>85</v>
      </c>
      <c r="B17" s="120"/>
      <c r="C17" s="149">
        <f t="shared" si="0"/>
        <v>0</v>
      </c>
      <c r="D17" s="149">
        <f t="shared" ref="D17:E17" si="11">SUM(D35+D53)</f>
        <v>0</v>
      </c>
      <c r="E17" s="149">
        <f t="shared" si="11"/>
        <v>0</v>
      </c>
      <c r="F17" s="149">
        <f t="shared" ref="F17:G17" si="12">SUM(F35+F53)</f>
        <v>0</v>
      </c>
      <c r="G17" s="150">
        <f t="shared" si="12"/>
        <v>0</v>
      </c>
      <c r="H17" s="153" t="str">
        <f>IF('AW Schüler'!$D47=0,"x",C17/'AW Schüler'!$D47)</f>
        <v>x</v>
      </c>
      <c r="I17" s="153" t="str">
        <f>IF('AW Schüler'!$G47=0,"x",D17/'AW Schüler'!$G47)</f>
        <v>x</v>
      </c>
      <c r="J17" s="153" t="str">
        <f>IF('AW Schüler'!$J47=0,"x",E17/'AW Schüler'!$J47)</f>
        <v>x</v>
      </c>
      <c r="K17" s="153" t="str">
        <f>IF('AW Schüler'!$M47=0,"x",F17/'AW Schüler'!$M47)</f>
        <v>x</v>
      </c>
      <c r="L17" s="154" t="str">
        <f>IF('AW Schüler'!$P47=0,"x",G17/'AW Schüler'!$P47)</f>
        <v>x</v>
      </c>
    </row>
    <row r="18" spans="1:12" ht="9" customHeight="1">
      <c r="A18" s="21" t="s">
        <v>86</v>
      </c>
      <c r="B18" s="120"/>
      <c r="C18" s="42">
        <f t="shared" si="0"/>
        <v>12153</v>
      </c>
      <c r="D18" s="42">
        <f t="shared" ref="D18:E18" si="13">SUM(D36+D54)</f>
        <v>11809</v>
      </c>
      <c r="E18" s="42">
        <f t="shared" si="13"/>
        <v>11894</v>
      </c>
      <c r="F18" s="42">
        <f t="shared" ref="F18:G18" si="14">SUM(F36+F54)</f>
        <v>12433</v>
      </c>
      <c r="G18" s="44">
        <f t="shared" si="14"/>
        <v>13659</v>
      </c>
      <c r="H18" s="182">
        <v>0</v>
      </c>
      <c r="I18" s="182">
        <v>0</v>
      </c>
      <c r="J18" s="182">
        <v>0</v>
      </c>
      <c r="K18" s="182">
        <v>0</v>
      </c>
      <c r="L18" s="196">
        <v>0</v>
      </c>
    </row>
    <row r="19" spans="1:12" ht="9" customHeight="1">
      <c r="A19" s="21" t="s">
        <v>87</v>
      </c>
      <c r="B19" s="120"/>
      <c r="C19" s="149">
        <f t="shared" si="0"/>
        <v>0</v>
      </c>
      <c r="D19" s="149">
        <f t="shared" ref="D19:E19" si="15">SUM(D37+D55)</f>
        <v>0</v>
      </c>
      <c r="E19" s="149">
        <f t="shared" si="15"/>
        <v>0</v>
      </c>
      <c r="F19" s="149">
        <f t="shared" ref="F19:G19" si="16">SUM(F37+F55)</f>
        <v>0</v>
      </c>
      <c r="G19" s="150">
        <f t="shared" si="16"/>
        <v>0</v>
      </c>
      <c r="H19" s="153" t="str">
        <f>IF('AW Schüler'!$D49=0,"x",C19/'AW Schüler'!$D49)</f>
        <v>x</v>
      </c>
      <c r="I19" s="153" t="str">
        <f>IF('AW Schüler'!$G49=0,"x",D19/'AW Schüler'!$G49)</f>
        <v>x</v>
      </c>
      <c r="J19" s="153" t="str">
        <f>IF('AW Schüler'!$J49=0,"x",E19/'AW Schüler'!$J49)</f>
        <v>x</v>
      </c>
      <c r="K19" s="153" t="str">
        <f>IF('AW Schüler'!$M49=0,"x",F19/'AW Schüler'!$M49)</f>
        <v>x</v>
      </c>
      <c r="L19" s="154" t="str">
        <f>IF('AW Schüler'!$P49=0,"x",G19/'AW Schüler'!$P49)</f>
        <v>x</v>
      </c>
    </row>
    <row r="20" spans="1:12" ht="9" customHeight="1">
      <c r="A20" s="21" t="s">
        <v>88</v>
      </c>
      <c r="B20" s="120"/>
      <c r="C20" s="42">
        <f t="shared" si="0"/>
        <v>35398</v>
      </c>
      <c r="D20" s="42">
        <f t="shared" ref="D20:E20" si="17">SUM(D38+D56)</f>
        <v>30555</v>
      </c>
      <c r="E20" s="42">
        <f t="shared" si="17"/>
        <v>26054</v>
      </c>
      <c r="F20" s="42">
        <f t="shared" ref="F20:G20" si="18">SUM(F38+F56)</f>
        <v>21785</v>
      </c>
      <c r="G20" s="44">
        <f t="shared" si="18"/>
        <v>18031</v>
      </c>
      <c r="H20" s="182">
        <v>0</v>
      </c>
      <c r="I20" s="182">
        <v>0</v>
      </c>
      <c r="J20" s="182">
        <v>0</v>
      </c>
      <c r="K20" s="182">
        <v>0</v>
      </c>
      <c r="L20" s="196">
        <v>0</v>
      </c>
    </row>
    <row r="21" spans="1:12" ht="9" customHeight="1">
      <c r="A21" s="21" t="s">
        <v>89</v>
      </c>
      <c r="B21" s="120"/>
      <c r="C21" s="42">
        <f t="shared" si="0"/>
        <v>83341</v>
      </c>
      <c r="D21" s="42">
        <f t="shared" ref="D21:E21" si="19">SUM(D39+D57)</f>
        <v>78192</v>
      </c>
      <c r="E21" s="42">
        <f t="shared" si="19"/>
        <v>69769</v>
      </c>
      <c r="F21" s="42">
        <f t="shared" ref="F21:G21" si="20">SUM(F39+F57)</f>
        <v>60894</v>
      </c>
      <c r="G21" s="44">
        <f t="shared" si="20"/>
        <v>52269</v>
      </c>
      <c r="H21" s="153">
        <f>IF('AW Schüler'!$D51=0,"x",C21/'AW Schüler'!$D51)</f>
        <v>0.5237685239884865</v>
      </c>
      <c r="I21" s="153">
        <f>IF('AW Schüler'!$G51=0,"x",D21/'AW Schüler'!$G51)</f>
        <v>0.56012665028618092</v>
      </c>
      <c r="J21" s="153">
        <f>IF('AW Schüler'!$J51=0,"x",E21/'AW Schüler'!$J51)</f>
        <v>0.58534968789851671</v>
      </c>
      <c r="K21" s="153">
        <f>IF('AW Schüler'!$M51=0,"x",F21/'AW Schüler'!$M51)</f>
        <v>0.58848997342353226</v>
      </c>
      <c r="L21" s="154">
        <f>IF('AW Schüler'!$P51=0,"x",G21/'AW Schüler'!$P51)</f>
        <v>0.5939794086229232</v>
      </c>
    </row>
    <row r="22" spans="1:12" ht="9" customHeight="1">
      <c r="A22" s="21" t="s">
        <v>90</v>
      </c>
      <c r="B22" s="120"/>
      <c r="C22" s="42">
        <f t="shared" si="0"/>
        <v>577</v>
      </c>
      <c r="D22" s="42">
        <f t="shared" ref="D22:E22" si="21">SUM(D40+D58)</f>
        <v>101</v>
      </c>
      <c r="E22" s="42">
        <f t="shared" si="21"/>
        <v>111</v>
      </c>
      <c r="F22" s="42">
        <f t="shared" ref="F22:G22" si="22">SUM(F40+F58)</f>
        <v>99</v>
      </c>
      <c r="G22" s="44">
        <f t="shared" si="22"/>
        <v>66</v>
      </c>
      <c r="H22" s="153">
        <f>IF('AW Schüler'!$D52=0,"x",C22/'AW Schüler'!$D52)</f>
        <v>0.33449275362318842</v>
      </c>
      <c r="I22" s="153">
        <f>IF('AW Schüler'!$G52=0,"x",D22/'AW Schüler'!$G52)</f>
        <v>0.18003565062388591</v>
      </c>
      <c r="J22" s="153">
        <f>IF('AW Schüler'!$J52=0,"x",E22/'AW Schüler'!$J52)</f>
        <v>0.23319327731092437</v>
      </c>
      <c r="K22" s="153">
        <f>IF('AW Schüler'!$M52=0,"x",F22/'AW Schüler'!$M52)</f>
        <v>0.22</v>
      </c>
      <c r="L22" s="154">
        <f>IF('AW Schüler'!$P52=0,"x",G22/'AW Schüler'!$P52)</f>
        <v>0.15</v>
      </c>
    </row>
    <row r="23" spans="1:12" ht="9" customHeight="1">
      <c r="A23" s="21" t="s">
        <v>91</v>
      </c>
      <c r="B23" s="120"/>
      <c r="C23" s="42">
        <f t="shared" si="0"/>
        <v>47</v>
      </c>
      <c r="D23" s="42">
        <f t="shared" ref="D23:E23" si="23">SUM(D41+D59)</f>
        <v>16</v>
      </c>
      <c r="E23" s="42">
        <f t="shared" si="23"/>
        <v>21</v>
      </c>
      <c r="F23" s="149">
        <f t="shared" ref="F23:G23" si="24">SUM(F41+F59)</f>
        <v>0</v>
      </c>
      <c r="G23" s="150">
        <f t="shared" si="24"/>
        <v>0</v>
      </c>
      <c r="H23" s="153">
        <f>IF('AW Schüler'!$D53=0,"x",C23/'AW Schüler'!$D53)</f>
        <v>0.17602996254681649</v>
      </c>
      <c r="I23" s="153">
        <f>IF('AW Schüler'!$G53=0,"x",D23/'AW Schüler'!$G53)</f>
        <v>6.1068702290076333E-2</v>
      </c>
      <c r="J23" s="153">
        <f>IF('AW Schüler'!$J53=0,"x",E23/'AW Schüler'!$J53)</f>
        <v>7.7490774907749083E-2</v>
      </c>
      <c r="K23" s="153" t="str">
        <f>IF('AW Schüler'!$M53=0,"x",F23/'AW Schüler'!$M53)</f>
        <v>x</v>
      </c>
      <c r="L23" s="154" t="str">
        <f>IF('AW Schüler'!$P53=0,"x",G23/'AW Schüler'!$P53)</f>
        <v>x</v>
      </c>
    </row>
    <row r="24" spans="1:12" ht="9" customHeight="1">
      <c r="A24" s="21" t="s">
        <v>92</v>
      </c>
      <c r="B24" s="120"/>
      <c r="C24" s="149">
        <f t="shared" si="0"/>
        <v>0</v>
      </c>
      <c r="D24" s="149">
        <f t="shared" ref="D24:E24" si="25">SUM(D42+D60)</f>
        <v>0</v>
      </c>
      <c r="E24" s="149">
        <f t="shared" si="25"/>
        <v>0</v>
      </c>
      <c r="F24" s="149">
        <f t="shared" ref="F24:G24" si="26">SUM(F42+F60)</f>
        <v>0</v>
      </c>
      <c r="G24" s="150">
        <f t="shared" si="26"/>
        <v>0</v>
      </c>
      <c r="H24" s="153" t="str">
        <f>IF('AW Schüler'!$D54=0,"x",C24/'AW Schüler'!$D54)</f>
        <v>x</v>
      </c>
      <c r="I24" s="153" t="str">
        <f>IF('AW Schüler'!$G54=0,"x",D24/'AW Schüler'!$G54)</f>
        <v>x</v>
      </c>
      <c r="J24" s="153" t="str">
        <f>IF('AW Schüler'!$J54=0,"x",E24/'AW Schüler'!$J54)</f>
        <v>x</v>
      </c>
      <c r="K24" s="153" t="str">
        <f>IF('AW Schüler'!$M54=0,"x",F24/'AW Schüler'!$M54)</f>
        <v>x</v>
      </c>
      <c r="L24" s="154" t="str">
        <f>IF('AW Schüler'!$P54=0,"x",G24/'AW Schüler'!$P54)</f>
        <v>x</v>
      </c>
    </row>
    <row r="25" spans="1:12" ht="9" customHeight="1">
      <c r="A25" s="21" t="s">
        <v>93</v>
      </c>
      <c r="B25" s="120"/>
      <c r="C25" s="149">
        <f t="shared" si="0"/>
        <v>0</v>
      </c>
      <c r="D25" s="149">
        <f t="shared" ref="D25:E25" si="27">SUM(D43+D61)</f>
        <v>0</v>
      </c>
      <c r="E25" s="149">
        <f t="shared" si="27"/>
        <v>0</v>
      </c>
      <c r="F25" s="149">
        <f t="shared" ref="F25:G25" si="28">SUM(F43+F61)</f>
        <v>0</v>
      </c>
      <c r="G25" s="150">
        <f t="shared" si="28"/>
        <v>0</v>
      </c>
      <c r="H25" s="153" t="str">
        <f>IF('AW Schüler'!$D55=0,"x",C25/'AW Schüler'!$D55)</f>
        <v>x</v>
      </c>
      <c r="I25" s="153" t="str">
        <f>IF('AW Schüler'!$G55=0,"x",D25/'AW Schüler'!$G55)</f>
        <v>x</v>
      </c>
      <c r="J25" s="153" t="str">
        <f>IF('AW Schüler'!$J55=0,"x",E25/'AW Schüler'!$J55)</f>
        <v>x</v>
      </c>
      <c r="K25" s="153" t="str">
        <f>IF('AW Schüler'!$M55=0,"x",F25/'AW Schüler'!$M55)</f>
        <v>x</v>
      </c>
      <c r="L25" s="154" t="str">
        <f>IF('AW Schüler'!$P55=0,"x",G25/'AW Schüler'!$P55)</f>
        <v>x</v>
      </c>
    </row>
    <row r="26" spans="1:12" ht="9" customHeight="1">
      <c r="A26" s="21" t="s">
        <v>94</v>
      </c>
      <c r="B26" s="120"/>
      <c r="C26" s="42">
        <f t="shared" si="0"/>
        <v>1013</v>
      </c>
      <c r="D26" s="42">
        <f t="shared" ref="D26:E26" si="29">SUM(D44+D62)</f>
        <v>230</v>
      </c>
      <c r="E26" s="42">
        <f t="shared" si="29"/>
        <v>26</v>
      </c>
      <c r="F26" s="149">
        <f t="shared" ref="F26:G26" si="30">SUM(F44+F62)</f>
        <v>0</v>
      </c>
      <c r="G26" s="150">
        <f t="shared" si="30"/>
        <v>0</v>
      </c>
      <c r="H26" s="153">
        <f>IF('AW Schüler'!$D56=0,"x",C26/'AW Schüler'!$D56)</f>
        <v>0.25130240635078144</v>
      </c>
      <c r="I26" s="153">
        <f>IF('AW Schüler'!$G56=0,"x",D26/'AW Schüler'!$G56)</f>
        <v>0.25191675794085433</v>
      </c>
      <c r="J26" s="153">
        <f>IF('AW Schüler'!$J56=0,"x",E26/'AW Schüler'!$J56)</f>
        <v>0.28260869565217389</v>
      </c>
      <c r="K26" s="153" t="str">
        <f>IF('AW Schüler'!$M56=0,"x",F26/'AW Schüler'!$M56)</f>
        <v>x</v>
      </c>
      <c r="L26" s="154" t="str">
        <f>IF('AW Schüler'!$P56=0,"x",G26/'AW Schüler'!$P56)</f>
        <v>x</v>
      </c>
    </row>
    <row r="27" spans="1:12" ht="9" customHeight="1">
      <c r="A27" s="21" t="s">
        <v>95</v>
      </c>
      <c r="B27" s="120"/>
      <c r="C27" s="149">
        <f t="shared" si="0"/>
        <v>0</v>
      </c>
      <c r="D27" s="149">
        <f t="shared" ref="D27:E27" si="31">SUM(D45+D63)</f>
        <v>0</v>
      </c>
      <c r="E27" s="149">
        <f t="shared" si="31"/>
        <v>0</v>
      </c>
      <c r="F27" s="149">
        <f t="shared" ref="F27:G27" si="32">SUM(F45+F63)</f>
        <v>0</v>
      </c>
      <c r="G27" s="150">
        <f t="shared" si="32"/>
        <v>0</v>
      </c>
      <c r="H27" s="153" t="str">
        <f>IF('AW Schüler'!$D57=0,"x",C27/'AW Schüler'!$D57)</f>
        <v>x</v>
      </c>
      <c r="I27" s="153" t="str">
        <f>IF('AW Schüler'!$G57=0,"x",D27/'AW Schüler'!$G57)</f>
        <v>x</v>
      </c>
      <c r="J27" s="153" t="str">
        <f>IF('AW Schüler'!$J57=0,"x",E27/'AW Schüler'!$J57)</f>
        <v>x</v>
      </c>
      <c r="K27" s="153" t="str">
        <f>IF('AW Schüler'!$M57=0,"x",F27/'AW Schüler'!$M57)</f>
        <v>x</v>
      </c>
      <c r="L27" s="154" t="str">
        <f>IF('AW Schüler'!$P57=0,"x",G27/'AW Schüler'!$P57)</f>
        <v>x</v>
      </c>
    </row>
    <row r="28" spans="1:12" ht="9" customHeight="1">
      <c r="A28" s="21" t="s">
        <v>96</v>
      </c>
      <c r="B28" s="120"/>
      <c r="C28" s="42">
        <f t="shared" si="0"/>
        <v>239248</v>
      </c>
      <c r="D28" s="42">
        <f t="shared" ref="D28:E28" si="33">SUM(D46+D64)</f>
        <v>228937</v>
      </c>
      <c r="E28" s="42">
        <f t="shared" si="33"/>
        <v>210912</v>
      </c>
      <c r="F28" s="42">
        <f t="shared" ref="F28:G28" si="34">SUM(F46+F64)</f>
        <v>195692</v>
      </c>
      <c r="G28" s="44">
        <f t="shared" si="34"/>
        <v>178535</v>
      </c>
      <c r="H28" s="153">
        <f>IF('AW Schüler'!$D58=0,"x",C28/'AW Schüler'!$D58)</f>
        <v>0.39521606977666179</v>
      </c>
      <c r="I28" s="153">
        <f>IF('AW Schüler'!$G58=0,"x",D28/'AW Schüler'!$G58)</f>
        <v>0.41494390372102297</v>
      </c>
      <c r="J28" s="153">
        <f>IF('AW Schüler'!$J58=0,"x",E28/'AW Schüler'!$J58)</f>
        <v>0.41673895131604166</v>
      </c>
      <c r="K28" s="153">
        <f>IF('AW Schüler'!$M58=0,"x",F28/'AW Schüler'!$M58)</f>
        <v>0.41862654076695005</v>
      </c>
      <c r="L28" s="154">
        <f>IF('AW Schüler'!$P58=0,"x",G28/'AW Schüler'!$P58)</f>
        <v>0.41400668310001226</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'3.2.4'!C30+'3.3.4'!C30</f>
        <v>44638</v>
      </c>
      <c r="D30" s="23">
        <f>'3.2.4'!D30+'3.3.4'!D30</f>
        <v>40884</v>
      </c>
      <c r="E30" s="23">
        <f>'3.2.4'!E30+'3.3.4'!E30</f>
        <v>35818</v>
      </c>
      <c r="F30" s="23">
        <f>'3.2.4'!F30+'3.3.4'!F30</f>
        <v>33056</v>
      </c>
      <c r="G30" s="34">
        <f>'3.2.4'!G30+'3.3.4'!G30</f>
        <v>25897</v>
      </c>
      <c r="H30" s="155">
        <f>IF('AW Schüler'!$D42=0,"x",C30/'AW Schüler'!$D42)</f>
        <v>0.31550303218784015</v>
      </c>
      <c r="I30" s="155">
        <f>IF('AW Schüler'!$G42=0,"x",D30/'AW Schüler'!$G42)</f>
        <v>0.32174898479554254</v>
      </c>
      <c r="J30" s="155">
        <f>IF('AW Schüler'!$J42=0,"x",E30/'AW Schüler'!$J42)</f>
        <v>0.31406074635241304</v>
      </c>
      <c r="K30" s="155">
        <f>IF('AW Schüler'!$M42=0,"x",F30/'AW Schüler'!$M42)</f>
        <v>0.33131871986849887</v>
      </c>
      <c r="L30" s="156">
        <f>IF('AW Schüler'!$P42=0,"x",G30/'AW Schüler'!$P42)</f>
        <v>0.30929915918211354</v>
      </c>
    </row>
    <row r="31" spans="1:12" ht="9" customHeight="1">
      <c r="A31" s="21" t="s">
        <v>81</v>
      </c>
      <c r="B31" s="120"/>
      <c r="C31" s="23">
        <f>'3.2.4'!C31+'3.3.4'!C31</f>
        <v>32033</v>
      </c>
      <c r="D31" s="23">
        <f>'3.2.4'!D31+'3.3.4'!D31</f>
        <v>35400</v>
      </c>
      <c r="E31" s="23">
        <f>'3.2.4'!E31+'3.3.4'!E31</f>
        <v>36118</v>
      </c>
      <c r="F31" s="23">
        <f>'3.2.4'!F31+'3.3.4'!F31</f>
        <v>36428</v>
      </c>
      <c r="G31" s="34">
        <f>'3.2.4'!G31+'3.3.4'!G31</f>
        <v>37314</v>
      </c>
      <c r="H31" s="155">
        <f>IF('AW Schüler'!$D43=0,"x",C31/'AW Schüler'!$D43)</f>
        <v>0.15386056341410698</v>
      </c>
      <c r="I31" s="155">
        <f>IF('AW Schüler'!$G43=0,"x",D31/'AW Schüler'!$G43)</f>
        <v>0.17270483085659644</v>
      </c>
      <c r="J31" s="155">
        <f>IF('AW Schüler'!$J43=0,"x",E31/'AW Schüler'!$J43)</f>
        <v>0.17808786548986735</v>
      </c>
      <c r="K31" s="155">
        <f>IF('AW Schüler'!$M43=0,"x",F31/'AW Schüler'!$M43)</f>
        <v>0.18016182318146748</v>
      </c>
      <c r="L31" s="156">
        <f>IF('AW Schüler'!$P43=0,"x",G31/'AW Schüler'!$P43)</f>
        <v>0.18383544771523586</v>
      </c>
    </row>
    <row r="32" spans="1:12" ht="9" customHeight="1">
      <c r="A32" s="21" t="s">
        <v>82</v>
      </c>
      <c r="B32" s="120"/>
      <c r="C32" s="151">
        <f>'3.2.4'!C32+'3.3.4'!C32</f>
        <v>0</v>
      </c>
      <c r="D32" s="151">
        <f>'3.2.4'!D32+'3.3.4'!D32</f>
        <v>0</v>
      </c>
      <c r="E32" s="151">
        <f>'3.2.4'!E32+'3.3.4'!E32</f>
        <v>0</v>
      </c>
      <c r="F32" s="151">
        <f>'3.2.4'!F32+'3.3.4'!F32</f>
        <v>0</v>
      </c>
      <c r="G32" s="152">
        <f>'3.2.4'!G32+'3.3.4'!G32</f>
        <v>0</v>
      </c>
      <c r="H32" s="193">
        <f>IF('AW Schüler'!$D44=0,"x",C32/'AW Schüler'!$D44)</f>
        <v>0</v>
      </c>
      <c r="I32" s="193">
        <f>IF('AW Schüler'!$G44=0,"x",D32/'AW Schüler'!$G44)</f>
        <v>0</v>
      </c>
      <c r="J32" s="193" t="str">
        <f>IF('AW Schüler'!$J44=0,"x",E32/'AW Schüler'!$J44)</f>
        <v>x</v>
      </c>
      <c r="K32" s="193" t="str">
        <f>IF('AW Schüler'!$M44=0,"x",F32/'AW Schüler'!$M44)</f>
        <v>x</v>
      </c>
      <c r="L32" s="194" t="str">
        <f>IF('AW Schüler'!$P44=0,"x",G32/'AW Schüler'!$P44)</f>
        <v>x</v>
      </c>
    </row>
    <row r="33" spans="1:12" ht="9" customHeight="1">
      <c r="A33" s="21" t="s">
        <v>83</v>
      </c>
      <c r="B33" s="120"/>
      <c r="C33" s="151">
        <f>'3.2.4'!C33+'3.3.4'!C33</f>
        <v>0</v>
      </c>
      <c r="D33" s="151">
        <f>'3.2.4'!D33+'3.3.4'!D33</f>
        <v>0</v>
      </c>
      <c r="E33" s="151">
        <f>'3.2.4'!E33+'3.3.4'!E33</f>
        <v>0</v>
      </c>
      <c r="F33" s="151">
        <f>'3.2.4'!F33+'3.3.4'!F33</f>
        <v>0</v>
      </c>
      <c r="G33" s="152">
        <f>'3.2.4'!G33+'3.3.4'!G33</f>
        <v>0</v>
      </c>
      <c r="H33" s="155" t="str">
        <f>IF('AW Schüler'!$D45=0,"x",C33/'AW Schüler'!$D45)</f>
        <v>x</v>
      </c>
      <c r="I33" s="155" t="str">
        <f>IF('AW Schüler'!$G45=0,"x",D33/'AW Schüler'!$G45)</f>
        <v>x</v>
      </c>
      <c r="J33" s="155" t="str">
        <f>IF('AW Schüler'!$J45=0,"x",E33/'AW Schüler'!$J45)</f>
        <v>x</v>
      </c>
      <c r="K33" s="155" t="str">
        <f>IF('AW Schüler'!$M45=0,"x",F33/'AW Schüler'!$M45)</f>
        <v>x</v>
      </c>
      <c r="L33" s="156" t="str">
        <f>IF('AW Schüler'!$P45=0,"x",G33/'AW Schüler'!$P45)</f>
        <v>x</v>
      </c>
    </row>
    <row r="34" spans="1:12" ht="9" customHeight="1">
      <c r="A34" s="21" t="s">
        <v>84</v>
      </c>
      <c r="B34" s="120"/>
      <c r="C34" s="151">
        <f>'3.2.4'!C34+'3.3.4'!C34</f>
        <v>0</v>
      </c>
      <c r="D34" s="151">
        <f>'3.2.4'!D34+'3.3.4'!D34</f>
        <v>0</v>
      </c>
      <c r="E34" s="151">
        <f>'3.2.4'!E34+'3.3.4'!E34</f>
        <v>0</v>
      </c>
      <c r="F34" s="151">
        <f>'3.2.4'!F34+'3.3.4'!F34</f>
        <v>0</v>
      </c>
      <c r="G34" s="152">
        <f>'3.2.4'!G34+'3.3.4'!G34</f>
        <v>0</v>
      </c>
      <c r="H34" s="155" t="str">
        <f>IF('AW Schüler'!$D46=0,"x",C34/'AW Schüler'!$D46)</f>
        <v>x</v>
      </c>
      <c r="I34" s="155" t="str">
        <f>IF('AW Schüler'!$G46=0,"x",D34/'AW Schüler'!$G46)</f>
        <v>x</v>
      </c>
      <c r="J34" s="155" t="str">
        <f>IF('AW Schüler'!$J46=0,"x",E34/'AW Schüler'!$J46)</f>
        <v>x</v>
      </c>
      <c r="K34" s="155" t="str">
        <f>IF('AW Schüler'!$M46=0,"x",F34/'AW Schüler'!$M46)</f>
        <v>x</v>
      </c>
      <c r="L34" s="156" t="str">
        <f>IF('AW Schüler'!$P46=0,"x",G34/'AW Schüler'!$P46)</f>
        <v>x</v>
      </c>
    </row>
    <row r="35" spans="1:12" ht="9" customHeight="1">
      <c r="A35" s="21" t="s">
        <v>85</v>
      </c>
      <c r="B35" s="120"/>
      <c r="C35" s="151">
        <f>'3.2.4'!C35+'3.3.4'!C35</f>
        <v>0</v>
      </c>
      <c r="D35" s="151">
        <f>'3.2.4'!D35+'3.3.4'!D35</f>
        <v>0</v>
      </c>
      <c r="E35" s="151">
        <f>'3.2.4'!E35+'3.3.4'!E35</f>
        <v>0</v>
      </c>
      <c r="F35" s="151">
        <f>'3.2.4'!F35+'3.3.4'!F35</f>
        <v>0</v>
      </c>
      <c r="G35" s="152">
        <f>'3.2.4'!G35+'3.3.4'!G35</f>
        <v>0</v>
      </c>
      <c r="H35" s="155" t="str">
        <f>IF('AW Schüler'!$D47=0,"x",C35/'AW Schüler'!$D47)</f>
        <v>x</v>
      </c>
      <c r="I35" s="155" t="str">
        <f>IF('AW Schüler'!$G47=0,"x",D35/'AW Schüler'!$G47)</f>
        <v>x</v>
      </c>
      <c r="J35" s="155" t="str">
        <f>IF('AW Schüler'!$J47=0,"x",E35/'AW Schüler'!$J47)</f>
        <v>x</v>
      </c>
      <c r="K35" s="155" t="str">
        <f>IF('AW Schüler'!$M47=0,"x",F35/'AW Schüler'!$M47)</f>
        <v>x</v>
      </c>
      <c r="L35" s="156" t="str">
        <f>IF('AW Schüler'!$P47=0,"x",G35/'AW Schüler'!$P47)</f>
        <v>x</v>
      </c>
    </row>
    <row r="36" spans="1:12" ht="9" customHeight="1">
      <c r="A36" s="21" t="s">
        <v>86</v>
      </c>
      <c r="B36" s="120"/>
      <c r="C36" s="23">
        <f>'3.2.4'!C36+'3.3.4'!C36</f>
        <v>983</v>
      </c>
      <c r="D36" s="23">
        <f>'3.2.4'!D36+'3.3.4'!D36</f>
        <v>931</v>
      </c>
      <c r="E36" s="23">
        <f>'3.2.4'!E36+'3.3.4'!E36</f>
        <v>962</v>
      </c>
      <c r="F36" s="23">
        <f>'3.2.4'!F36+'3.3.4'!F36</f>
        <v>1036</v>
      </c>
      <c r="G36" s="34">
        <f>'3.2.4'!G36+'3.3.4'!G36</f>
        <v>1302</v>
      </c>
      <c r="H36" s="183">
        <v>0</v>
      </c>
      <c r="I36" s="183">
        <v>0</v>
      </c>
      <c r="J36" s="183">
        <v>0</v>
      </c>
      <c r="K36" s="183">
        <v>0</v>
      </c>
      <c r="L36" s="197">
        <v>0</v>
      </c>
    </row>
    <row r="37" spans="1:12" ht="9" customHeight="1">
      <c r="A37" s="21" t="s">
        <v>87</v>
      </c>
      <c r="B37" s="120"/>
      <c r="C37" s="151">
        <f>'3.2.4'!C37+'3.3.4'!C37</f>
        <v>0</v>
      </c>
      <c r="D37" s="151">
        <f>'3.2.4'!D37+'3.3.4'!D37</f>
        <v>0</v>
      </c>
      <c r="E37" s="151">
        <f>'3.2.4'!E37+'3.3.4'!E37</f>
        <v>0</v>
      </c>
      <c r="F37" s="151">
        <f>'3.2.4'!F37+'3.3.4'!F37</f>
        <v>0</v>
      </c>
      <c r="G37" s="152">
        <f>'3.2.4'!G37+'3.3.4'!G37</f>
        <v>0</v>
      </c>
      <c r="H37" s="155" t="str">
        <f>IF('AW Schüler'!$D49=0,"x",C37/'AW Schüler'!$D49)</f>
        <v>x</v>
      </c>
      <c r="I37" s="155" t="str">
        <f>IF('AW Schüler'!$G49=0,"x",D37/'AW Schüler'!$G49)</f>
        <v>x</v>
      </c>
      <c r="J37" s="155" t="str">
        <f>IF('AW Schüler'!$J49=0,"x",E37/'AW Schüler'!$J49)</f>
        <v>x</v>
      </c>
      <c r="K37" s="155" t="str">
        <f>IF('AW Schüler'!$M49=0,"x",F37/'AW Schüler'!$M49)</f>
        <v>x</v>
      </c>
      <c r="L37" s="156" t="str">
        <f>IF('AW Schüler'!$P49=0,"x",G37/'AW Schüler'!$P49)</f>
        <v>x</v>
      </c>
    </row>
    <row r="38" spans="1:12" ht="9" customHeight="1">
      <c r="A38" s="21" t="s">
        <v>88</v>
      </c>
      <c r="B38" s="120"/>
      <c r="C38" s="23">
        <f>'3.2.4'!C38+'3.3.4'!C38</f>
        <v>13563</v>
      </c>
      <c r="D38" s="23">
        <f>'3.2.4'!D38+'3.3.4'!D38</f>
        <v>11930</v>
      </c>
      <c r="E38" s="23">
        <f>'3.2.4'!E38+'3.3.4'!E38</f>
        <v>11061</v>
      </c>
      <c r="F38" s="23">
        <f>'3.2.4'!F38+'3.3.4'!F38</f>
        <v>9710</v>
      </c>
      <c r="G38" s="34">
        <f>'3.2.4'!G38+'3.3.4'!G38</f>
        <v>8431</v>
      </c>
      <c r="H38" s="183">
        <v>0</v>
      </c>
      <c r="I38" s="183">
        <v>0</v>
      </c>
      <c r="J38" s="183">
        <v>0</v>
      </c>
      <c r="K38" s="183">
        <v>0</v>
      </c>
      <c r="L38" s="197">
        <v>0</v>
      </c>
    </row>
    <row r="39" spans="1:12" ht="9" customHeight="1">
      <c r="A39" s="21" t="s">
        <v>89</v>
      </c>
      <c r="B39" s="120"/>
      <c r="C39" s="23">
        <f>'3.2.4'!C39+'3.3.4'!C39</f>
        <v>83341</v>
      </c>
      <c r="D39" s="23">
        <f>'3.2.4'!D39+'3.3.4'!D39</f>
        <v>78192</v>
      </c>
      <c r="E39" s="23">
        <f>'3.2.4'!E39+'3.3.4'!E39</f>
        <v>69769</v>
      </c>
      <c r="F39" s="23">
        <f>'3.2.4'!F39+'3.3.4'!F39</f>
        <v>60894</v>
      </c>
      <c r="G39" s="34">
        <f>'3.2.4'!G39+'3.3.4'!G39</f>
        <v>52269</v>
      </c>
      <c r="H39" s="155">
        <f>IF('AW Schüler'!$D51=0,"x",C39/'AW Schüler'!$D51)</f>
        <v>0.5237685239884865</v>
      </c>
      <c r="I39" s="155">
        <f>IF('AW Schüler'!$G51=0,"x",D39/'AW Schüler'!$G51)</f>
        <v>0.56012665028618092</v>
      </c>
      <c r="J39" s="155">
        <f>IF('AW Schüler'!$J51=0,"x",E39/'AW Schüler'!$J51)</f>
        <v>0.58534968789851671</v>
      </c>
      <c r="K39" s="155">
        <f>IF('AW Schüler'!$M51=0,"x",F39/'AW Schüler'!$M51)</f>
        <v>0.58848997342353226</v>
      </c>
      <c r="L39" s="156">
        <f>IF('AW Schüler'!$P51=0,"x",G39/'AW Schüler'!$P51)</f>
        <v>0.5939794086229232</v>
      </c>
    </row>
    <row r="40" spans="1:12" ht="9" customHeight="1">
      <c r="A40" s="21" t="s">
        <v>90</v>
      </c>
      <c r="B40" s="120"/>
      <c r="C40" s="23">
        <f>'3.2.4'!C40+'3.3.4'!C40</f>
        <v>577</v>
      </c>
      <c r="D40" s="23">
        <f>'3.2.4'!D40+'3.3.4'!D40</f>
        <v>101</v>
      </c>
      <c r="E40" s="23">
        <f>'3.2.4'!E40+'3.3.4'!E40</f>
        <v>111</v>
      </c>
      <c r="F40" s="23">
        <f>'3.2.4'!F40+'3.3.4'!F40</f>
        <v>99</v>
      </c>
      <c r="G40" s="34">
        <f>'3.2.4'!G40+'3.3.4'!G40</f>
        <v>66</v>
      </c>
      <c r="H40" s="155">
        <f>IF('AW Schüler'!$D52=0,"x",C40/'AW Schüler'!$D52)</f>
        <v>0.33449275362318842</v>
      </c>
      <c r="I40" s="155">
        <f>IF('AW Schüler'!$G52=0,"x",D40/'AW Schüler'!$G52)</f>
        <v>0.18003565062388591</v>
      </c>
      <c r="J40" s="155">
        <f>IF('AW Schüler'!$J52=0,"x",E40/'AW Schüler'!$J52)</f>
        <v>0.23319327731092437</v>
      </c>
      <c r="K40" s="155">
        <f>IF('AW Schüler'!$M52=0,"x",F40/'AW Schüler'!$M52)</f>
        <v>0.22</v>
      </c>
      <c r="L40" s="156">
        <f>IF('AW Schüler'!$P52=0,"x",G40/'AW Schüler'!$P52)</f>
        <v>0.15</v>
      </c>
    </row>
    <row r="41" spans="1:12" ht="9" customHeight="1">
      <c r="A41" s="21" t="s">
        <v>91</v>
      </c>
      <c r="B41" s="120"/>
      <c r="C41" s="23">
        <f>'3.2.4'!C41+'3.3.4'!C41</f>
        <v>0</v>
      </c>
      <c r="D41" s="23">
        <f>'3.2.4'!D41+'3.3.4'!D41</f>
        <v>0</v>
      </c>
      <c r="E41" s="23">
        <f>'3.2.4'!E41+'3.3.4'!E41</f>
        <v>0</v>
      </c>
      <c r="F41" s="151">
        <f>'3.2.4'!F41+'3.3.4'!F41</f>
        <v>0</v>
      </c>
      <c r="G41" s="152">
        <f>'3.2.4'!G41+'3.3.4'!G41</f>
        <v>0</v>
      </c>
      <c r="H41" s="155">
        <f>IF('AW Schüler'!$D53=0,"x",C41/'AW Schüler'!$D53)</f>
        <v>0</v>
      </c>
      <c r="I41" s="155">
        <f>IF('AW Schüler'!$G53=0,"x",D41/'AW Schüler'!$G53)</f>
        <v>0</v>
      </c>
      <c r="J41" s="155">
        <f>IF('AW Schüler'!$J53=0,"x",E41/'AW Schüler'!$J53)</f>
        <v>0</v>
      </c>
      <c r="K41" s="155" t="str">
        <f>IF('AW Schüler'!$M53=0,"x",F41/'AW Schüler'!$M53)</f>
        <v>x</v>
      </c>
      <c r="L41" s="156" t="str">
        <f>IF('AW Schüler'!$P53=0,"x",G41/'AW Schüler'!$P53)</f>
        <v>x</v>
      </c>
    </row>
    <row r="42" spans="1:12" ht="9" customHeight="1">
      <c r="A42" s="21" t="s">
        <v>92</v>
      </c>
      <c r="B42" s="120"/>
      <c r="C42" s="151">
        <f>'3.2.4'!C42+'3.3.4'!C42</f>
        <v>0</v>
      </c>
      <c r="D42" s="151">
        <f>'3.2.4'!D42+'3.3.4'!D42</f>
        <v>0</v>
      </c>
      <c r="E42" s="151">
        <f>'3.2.4'!E42+'3.3.4'!E42</f>
        <v>0</v>
      </c>
      <c r="F42" s="151">
        <f>'3.2.4'!F42+'3.3.4'!F42</f>
        <v>0</v>
      </c>
      <c r="G42" s="152">
        <f>'3.2.4'!G42+'3.3.4'!G42</f>
        <v>0</v>
      </c>
      <c r="H42" s="155" t="str">
        <f>IF('AW Schüler'!$D54=0,"x",C42/'AW Schüler'!$D54)</f>
        <v>x</v>
      </c>
      <c r="I42" s="155" t="str">
        <f>IF('AW Schüler'!$G54=0,"x",D42/'AW Schüler'!$G54)</f>
        <v>x</v>
      </c>
      <c r="J42" s="155" t="str">
        <f>IF('AW Schüler'!$J54=0,"x",E42/'AW Schüler'!$J54)</f>
        <v>x</v>
      </c>
      <c r="K42" s="155" t="str">
        <f>IF('AW Schüler'!$M54=0,"x",F42/'AW Schüler'!$M54)</f>
        <v>x</v>
      </c>
      <c r="L42" s="156" t="str">
        <f>IF('AW Schüler'!$P54=0,"x",G42/'AW Schüler'!$P54)</f>
        <v>x</v>
      </c>
    </row>
    <row r="43" spans="1:12" ht="9" customHeight="1">
      <c r="A43" s="21" t="s">
        <v>93</v>
      </c>
      <c r="B43" s="120"/>
      <c r="C43" s="151">
        <f>'3.2.4'!C43+'3.3.4'!C43</f>
        <v>0</v>
      </c>
      <c r="D43" s="151">
        <f>'3.2.4'!D43+'3.3.4'!D43</f>
        <v>0</v>
      </c>
      <c r="E43" s="151">
        <f>'3.2.4'!E43+'3.3.4'!E43</f>
        <v>0</v>
      </c>
      <c r="F43" s="151">
        <f>'3.2.4'!F43+'3.3.4'!F43</f>
        <v>0</v>
      </c>
      <c r="G43" s="152">
        <f>'3.2.4'!G43+'3.3.4'!G43</f>
        <v>0</v>
      </c>
      <c r="H43" s="155" t="str">
        <f>IF('AW Schüler'!$D55=0,"x",C43/'AW Schüler'!$D55)</f>
        <v>x</v>
      </c>
      <c r="I43" s="155" t="str">
        <f>IF('AW Schüler'!$G55=0,"x",D43/'AW Schüler'!$G55)</f>
        <v>x</v>
      </c>
      <c r="J43" s="155" t="str">
        <f>IF('AW Schüler'!$J55=0,"x",E43/'AW Schüler'!$J55)</f>
        <v>x</v>
      </c>
      <c r="K43" s="155" t="str">
        <f>IF('AW Schüler'!$M55=0,"x",F43/'AW Schüler'!$M55)</f>
        <v>x</v>
      </c>
      <c r="L43" s="156" t="str">
        <f>IF('AW Schüler'!$P55=0,"x",G43/'AW Schüler'!$P55)</f>
        <v>x</v>
      </c>
    </row>
    <row r="44" spans="1:12" ht="9" customHeight="1">
      <c r="A44" s="21" t="s">
        <v>94</v>
      </c>
      <c r="B44" s="120"/>
      <c r="C44" s="23">
        <f>'3.2.4'!C44+'3.3.4'!C44</f>
        <v>0</v>
      </c>
      <c r="D44" s="23">
        <f>'3.2.4'!D44+'3.3.4'!D44</f>
        <v>0</v>
      </c>
      <c r="E44" s="23">
        <f>'3.2.4'!E44+'3.3.4'!E44</f>
        <v>0</v>
      </c>
      <c r="F44" s="151">
        <f>'3.2.4'!F44+'3.3.4'!F44</f>
        <v>0</v>
      </c>
      <c r="G44" s="152">
        <f>'3.2.4'!G44+'3.3.4'!G44</f>
        <v>0</v>
      </c>
      <c r="H44" s="155">
        <f>IF('AW Schüler'!$D56=0,"x",C44/'AW Schüler'!$D56)</f>
        <v>0</v>
      </c>
      <c r="I44" s="155">
        <f>IF('AW Schüler'!$G56=0,"x",D44/'AW Schüler'!$G56)</f>
        <v>0</v>
      </c>
      <c r="J44" s="155">
        <f>IF('AW Schüler'!$J56=0,"x",E44/'AW Schüler'!$J56)</f>
        <v>0</v>
      </c>
      <c r="K44" s="155" t="str">
        <f>IF('AW Schüler'!$M56=0,"x",F44/'AW Schüler'!$M56)</f>
        <v>x</v>
      </c>
      <c r="L44" s="156" t="str">
        <f>IF('AW Schüler'!$P56=0,"x",G44/'AW Schüler'!$P56)</f>
        <v>x</v>
      </c>
    </row>
    <row r="45" spans="1:12" ht="9" customHeight="1">
      <c r="A45" s="21" t="s">
        <v>95</v>
      </c>
      <c r="B45" s="120"/>
      <c r="C45" s="151">
        <f>'3.2.4'!C45+'3.3.4'!C45</f>
        <v>0</v>
      </c>
      <c r="D45" s="151">
        <f>'3.2.4'!D45+'3.3.4'!D45</f>
        <v>0</v>
      </c>
      <c r="E45" s="151">
        <f>'3.2.4'!E45+'3.3.4'!E45</f>
        <v>0</v>
      </c>
      <c r="F45" s="151">
        <f>'3.2.4'!F45+'3.3.4'!F45</f>
        <v>0</v>
      </c>
      <c r="G45" s="152">
        <f>'3.2.4'!G45+'3.3.4'!G45</f>
        <v>0</v>
      </c>
      <c r="H45" s="155" t="str">
        <f>IF('AW Schüler'!$D57=0,"x",C45/'AW Schüler'!$D57)</f>
        <v>x</v>
      </c>
      <c r="I45" s="155" t="str">
        <f>IF('AW Schüler'!$G57=0,"x",D45/'AW Schüler'!$G57)</f>
        <v>x</v>
      </c>
      <c r="J45" s="155" t="str">
        <f>IF('AW Schüler'!$J57=0,"x",E45/'AW Schüler'!$J57)</f>
        <v>x</v>
      </c>
      <c r="K45" s="155" t="str">
        <f>IF('AW Schüler'!$M57=0,"x",F45/'AW Schüler'!$M57)</f>
        <v>x</v>
      </c>
      <c r="L45" s="156" t="str">
        <f>IF('AW Schüler'!$P57=0,"x",G45/'AW Schüler'!$P57)</f>
        <v>x</v>
      </c>
    </row>
    <row r="46" spans="1:12" ht="9" customHeight="1">
      <c r="A46" s="21" t="s">
        <v>96</v>
      </c>
      <c r="B46" s="120"/>
      <c r="C46" s="23">
        <f>'3.2.4'!C46+'3.3.4'!C46</f>
        <v>175135</v>
      </c>
      <c r="D46" s="23">
        <f>'3.2.4'!D46+'3.3.4'!D46</f>
        <v>167438</v>
      </c>
      <c r="E46" s="23">
        <f>'3.2.4'!E46+'3.3.4'!E46</f>
        <v>153839</v>
      </c>
      <c r="F46" s="23">
        <f>'3.2.4'!F46+'3.3.4'!F46</f>
        <v>141223</v>
      </c>
      <c r="G46" s="34">
        <f>'3.2.4'!G46+'3.3.4'!G46</f>
        <v>125279</v>
      </c>
      <c r="H46" s="155">
        <f>IF('AW Schüler'!$D58=0,"x",C46/'AW Schüler'!$D58)</f>
        <v>0.28930718911061187</v>
      </c>
      <c r="I46" s="155">
        <f>IF('AW Schüler'!$G58=0,"x",D46/'AW Schüler'!$G58)</f>
        <v>0.30347815054465044</v>
      </c>
      <c r="J46" s="155">
        <f>IF('AW Schüler'!$J58=0,"x",E46/'AW Schüler'!$J58)</f>
        <v>0.30396897062048878</v>
      </c>
      <c r="K46" s="155">
        <f>IF('AW Schüler'!$M58=0,"x",F46/'AW Schüler'!$M58)</f>
        <v>0.30210583961904924</v>
      </c>
      <c r="L46" s="156">
        <f>IF('AW Schüler'!$P58=0,"x",G46/'AW Schüler'!$P58)</f>
        <v>0.29051078641211214</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'3.2.4'!C48+'3.3.4'!C48</f>
        <v>13758</v>
      </c>
      <c r="D48" s="23">
        <f>'3.2.4'!D48+'3.3.4'!D48</f>
        <v>12642</v>
      </c>
      <c r="E48" s="23">
        <f>'3.2.4'!E48+'3.3.4'!E48</f>
        <v>11127</v>
      </c>
      <c r="F48" s="23">
        <f>'3.2.4'!F48+'3.3.4'!F48</f>
        <v>9612</v>
      </c>
      <c r="G48" s="34">
        <f>'3.2.4'!G48+'3.3.4'!G48</f>
        <v>8158</v>
      </c>
      <c r="H48" s="155">
        <f>IF('AW Schüler'!$D42=0,"x",C48/'AW Schüler'!$D42)</f>
        <v>9.7242051992479608E-2</v>
      </c>
      <c r="I48" s="155">
        <f>IF('AW Schüler'!$G42=0,"x",D48/'AW Schüler'!$G42)</f>
        <v>9.949003683067334E-2</v>
      </c>
      <c r="J48" s="155">
        <f>IF('AW Schüler'!$J42=0,"x",E48/'AW Schüler'!$J42)</f>
        <v>9.7564183501683499E-2</v>
      </c>
      <c r="K48" s="155">
        <f>IF('AW Schüler'!$M42=0,"x",F48/'AW Schüler'!$M42)</f>
        <v>9.6340620019845447E-2</v>
      </c>
      <c r="L48" s="156">
        <f>IF('AW Schüler'!$P42=0,"x",G48/'AW Schüler'!$P42)</f>
        <v>9.7434549971335757E-2</v>
      </c>
    </row>
    <row r="49" spans="1:13" ht="9" customHeight="1">
      <c r="A49" s="21" t="s">
        <v>81</v>
      </c>
      <c r="B49" s="120"/>
      <c r="C49" s="23">
        <f>'3.2.4'!C49+'3.3.4'!C49</f>
        <v>16290</v>
      </c>
      <c r="D49" s="23">
        <f>'3.2.4'!D49+'3.3.4'!D49</f>
        <v>19108</v>
      </c>
      <c r="E49" s="23">
        <f>'3.2.4'!E49+'3.3.4'!E49</f>
        <v>19974</v>
      </c>
      <c r="F49" s="23">
        <f>'3.2.4'!F49+'3.3.4'!F49</f>
        <v>21385</v>
      </c>
      <c r="G49" s="34">
        <f>'3.2.4'!G49+'3.3.4'!G49</f>
        <v>23141</v>
      </c>
      <c r="H49" s="155">
        <f>IF('AW Schüler'!$D43=0,"x",C49/'AW Schüler'!$D43)</f>
        <v>7.8243953985446341E-2</v>
      </c>
      <c r="I49" s="155">
        <f>IF('AW Schüler'!$G43=0,"x",D49/'AW Schüler'!$G43)</f>
        <v>9.3221579322255499E-2</v>
      </c>
      <c r="J49" s="155">
        <f>IF('AW Schüler'!$J43=0,"x",E49/'AW Schüler'!$J43)</f>
        <v>9.8486267935506133E-2</v>
      </c>
      <c r="K49" s="155">
        <f>IF('AW Schüler'!$M43=0,"x",F49/'AW Schüler'!$M43)</f>
        <v>0.10576371441571544</v>
      </c>
      <c r="L49" s="156">
        <f>IF('AW Schüler'!$P43=0,"x",G49/'AW Schüler'!$P43)</f>
        <v>0.1140091144229585</v>
      </c>
    </row>
    <row r="50" spans="1:13" ht="9" customHeight="1">
      <c r="A50" s="21" t="s">
        <v>82</v>
      </c>
      <c r="B50" s="120"/>
      <c r="C50" s="151">
        <f>'3.2.4'!C50+'3.3.4'!C50</f>
        <v>0</v>
      </c>
      <c r="D50" s="151">
        <f>'3.2.4'!D50+'3.3.4'!D50</f>
        <v>0</v>
      </c>
      <c r="E50" s="151">
        <f>'3.2.4'!E50+'3.3.4'!E50</f>
        <v>0</v>
      </c>
      <c r="F50" s="151">
        <f>'3.2.4'!F50+'3.3.4'!F50</f>
        <v>0</v>
      </c>
      <c r="G50" s="152">
        <f>'3.2.4'!G50+'3.3.4'!G50</f>
        <v>0</v>
      </c>
      <c r="H50" s="193">
        <v>0</v>
      </c>
      <c r="I50" s="193">
        <v>0</v>
      </c>
      <c r="J50" s="193">
        <v>0</v>
      </c>
      <c r="K50" s="193">
        <v>0</v>
      </c>
      <c r="L50" s="194">
        <v>0</v>
      </c>
    </row>
    <row r="51" spans="1:13" ht="9" customHeight="1">
      <c r="A51" s="21" t="s">
        <v>83</v>
      </c>
      <c r="B51" s="120"/>
      <c r="C51" s="151">
        <f>'3.2.4'!C51+'3.3.4'!C51</f>
        <v>0</v>
      </c>
      <c r="D51" s="151">
        <f>'3.2.4'!D51+'3.3.4'!D51</f>
        <v>0</v>
      </c>
      <c r="E51" s="151">
        <f>'3.2.4'!E51+'3.3.4'!E51</f>
        <v>0</v>
      </c>
      <c r="F51" s="151">
        <f>'3.2.4'!F51+'3.3.4'!F51</f>
        <v>0</v>
      </c>
      <c r="G51" s="152">
        <f>'3.2.4'!G51+'3.3.4'!G51</f>
        <v>0</v>
      </c>
      <c r="H51" s="155" t="str">
        <f>IF('AW Schüler'!$D45=0,"x",C51/'AW Schüler'!$D45)</f>
        <v>x</v>
      </c>
      <c r="I51" s="155" t="str">
        <f>IF('AW Schüler'!$G45=0,"x",D51/'AW Schüler'!$G45)</f>
        <v>x</v>
      </c>
      <c r="J51" s="155" t="str">
        <f>IF('AW Schüler'!$J45=0,"x",E51/'AW Schüler'!$J45)</f>
        <v>x</v>
      </c>
      <c r="K51" s="155" t="str">
        <f>IF('AW Schüler'!$M45=0,"x",F51/'AW Schüler'!$M45)</f>
        <v>x</v>
      </c>
      <c r="L51" s="156" t="str">
        <f>IF('AW Schüler'!$P45=0,"x",G51/'AW Schüler'!$P45)</f>
        <v>x</v>
      </c>
    </row>
    <row r="52" spans="1:13" ht="9" customHeight="1">
      <c r="A52" s="21" t="s">
        <v>84</v>
      </c>
      <c r="B52" s="120"/>
      <c r="C52" s="151">
        <f>'3.2.4'!C52+'3.3.4'!C52</f>
        <v>0</v>
      </c>
      <c r="D52" s="151">
        <f>'3.2.4'!D52+'3.3.4'!D52</f>
        <v>0</v>
      </c>
      <c r="E52" s="151">
        <f>'3.2.4'!E52+'3.3.4'!E52</f>
        <v>0</v>
      </c>
      <c r="F52" s="151">
        <f>'3.2.4'!F52+'3.3.4'!F52</f>
        <v>0</v>
      </c>
      <c r="G52" s="152">
        <f>'3.2.4'!G52+'3.3.4'!G52</f>
        <v>0</v>
      </c>
      <c r="H52" s="155" t="str">
        <f>IF('AW Schüler'!$D46=0,"x",C52/'AW Schüler'!$D46)</f>
        <v>x</v>
      </c>
      <c r="I52" s="155" t="str">
        <f>IF('AW Schüler'!$G46=0,"x",D52/'AW Schüler'!$G46)</f>
        <v>x</v>
      </c>
      <c r="J52" s="155" t="str">
        <f>IF('AW Schüler'!$J46=0,"x",E52/'AW Schüler'!$J46)</f>
        <v>x</v>
      </c>
      <c r="K52" s="155" t="str">
        <f>IF('AW Schüler'!$M46=0,"x",F52/'AW Schüler'!$M46)</f>
        <v>x</v>
      </c>
      <c r="L52" s="156" t="str">
        <f>IF('AW Schüler'!$P46=0,"x",G52/'AW Schüler'!$P46)</f>
        <v>x</v>
      </c>
    </row>
    <row r="53" spans="1:13" ht="9" customHeight="1">
      <c r="A53" s="21" t="s">
        <v>85</v>
      </c>
      <c r="B53" s="120"/>
      <c r="C53" s="151">
        <f>'3.2.4'!C53+'3.3.4'!C53</f>
        <v>0</v>
      </c>
      <c r="D53" s="151">
        <f>'3.2.4'!D53+'3.3.4'!D53</f>
        <v>0</v>
      </c>
      <c r="E53" s="151">
        <f>'3.2.4'!E53+'3.3.4'!E53</f>
        <v>0</v>
      </c>
      <c r="F53" s="151">
        <f>'3.2.4'!F53+'3.3.4'!F53</f>
        <v>0</v>
      </c>
      <c r="G53" s="152">
        <f>'3.2.4'!G53+'3.3.4'!G53</f>
        <v>0</v>
      </c>
      <c r="H53" s="155" t="str">
        <f>IF('AW Schüler'!$D47=0,"x",C53/'AW Schüler'!$D47)</f>
        <v>x</v>
      </c>
      <c r="I53" s="155" t="str">
        <f>IF('AW Schüler'!$G47=0,"x",D53/'AW Schüler'!$G47)</f>
        <v>x</v>
      </c>
      <c r="J53" s="155" t="str">
        <f>IF('AW Schüler'!$J47=0,"x",E53/'AW Schüler'!$J47)</f>
        <v>x</v>
      </c>
      <c r="K53" s="155" t="str">
        <f>IF('AW Schüler'!$M47=0,"x",F53/'AW Schüler'!$M47)</f>
        <v>x</v>
      </c>
      <c r="L53" s="156" t="str">
        <f>IF('AW Schüler'!$P47=0,"x",G53/'AW Schüler'!$P47)</f>
        <v>x</v>
      </c>
    </row>
    <row r="54" spans="1:13" ht="9" customHeight="1">
      <c r="A54" s="21" t="s">
        <v>114</v>
      </c>
      <c r="B54" s="120"/>
      <c r="C54" s="23">
        <f>'3.2.4'!C54+'3.3.4'!C54</f>
        <v>11170</v>
      </c>
      <c r="D54" s="23">
        <f>'3.2.4'!D54+'3.3.4'!D54</f>
        <v>10878</v>
      </c>
      <c r="E54" s="23">
        <f>'3.2.4'!E54+'3.3.4'!E54</f>
        <v>10932</v>
      </c>
      <c r="F54" s="23">
        <f>'3.2.4'!F54+'3.3.4'!F54</f>
        <v>11397</v>
      </c>
      <c r="G54" s="34">
        <f>'3.2.4'!G54+'3.3.4'!G54</f>
        <v>12357</v>
      </c>
      <c r="H54" s="183">
        <v>0</v>
      </c>
      <c r="I54" s="183">
        <v>0</v>
      </c>
      <c r="J54" s="183">
        <v>0</v>
      </c>
      <c r="K54" s="183">
        <v>0</v>
      </c>
      <c r="L54" s="197">
        <v>0</v>
      </c>
      <c r="M54" s="63"/>
    </row>
    <row r="55" spans="1:13" ht="9" customHeight="1">
      <c r="A55" s="21" t="s">
        <v>87</v>
      </c>
      <c r="B55" s="120"/>
      <c r="C55" s="151">
        <f>'3.2.4'!C55+'3.3.4'!C55</f>
        <v>0</v>
      </c>
      <c r="D55" s="151">
        <f>'3.2.4'!D55+'3.3.4'!D55</f>
        <v>0</v>
      </c>
      <c r="E55" s="151">
        <f>'3.2.4'!E55+'3.3.4'!E55</f>
        <v>0</v>
      </c>
      <c r="F55" s="151">
        <f>'3.2.4'!F55+'3.3.4'!F55</f>
        <v>0</v>
      </c>
      <c r="G55" s="152">
        <f>'3.2.4'!G55+'3.3.4'!G55</f>
        <v>0</v>
      </c>
      <c r="H55" s="155" t="str">
        <f>IF('AW Schüler'!$D49=0,"x",C55/'AW Schüler'!$D49)</f>
        <v>x</v>
      </c>
      <c r="I55" s="155" t="str">
        <f>IF('AW Schüler'!$G49=0,"x",D55/'AW Schüler'!$G49)</f>
        <v>x</v>
      </c>
      <c r="J55" s="155" t="str">
        <f>IF('AW Schüler'!$J49=0,"x",E55/'AW Schüler'!$J49)</f>
        <v>x</v>
      </c>
      <c r="K55" s="155" t="str">
        <f>IF('AW Schüler'!$M49=0,"x",F55/'AW Schüler'!$M49)</f>
        <v>x</v>
      </c>
      <c r="L55" s="156" t="str">
        <f>IF('AW Schüler'!$P49=0,"x",G55/'AW Schüler'!$P49)</f>
        <v>x</v>
      </c>
      <c r="M55" s="63"/>
    </row>
    <row r="56" spans="1:13" ht="9" customHeight="1">
      <c r="A56" s="21" t="s">
        <v>88</v>
      </c>
      <c r="B56" s="120"/>
      <c r="C56" s="23">
        <f>'3.2.4'!C56+'3.3.4'!C56</f>
        <v>21835</v>
      </c>
      <c r="D56" s="23">
        <f>'3.2.4'!D56+'3.3.4'!D56</f>
        <v>18625</v>
      </c>
      <c r="E56" s="23">
        <f>'3.2.4'!E56+'3.3.4'!E56</f>
        <v>14993</v>
      </c>
      <c r="F56" s="23">
        <f>'3.2.4'!F56+'3.3.4'!F56</f>
        <v>12075</v>
      </c>
      <c r="G56" s="34">
        <f>'3.2.4'!G56+'3.3.4'!G56</f>
        <v>9600</v>
      </c>
      <c r="H56" s="183">
        <v>0</v>
      </c>
      <c r="I56" s="183">
        <v>0</v>
      </c>
      <c r="J56" s="183">
        <v>0</v>
      </c>
      <c r="K56" s="183">
        <v>0</v>
      </c>
      <c r="L56" s="197">
        <v>0</v>
      </c>
    </row>
    <row r="57" spans="1:13" ht="9" customHeight="1">
      <c r="A57" s="21" t="s">
        <v>89</v>
      </c>
      <c r="B57" s="120"/>
      <c r="C57" s="23">
        <f>'3.2.4'!C57+'3.3.4'!C57</f>
        <v>0</v>
      </c>
      <c r="D57" s="23">
        <f>'3.2.4'!D57+'3.3.4'!D57</f>
        <v>0</v>
      </c>
      <c r="E57" s="23">
        <f>'3.2.4'!E57+'3.3.4'!E57</f>
        <v>0</v>
      </c>
      <c r="F57" s="23">
        <f>'3.2.4'!F57+'3.3.4'!F57</f>
        <v>0</v>
      </c>
      <c r="G57" s="34">
        <f>'3.2.4'!G57+'3.3.4'!G57</f>
        <v>0</v>
      </c>
      <c r="H57" s="155">
        <f>IF('AW Schüler'!$D51=0,"x",C57/'AW Schüler'!$D51)</f>
        <v>0</v>
      </c>
      <c r="I57" s="155">
        <f>IF('AW Schüler'!$G51=0,"x",D57/'AW Schüler'!$G51)</f>
        <v>0</v>
      </c>
      <c r="J57" s="155">
        <f>IF('AW Schüler'!$J51=0,"x",E57/'AW Schüler'!$J51)</f>
        <v>0</v>
      </c>
      <c r="K57" s="155">
        <f>IF('AW Schüler'!$M51=0,"x",F57/'AW Schüler'!$M51)</f>
        <v>0</v>
      </c>
      <c r="L57" s="156">
        <f>IF('AW Schüler'!$P51=0,"x",G57/'AW Schüler'!$P51)</f>
        <v>0</v>
      </c>
    </row>
    <row r="58" spans="1:13" ht="9" customHeight="1">
      <c r="A58" s="21" t="s">
        <v>90</v>
      </c>
      <c r="B58" s="120"/>
      <c r="C58" s="23">
        <f>'3.2.4'!C58+'3.3.4'!C58</f>
        <v>0</v>
      </c>
      <c r="D58" s="23">
        <f>'3.2.4'!D58+'3.3.4'!D58</f>
        <v>0</v>
      </c>
      <c r="E58" s="23">
        <f>'3.2.4'!E58+'3.3.4'!E58</f>
        <v>0</v>
      </c>
      <c r="F58" s="23">
        <f>'3.2.4'!F58+'3.3.4'!F58</f>
        <v>0</v>
      </c>
      <c r="G58" s="34">
        <f>'3.2.4'!G58+'3.3.4'!G58</f>
        <v>0</v>
      </c>
      <c r="H58" s="155">
        <f>IF('AW Schüler'!$D52=0,"x",C58/'AW Schüler'!$D52)</f>
        <v>0</v>
      </c>
      <c r="I58" s="155">
        <f>IF('AW Schüler'!$G52=0,"x",D58/'AW Schüler'!$G52)</f>
        <v>0</v>
      </c>
      <c r="J58" s="155">
        <f>IF('AW Schüler'!$J52=0,"x",E58/'AW Schüler'!$J52)</f>
        <v>0</v>
      </c>
      <c r="K58" s="155">
        <f>IF('AW Schüler'!$M52=0,"x",F58/'AW Schüler'!$M52)</f>
        <v>0</v>
      </c>
      <c r="L58" s="156">
        <f>IF('AW Schüler'!$P52=0,"x",G58/'AW Schüler'!$P52)</f>
        <v>0</v>
      </c>
    </row>
    <row r="59" spans="1:13" ht="9" customHeight="1">
      <c r="A59" s="21" t="s">
        <v>91</v>
      </c>
      <c r="B59" s="120"/>
      <c r="C59" s="23">
        <f>'3.2.4'!C59+'3.3.4'!C59</f>
        <v>47</v>
      </c>
      <c r="D59" s="23">
        <f>'3.2.4'!D59+'3.3.4'!D59</f>
        <v>16</v>
      </c>
      <c r="E59" s="23">
        <f>'3.2.4'!E59+'3.3.4'!E59</f>
        <v>21</v>
      </c>
      <c r="F59" s="151">
        <f>'3.2.4'!F59+'3.3.4'!F59</f>
        <v>0</v>
      </c>
      <c r="G59" s="152">
        <f>'3.2.4'!G59+'3.3.4'!G59</f>
        <v>0</v>
      </c>
      <c r="H59" s="155">
        <f>IF('AW Schüler'!$D53=0,"x",C59/'AW Schüler'!$D53)</f>
        <v>0.17602996254681649</v>
      </c>
      <c r="I59" s="155">
        <f>IF('AW Schüler'!$G53=0,"x",D59/'AW Schüler'!$G53)</f>
        <v>6.1068702290076333E-2</v>
      </c>
      <c r="J59" s="155">
        <f>IF('AW Schüler'!$J53=0,"x",E59/'AW Schüler'!$J53)</f>
        <v>7.7490774907749083E-2</v>
      </c>
      <c r="K59" s="155" t="str">
        <f>IF('AW Schüler'!$M53=0,"x",F59/'AW Schüler'!$M53)</f>
        <v>x</v>
      </c>
      <c r="L59" s="156" t="str">
        <f>IF('AW Schüler'!$P53=0,"x",G59/'AW Schüler'!$P53)</f>
        <v>x</v>
      </c>
    </row>
    <row r="60" spans="1:13" ht="9" customHeight="1">
      <c r="A60" s="21" t="s">
        <v>92</v>
      </c>
      <c r="B60" s="120"/>
      <c r="C60" s="151">
        <f>'3.2.4'!C60+'3.3.4'!C60</f>
        <v>0</v>
      </c>
      <c r="D60" s="151">
        <f>'3.2.4'!D60+'3.3.4'!D60</f>
        <v>0</v>
      </c>
      <c r="E60" s="151">
        <f>'3.2.4'!E60+'3.3.4'!E60</f>
        <v>0</v>
      </c>
      <c r="F60" s="151">
        <f>'3.2.4'!F60+'3.3.4'!F60</f>
        <v>0</v>
      </c>
      <c r="G60" s="152">
        <f>'3.2.4'!G60+'3.3.4'!G60</f>
        <v>0</v>
      </c>
      <c r="H60" s="155" t="str">
        <f>IF('AW Schüler'!$D54=0,"x",C60/'AW Schüler'!$D54)</f>
        <v>x</v>
      </c>
      <c r="I60" s="155" t="str">
        <f>IF('AW Schüler'!$G54=0,"x",D60/'AW Schüler'!$G54)</f>
        <v>x</v>
      </c>
      <c r="J60" s="155" t="str">
        <f>IF('AW Schüler'!$J54=0,"x",E60/'AW Schüler'!$J54)</f>
        <v>x</v>
      </c>
      <c r="K60" s="155" t="str">
        <f>IF('AW Schüler'!$M54=0,"x",F60/'AW Schüler'!$M54)</f>
        <v>x</v>
      </c>
      <c r="L60" s="156" t="str">
        <f>IF('AW Schüler'!$P54=0,"x",G60/'AW Schüler'!$P54)</f>
        <v>x</v>
      </c>
    </row>
    <row r="61" spans="1:13" ht="9" customHeight="1">
      <c r="A61" s="21" t="s">
        <v>93</v>
      </c>
      <c r="B61" s="120"/>
      <c r="C61" s="151">
        <f>'3.2.4'!C61+'3.3.4'!C61</f>
        <v>0</v>
      </c>
      <c r="D61" s="151">
        <f>'3.2.4'!D61+'3.3.4'!D61</f>
        <v>0</v>
      </c>
      <c r="E61" s="151">
        <f>'3.2.4'!E61+'3.3.4'!E61</f>
        <v>0</v>
      </c>
      <c r="F61" s="151">
        <f>'3.2.4'!F61+'3.3.4'!F61</f>
        <v>0</v>
      </c>
      <c r="G61" s="152">
        <f>'3.2.4'!G61+'3.3.4'!G61</f>
        <v>0</v>
      </c>
      <c r="H61" s="155" t="str">
        <f>IF('AW Schüler'!$D55=0,"x",C61/'AW Schüler'!$D55)</f>
        <v>x</v>
      </c>
      <c r="I61" s="155" t="str">
        <f>IF('AW Schüler'!$G55=0,"x",D61/'AW Schüler'!$G55)</f>
        <v>x</v>
      </c>
      <c r="J61" s="155" t="str">
        <f>IF('AW Schüler'!$J55=0,"x",E61/'AW Schüler'!$J55)</f>
        <v>x</v>
      </c>
      <c r="K61" s="155" t="str">
        <f>IF('AW Schüler'!$M55=0,"x",F61/'AW Schüler'!$M55)</f>
        <v>x</v>
      </c>
      <c r="L61" s="156" t="str">
        <f>IF('AW Schüler'!$P55=0,"x",G61/'AW Schüler'!$P55)</f>
        <v>x</v>
      </c>
    </row>
    <row r="62" spans="1:13" ht="9" customHeight="1">
      <c r="A62" s="21" t="s">
        <v>94</v>
      </c>
      <c r="B62" s="120"/>
      <c r="C62" s="23">
        <f>'3.2.4'!C62+'3.3.4'!C62</f>
        <v>1013</v>
      </c>
      <c r="D62" s="23">
        <f>'3.2.4'!D62+'3.3.4'!D62</f>
        <v>230</v>
      </c>
      <c r="E62" s="23">
        <f>'3.2.4'!E62+'3.3.4'!E62</f>
        <v>26</v>
      </c>
      <c r="F62" s="151">
        <f>'3.2.4'!F62+'3.3.4'!F62</f>
        <v>0</v>
      </c>
      <c r="G62" s="152">
        <f>'3.2.4'!G62+'3.3.4'!G62</f>
        <v>0</v>
      </c>
      <c r="H62" s="155">
        <f>IF('AW Schüler'!$D56=0,"x",C62/'AW Schüler'!$D56)</f>
        <v>0.25130240635078144</v>
      </c>
      <c r="I62" s="155">
        <f>IF('AW Schüler'!$G56=0,"x",D62/'AW Schüler'!$G56)</f>
        <v>0.25191675794085433</v>
      </c>
      <c r="J62" s="155">
        <f>IF('AW Schüler'!$J56=0,"x",E62/'AW Schüler'!$J56)</f>
        <v>0.28260869565217389</v>
      </c>
      <c r="K62" s="155" t="str">
        <f>IF('AW Schüler'!$M56=0,"x",F62/'AW Schüler'!$M56)</f>
        <v>x</v>
      </c>
      <c r="L62" s="156" t="str">
        <f>IF('AW Schüler'!$P56=0,"x",G62/'AW Schüler'!$P56)</f>
        <v>x</v>
      </c>
    </row>
    <row r="63" spans="1:13" ht="9" customHeight="1">
      <c r="A63" s="21" t="s">
        <v>95</v>
      </c>
      <c r="B63" s="120"/>
      <c r="C63" s="151">
        <f>'3.2.4'!C63+'3.3.4'!C63</f>
        <v>0</v>
      </c>
      <c r="D63" s="151">
        <f>'3.2.4'!D63+'3.3.4'!D63</f>
        <v>0</v>
      </c>
      <c r="E63" s="151">
        <f>'3.2.4'!E63+'3.3.4'!E63</f>
        <v>0</v>
      </c>
      <c r="F63" s="151">
        <f>'3.2.4'!F63+'3.3.4'!F63</f>
        <v>0</v>
      </c>
      <c r="G63" s="152">
        <f>'3.2.4'!G63+'3.3.4'!G63</f>
        <v>0</v>
      </c>
      <c r="H63" s="155" t="str">
        <f>IF('AW Schüler'!$D57=0,"x",C63/'AW Schüler'!$D57)</f>
        <v>x</v>
      </c>
      <c r="I63" s="155" t="str">
        <f>IF('AW Schüler'!$G57=0,"x",D63/'AW Schüler'!$G57)</f>
        <v>x</v>
      </c>
      <c r="J63" s="155" t="str">
        <f>IF('AW Schüler'!$J57=0,"x",E63/'AW Schüler'!$J57)</f>
        <v>x</v>
      </c>
      <c r="K63" s="155" t="str">
        <f>IF('AW Schüler'!$M57=0,"x",F63/'AW Schüler'!$M57)</f>
        <v>x</v>
      </c>
      <c r="L63" s="156" t="str">
        <f>IF('AW Schüler'!$P57=0,"x",G63/'AW Schüler'!$P57)</f>
        <v>x</v>
      </c>
    </row>
    <row r="64" spans="1:13" ht="8.65" customHeight="1">
      <c r="A64" s="24" t="s">
        <v>96</v>
      </c>
      <c r="B64" s="121"/>
      <c r="C64" s="26">
        <f>'3.2.4'!C64+'3.3.4'!C64</f>
        <v>64113</v>
      </c>
      <c r="D64" s="26">
        <f>'3.2.4'!D64+'3.3.4'!D64</f>
        <v>61499</v>
      </c>
      <c r="E64" s="26">
        <f>'3.2.4'!E64+'3.3.4'!E64</f>
        <v>57073</v>
      </c>
      <c r="F64" s="26">
        <f>'3.2.4'!F64+'3.3.4'!F64</f>
        <v>54469</v>
      </c>
      <c r="G64" s="47">
        <f>'3.2.4'!G64+'3.3.4'!G64</f>
        <v>53256</v>
      </c>
      <c r="H64" s="157">
        <f>IF('AW Schüler'!$D58=0,"x",C64/'AW Schüler'!$D58)</f>
        <v>0.10590888066604995</v>
      </c>
      <c r="I64" s="157">
        <f>IF('AW Schüler'!$G58=0,"x",D64/'AW Schüler'!$G58)</f>
        <v>0.1114657531763725</v>
      </c>
      <c r="J64" s="157">
        <f>IF('AW Schüler'!$J58=0,"x",E64/'AW Schüler'!$J58)</f>
        <v>0.11276998069555286</v>
      </c>
      <c r="K64" s="157">
        <f>IF('AW Schüler'!$M58=0,"x",F64/'AW Schüler'!$M58)</f>
        <v>0.11652070114790079</v>
      </c>
      <c r="L64" s="158">
        <f>IF('AW Schüler'!$P58=0,"x",G64/'AW Schüler'!$P58)</f>
        <v>0.12349589668790016</v>
      </c>
    </row>
    <row r="65" spans="1:12" ht="18.75" customHeight="1">
      <c r="A65" s="396" t="s">
        <v>312</v>
      </c>
      <c r="B65" s="396"/>
      <c r="C65" s="396"/>
      <c r="D65" s="396"/>
      <c r="E65" s="396"/>
      <c r="F65" s="396"/>
      <c r="G65" s="396"/>
      <c r="H65" s="396"/>
      <c r="I65" s="396"/>
      <c r="J65" s="396"/>
      <c r="K65" s="396"/>
      <c r="L65" s="396"/>
    </row>
    <row r="66" spans="1:12" ht="18.600000000000001" customHeight="1">
      <c r="A66" s="381" t="s">
        <v>294</v>
      </c>
      <c r="B66" s="381"/>
      <c r="C66" s="381"/>
      <c r="D66" s="381"/>
      <c r="E66" s="381"/>
      <c r="F66" s="381"/>
      <c r="G66" s="381"/>
      <c r="H66" s="381"/>
      <c r="I66" s="381"/>
      <c r="J66" s="395"/>
      <c r="K66" s="395"/>
      <c r="L66" s="395"/>
    </row>
    <row r="67" spans="1:12" ht="10.15" customHeight="1">
      <c r="A67" s="214" t="s">
        <v>101</v>
      </c>
    </row>
    <row r="82" spans="1:1" ht="10.5" customHeight="1"/>
    <row r="83" spans="1:1" ht="10.15" customHeight="1">
      <c r="A83" s="214"/>
    </row>
  </sheetData>
  <mergeCells count="8">
    <mergeCell ref="A1:L1"/>
    <mergeCell ref="A47:L47"/>
    <mergeCell ref="A66:L66"/>
    <mergeCell ref="C9:G9"/>
    <mergeCell ref="H9:L9"/>
    <mergeCell ref="A11:L11"/>
    <mergeCell ref="A29:L29"/>
    <mergeCell ref="A65:L65"/>
  </mergeCells>
  <phoneticPr fontId="18" type="noConversion"/>
  <conditionalFormatting sqref="N25">
    <cfRule type="cellIs" dxfId="3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M84"/>
  <sheetViews>
    <sheetView view="pageBreakPreview" topLeftCell="A46"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'3.1.4'!A1:E1+1</f>
        <v>39</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2.6" customHeight="1">
      <c r="A5" s="13" t="s">
        <v>43</v>
      </c>
      <c r="B5" s="39" t="s">
        <v>13</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C28" si="0">SUM(C30+C48)</f>
        <v>0</v>
      </c>
      <c r="D12" s="149">
        <f t="shared" ref="D12:E12" si="1">SUM(D30+D48)</f>
        <v>0</v>
      </c>
      <c r="E12" s="149">
        <f t="shared" si="1"/>
        <v>0</v>
      </c>
      <c r="F12" s="149">
        <f t="shared" ref="F12:G12" si="2">SUM(F30+F48)</f>
        <v>0</v>
      </c>
      <c r="G12" s="150">
        <f t="shared" si="2"/>
        <v>0</v>
      </c>
      <c r="H12" s="153" t="str">
        <f>IF('AW Schüler'!$D60=0,"x",C12/'AW Schüler'!$D60)</f>
        <v>x</v>
      </c>
      <c r="I12" s="153" t="str">
        <f>IF('AW Schüler'!$G60=0,"x",D12/'AW Schüler'!$G60)</f>
        <v>x</v>
      </c>
      <c r="J12" s="153" t="str">
        <f>IF('AW Schüler'!$J60=0,"x",E12/'AW Schüler'!$J60)</f>
        <v>x</v>
      </c>
      <c r="K12" s="153" t="str">
        <f>IF('AW Schüler'!$M60=0,"x",F12/'AW Schüler'!$M60)</f>
        <v>x</v>
      </c>
      <c r="L12" s="154" t="str">
        <f>IF('AW Schüler'!$P60=0,"x",G12/'AW Schüler'!$P60)</f>
        <v>x</v>
      </c>
    </row>
    <row r="13" spans="1:13" ht="9" customHeight="1">
      <c r="A13" s="21" t="s">
        <v>81</v>
      </c>
      <c r="B13" s="120"/>
      <c r="C13" s="149">
        <f t="shared" si="0"/>
        <v>0</v>
      </c>
      <c r="D13" s="149">
        <f t="shared" ref="D13:E13" si="3">SUM(D31+D49)</f>
        <v>0</v>
      </c>
      <c r="E13" s="149">
        <f t="shared" si="3"/>
        <v>0</v>
      </c>
      <c r="F13" s="149" t="e">
        <f t="shared" ref="F13:G13" si="4">SUM(F31+F49)</f>
        <v>#VALUE!</v>
      </c>
      <c r="G13" s="150">
        <f t="shared" si="4"/>
        <v>0</v>
      </c>
      <c r="H13" s="153" t="str">
        <f>IF('AW Schüler'!$D61=0,"x",C13/'AW Schüler'!$D61)</f>
        <v>x</v>
      </c>
      <c r="I13" s="153" t="str">
        <f>IF('AW Schüler'!$G61=0,"x",D13/'AW Schüler'!$G61)</f>
        <v>x</v>
      </c>
      <c r="J13" s="153" t="str">
        <f>IF('AW Schüler'!$J61=0,"x",E13/'AW Schüler'!$J61)</f>
        <v>x</v>
      </c>
      <c r="K13" s="153" t="str">
        <f>IF('AW Schüler'!$M61=0,"x",F13/'AW Schüler'!$M61)</f>
        <v>x</v>
      </c>
      <c r="L13" s="154" t="str">
        <f>IF('AW Schüler'!$P61=0,"x",G13/'AW Schüler'!$P61)</f>
        <v>x</v>
      </c>
    </row>
    <row r="14" spans="1:13" ht="9" customHeight="1">
      <c r="A14" s="21" t="s">
        <v>82</v>
      </c>
      <c r="B14" s="120"/>
      <c r="C14" s="149">
        <f t="shared" si="0"/>
        <v>0</v>
      </c>
      <c r="D14" s="149">
        <f t="shared" ref="D14:E14" si="5">SUM(D32+D50)</f>
        <v>0</v>
      </c>
      <c r="E14" s="149">
        <f t="shared" si="5"/>
        <v>0</v>
      </c>
      <c r="F14" s="149">
        <f t="shared" ref="F14:G14" si="6">SUM(F32+F50)</f>
        <v>0</v>
      </c>
      <c r="G14" s="150">
        <f t="shared" si="6"/>
        <v>0</v>
      </c>
      <c r="H14" s="153" t="str">
        <f>IF('AW Schüler'!$D62=0,"x",C14/'AW Schüler'!$D62)</f>
        <v>x</v>
      </c>
      <c r="I14" s="153" t="str">
        <f>IF('AW Schüler'!$G62=0,"x",D14/'AW Schüler'!$G62)</f>
        <v>x</v>
      </c>
      <c r="J14" s="153" t="str">
        <f>IF('AW Schüler'!$J62=0,"x",E14/'AW Schüler'!$J62)</f>
        <v>x</v>
      </c>
      <c r="K14" s="153" t="str">
        <f>IF('AW Schüler'!$M62=0,"x",F14/'AW Schüler'!$M62)</f>
        <v>x</v>
      </c>
      <c r="L14" s="154" t="str">
        <f>IF('AW Schüler'!$P62=0,"x",G14/'AW Schüler'!$P62)</f>
        <v>x</v>
      </c>
    </row>
    <row r="15" spans="1:13" ht="9" customHeight="1">
      <c r="A15" s="21" t="s">
        <v>83</v>
      </c>
      <c r="B15" s="120"/>
      <c r="C15" s="42">
        <f t="shared" si="0"/>
        <v>20395</v>
      </c>
      <c r="D15" s="42">
        <f t="shared" ref="D15:E15" si="7">SUM(D33+D51)</f>
        <v>21177</v>
      </c>
      <c r="E15" s="42">
        <f t="shared" si="7"/>
        <v>21788</v>
      </c>
      <c r="F15" s="42">
        <f t="shared" ref="F15:G15" si="8">SUM(F33+F51)</f>
        <v>21883</v>
      </c>
      <c r="G15" s="44">
        <f t="shared" si="8"/>
        <v>22313</v>
      </c>
      <c r="H15" s="153">
        <f>IF('AW Schüler'!$D63=0,"x",C15/'AW Schüler'!$D63)</f>
        <v>0.66325203252032516</v>
      </c>
      <c r="I15" s="153">
        <f>IF('AW Schüler'!$G63=0,"x",D15/'AW Schüler'!$G63)</f>
        <v>0.6685503220103548</v>
      </c>
      <c r="J15" s="153">
        <f>IF('AW Schüler'!$J63=0,"x",E15/'AW Schüler'!$J63)</f>
        <v>0.67027625669107238</v>
      </c>
      <c r="K15" s="153">
        <f>IF('AW Schüler'!$M63=0,"x",F15/'AW Schüler'!$M63)</f>
        <v>0.67546377751026332</v>
      </c>
      <c r="L15" s="154">
        <f>IF('AW Schüler'!$P63=0,"x",G15/'AW Schüler'!$P63)</f>
        <v>0.68162517183442795</v>
      </c>
    </row>
    <row r="16" spans="1:13" ht="9" customHeight="1">
      <c r="A16" s="21" t="s">
        <v>84</v>
      </c>
      <c r="B16" s="120"/>
      <c r="C16" s="42">
        <f t="shared" si="0"/>
        <v>278</v>
      </c>
      <c r="D16" s="42">
        <f t="shared" ref="D16:E16" si="9">SUM(D34+D52)</f>
        <v>159</v>
      </c>
      <c r="E16" s="42">
        <f t="shared" si="9"/>
        <v>96</v>
      </c>
      <c r="F16" s="42">
        <f t="shared" ref="F16:G16" si="10">SUM(F34+F52)</f>
        <v>85</v>
      </c>
      <c r="G16" s="44">
        <f t="shared" si="10"/>
        <v>0</v>
      </c>
      <c r="H16" s="153">
        <f>IF('AW Schüler'!$D64=0,"x",C16/'AW Schüler'!$D64)</f>
        <v>5.5400557991231565E-2</v>
      </c>
      <c r="I16" s="153">
        <f>IF('AW Schüler'!$G64=0,"x",D16/'AW Schüler'!$G64)</f>
        <v>4.3513957307060758E-2</v>
      </c>
      <c r="J16" s="153">
        <f>IF('AW Schüler'!$J64=0,"x",E16/'AW Schüler'!$J64)</f>
        <v>4.2031523642732049E-2</v>
      </c>
      <c r="K16" s="153">
        <f>IF('AW Schüler'!$M64=0,"x",F16/'AW Schüler'!$M64)</f>
        <v>0.10442260442260443</v>
      </c>
      <c r="L16" s="154">
        <f>IF('AW Schüler'!$P64=0,"x",G16/'AW Schüler'!$P64)</f>
        <v>0</v>
      </c>
    </row>
    <row r="17" spans="1:12" ht="9" customHeight="1">
      <c r="A17" s="21" t="s">
        <v>85</v>
      </c>
      <c r="B17" s="120"/>
      <c r="C17" s="42">
        <f t="shared" si="0"/>
        <v>1463</v>
      </c>
      <c r="D17" s="149">
        <f t="shared" ref="D17:E17" si="11">SUM(D35+D53)</f>
        <v>0</v>
      </c>
      <c r="E17" s="149">
        <f t="shared" si="11"/>
        <v>0</v>
      </c>
      <c r="F17" s="149">
        <f t="shared" ref="F17:G17" si="12">SUM(F35+F53)</f>
        <v>0</v>
      </c>
      <c r="G17" s="150">
        <f t="shared" si="12"/>
        <v>0</v>
      </c>
      <c r="H17" s="153">
        <f>IF('AW Schüler'!$D65=0,"x",C17/'AW Schüler'!$D65)</f>
        <v>0.61756015196285352</v>
      </c>
      <c r="I17" s="153" t="str">
        <f>IF('AW Schüler'!$G65=0,"x",D17/'AW Schüler'!$G65)</f>
        <v>x</v>
      </c>
      <c r="J17" s="153" t="str">
        <f>IF('AW Schüler'!$J65=0,"x",E17/'AW Schüler'!$J65)</f>
        <v>x</v>
      </c>
      <c r="K17" s="153" t="str">
        <f>IF('AW Schüler'!$M65=0,"x",F17/'AW Schüler'!$M65)</f>
        <v>x</v>
      </c>
      <c r="L17" s="154" t="str">
        <f>IF('AW Schüler'!$P65=0,"x",G17/'AW Schüler'!$P65)</f>
        <v>x</v>
      </c>
    </row>
    <row r="18" spans="1:12" ht="9" customHeight="1">
      <c r="A18" s="21" t="s">
        <v>86</v>
      </c>
      <c r="B18" s="120"/>
      <c r="C18" s="149">
        <f t="shared" si="0"/>
        <v>1153</v>
      </c>
      <c r="D18" s="149">
        <f t="shared" ref="D18:E18" si="13">SUM(D36+D54)</f>
        <v>1814</v>
      </c>
      <c r="E18" s="149">
        <f t="shared" si="13"/>
        <v>2562</v>
      </c>
      <c r="F18" s="149">
        <f t="shared" ref="F18:G18" si="14">SUM(F36+F54)</f>
        <v>3509</v>
      </c>
      <c r="G18" s="150">
        <f t="shared" si="14"/>
        <v>4425</v>
      </c>
      <c r="H18" s="153">
        <f>IF('AW Schüler'!$D66=0,"x",C18/'AW Schüler'!$D66)</f>
        <v>0.4735112936344969</v>
      </c>
      <c r="I18" s="153">
        <f>IF('AW Schüler'!$G66=0,"x",D18/'AW Schüler'!$G66)</f>
        <v>0.52246543778801846</v>
      </c>
      <c r="J18" s="153">
        <f>IF('AW Schüler'!$J66=0,"x",E18/'AW Schüler'!$J66)</f>
        <v>0.56073539067629674</v>
      </c>
      <c r="K18" s="153">
        <f>IF('AW Schüler'!$M66=0,"x",F18/'AW Schüler'!$M66)</f>
        <v>0.60479145122371591</v>
      </c>
      <c r="L18" s="154">
        <f>IF('AW Schüler'!$P66=0,"x",G18/'AW Schüler'!$P66)</f>
        <v>0.66822712171549381</v>
      </c>
    </row>
    <row r="19" spans="1:12" ht="9" customHeight="1">
      <c r="A19" s="21" t="s">
        <v>176</v>
      </c>
      <c r="B19" s="120"/>
      <c r="C19" s="42">
        <f t="shared" si="0"/>
        <v>25029</v>
      </c>
      <c r="D19" s="42">
        <f t="shared" ref="D19:E19" si="15">SUM(D37+D55)</f>
        <v>25430</v>
      </c>
      <c r="E19" s="42">
        <f t="shared" si="15"/>
        <v>27512</v>
      </c>
      <c r="F19" s="42">
        <f t="shared" ref="F19:G19" si="16">SUM(F37+F55)</f>
        <v>29678</v>
      </c>
      <c r="G19" s="44">
        <f t="shared" si="16"/>
        <v>29878</v>
      </c>
      <c r="H19" s="153">
        <f>IF('AW Schüler'!$D67=0,"x",C19/'AW Schüler'!$D67)</f>
        <v>0.63137581353110339</v>
      </c>
      <c r="I19" s="153">
        <f>IF('AW Schüler'!$G67=0,"x",D19/'AW Schüler'!$G67)</f>
        <v>0.63571821408929552</v>
      </c>
      <c r="J19" s="153">
        <f>IF('AW Schüler'!$J67=0,"x",E19/'AW Schüler'!$J67)</f>
        <v>0.6693428703500961</v>
      </c>
      <c r="K19" s="153">
        <f>IF('AW Schüler'!$M67=0,"x",F19/'AW Schüler'!$M67)</f>
        <v>0.70428818908849289</v>
      </c>
      <c r="L19" s="154">
        <f>IF('AW Schüler'!$P67=0,"x",G19/'AW Schüler'!$P67)</f>
        <v>0.70001405744810463</v>
      </c>
    </row>
    <row r="20" spans="1:12" ht="9" customHeight="1">
      <c r="A20" s="21" t="s">
        <v>88</v>
      </c>
      <c r="B20" s="120"/>
      <c r="C20" s="149">
        <f t="shared" si="0"/>
        <v>17593</v>
      </c>
      <c r="D20" s="149">
        <f t="shared" ref="D20:E20" si="17">SUM(D38+D56)</f>
        <v>29473</v>
      </c>
      <c r="E20" s="149">
        <f t="shared" si="17"/>
        <v>44106</v>
      </c>
      <c r="F20" s="149">
        <f t="shared" ref="F20:G20" si="18">SUM(F38+F56)</f>
        <v>56762</v>
      </c>
      <c r="G20" s="150">
        <f t="shared" si="18"/>
        <v>72428</v>
      </c>
      <c r="H20" s="153">
        <f>IF('AW Schüler'!$D68=0,"x",C20/'AW Schüler'!$D68)</f>
        <v>0.75629782477860885</v>
      </c>
      <c r="I20" s="153">
        <f>IF('AW Schüler'!$G68=0,"x",D20/'AW Schüler'!$G68)</f>
        <v>0.77371170556270186</v>
      </c>
      <c r="J20" s="153">
        <f>IF('AW Schüler'!$J68=0,"x",E20/'AW Schüler'!$J68)</f>
        <v>0.79054344708918844</v>
      </c>
      <c r="K20" s="153">
        <f>IF('AW Schüler'!$M68=0,"x",F20/'AW Schüler'!$M68)</f>
        <v>0.76125207875113998</v>
      </c>
      <c r="L20" s="154">
        <f>IF('AW Schüler'!$P68=0,"x",G20/'AW Schüler'!$P68)</f>
        <v>0.77293634277786671</v>
      </c>
    </row>
    <row r="21" spans="1:12" ht="9" customHeight="1">
      <c r="A21" s="21" t="s">
        <v>89</v>
      </c>
      <c r="B21" s="120"/>
      <c r="C21" s="149">
        <f t="shared" si="0"/>
        <v>6578</v>
      </c>
      <c r="D21" s="149">
        <f t="shared" ref="D21:E21" si="19">SUM(D39+D57)</f>
        <v>17099</v>
      </c>
      <c r="E21" s="149">
        <f t="shared" si="19"/>
        <v>28168</v>
      </c>
      <c r="F21" s="149">
        <f t="shared" ref="F21:G21" si="20">SUM(F39+F57)</f>
        <v>39449</v>
      </c>
      <c r="G21" s="150">
        <f t="shared" si="20"/>
        <v>50109</v>
      </c>
      <c r="H21" s="153">
        <f>IF('AW Schüler'!$D69=0,"x",C21/'AW Schüler'!$D69)</f>
        <v>0.86495726495726499</v>
      </c>
      <c r="I21" s="153">
        <f>IF('AW Schüler'!$G69=0,"x",D21/'AW Schüler'!$G69)</f>
        <v>0.88435479700025865</v>
      </c>
      <c r="J21" s="153">
        <f>IF('AW Schüler'!$J69=0,"x",E21/'AW Schüler'!$J69)</f>
        <v>0.85236178775683114</v>
      </c>
      <c r="K21" s="153">
        <f>IF('AW Schüler'!$M69=0,"x",F21/'AW Schüler'!$M69)</f>
        <v>0.90458610410456319</v>
      </c>
      <c r="L21" s="154">
        <f>IF('AW Schüler'!$P69=0,"x",G21/'AW Schüler'!$P69)</f>
        <v>0.91667276452509883</v>
      </c>
    </row>
    <row r="22" spans="1:12" ht="9" customHeight="1">
      <c r="A22" s="21" t="s">
        <v>90</v>
      </c>
      <c r="B22" s="120"/>
      <c r="C22" s="42">
        <f t="shared" si="0"/>
        <v>18985</v>
      </c>
      <c r="D22" s="42">
        <f t="shared" ref="D22:E22" si="21">SUM(D40+D58)</f>
        <v>18835</v>
      </c>
      <c r="E22" s="42">
        <f t="shared" si="21"/>
        <v>17334</v>
      </c>
      <c r="F22" s="42">
        <f t="shared" ref="F22:G22" si="22">SUM(F40+F58)</f>
        <v>17475</v>
      </c>
      <c r="G22" s="44">
        <f t="shared" si="22"/>
        <v>17710</v>
      </c>
      <c r="H22" s="153">
        <f>IF('AW Schüler'!$D70=0,"x",C22/'AW Schüler'!$D70)</f>
        <v>0.19941389017268182</v>
      </c>
      <c r="I22" s="153">
        <f>IF('AW Schüler'!$G70=0,"x",D22/'AW Schüler'!$G70)</f>
        <v>0.20126518705320412</v>
      </c>
      <c r="J22" s="153">
        <f>IF('AW Schüler'!$J70=0,"x",E22/'AW Schüler'!$J70)</f>
        <v>0.19556387923642762</v>
      </c>
      <c r="K22" s="153">
        <f>IF('AW Schüler'!$M70=0,"x",F22/'AW Schüler'!$M70)</f>
        <v>0.20480275648688559</v>
      </c>
      <c r="L22" s="154">
        <f>IF('AW Schüler'!$P70=0,"x",G22/'AW Schüler'!$P70)</f>
        <v>0.21365149833518313</v>
      </c>
    </row>
    <row r="23" spans="1:12" ht="9" customHeight="1">
      <c r="A23" s="21" t="s">
        <v>91</v>
      </c>
      <c r="B23" s="120"/>
      <c r="C23" s="42">
        <f t="shared" si="0"/>
        <v>3367</v>
      </c>
      <c r="D23" s="42">
        <f t="shared" ref="D23:E23" si="23">SUM(D41+D59)</f>
        <v>1622</v>
      </c>
      <c r="E23" s="42">
        <f t="shared" si="23"/>
        <v>103</v>
      </c>
      <c r="F23" s="42">
        <f t="shared" ref="F23:G23" si="24">SUM(F41+F59)</f>
        <v>102</v>
      </c>
      <c r="G23" s="44">
        <f t="shared" si="24"/>
        <v>49</v>
      </c>
      <c r="H23" s="153">
        <f>IF('AW Schüler'!$D71=0,"x",C23/'AW Schüler'!$D71)</f>
        <v>0.2198641765704584</v>
      </c>
      <c r="I23" s="153">
        <f>IF('AW Schüler'!$G71=0,"x",D23/'AW Schüler'!$G71)</f>
        <v>0.13567544960267672</v>
      </c>
      <c r="J23" s="153">
        <f>IF('AW Schüler'!$J71=0,"x",E23/'AW Schüler'!$J71)</f>
        <v>1.1811926605504588E-2</v>
      </c>
      <c r="K23" s="153">
        <f>IF('AW Schüler'!$M71=0,"x",F23/'AW Schüler'!$M71)</f>
        <v>1.9435975609756097E-2</v>
      </c>
      <c r="L23" s="154">
        <f>IF('AW Schüler'!$P71=0,"x",G23/'AW Schüler'!$P71)</f>
        <v>1</v>
      </c>
    </row>
    <row r="24" spans="1:12" ht="9" customHeight="1">
      <c r="A24" s="21" t="s">
        <v>92</v>
      </c>
      <c r="B24" s="120"/>
      <c r="C24" s="42">
        <f t="shared" si="0"/>
        <v>65616</v>
      </c>
      <c r="D24" s="42">
        <f t="shared" ref="D24:E24" si="25">SUM(D42+D60)</f>
        <v>67714</v>
      </c>
      <c r="E24" s="42">
        <f t="shared" si="25"/>
        <v>69005</v>
      </c>
      <c r="F24" s="42">
        <f t="shared" ref="F24:G24" si="26">SUM(F42+F60)</f>
        <v>70838</v>
      </c>
      <c r="G24" s="44">
        <f t="shared" si="26"/>
        <v>73745</v>
      </c>
      <c r="H24" s="153">
        <f>IF('AW Schüler'!$D72=0,"x",C24/'AW Schüler'!$D72)</f>
        <v>0.69408479309469406</v>
      </c>
      <c r="I24" s="153">
        <f>IF('AW Schüler'!$G72=0,"x",D24/'AW Schüler'!$G72)</f>
        <v>0.6946023018689863</v>
      </c>
      <c r="J24" s="153">
        <f>IF('AW Schüler'!$J72=0,"x",E24/'AW Schüler'!$J72)</f>
        <v>0.688603931743339</v>
      </c>
      <c r="K24" s="153">
        <f>IF('AW Schüler'!$M72=0,"x",F24/'AW Schüler'!$M72)</f>
        <v>0.68269694107669476</v>
      </c>
      <c r="L24" s="154">
        <f>IF('AW Schüler'!$P72=0,"x",G24/'AW Schüler'!$P72)</f>
        <v>0.68936667445664879</v>
      </c>
    </row>
    <row r="25" spans="1:12" ht="9" customHeight="1">
      <c r="A25" s="21" t="s">
        <v>93</v>
      </c>
      <c r="B25" s="120"/>
      <c r="C25" s="42">
        <f t="shared" si="0"/>
        <v>16950</v>
      </c>
      <c r="D25" s="42">
        <f t="shared" ref="D25:E25" si="27">SUM(D43+D61)</f>
        <v>17762</v>
      </c>
      <c r="E25" s="42">
        <f t="shared" si="27"/>
        <v>16438</v>
      </c>
      <c r="F25" s="42">
        <f t="shared" ref="F25:G25" si="28">SUM(F43+F61)</f>
        <v>16962</v>
      </c>
      <c r="G25" s="44">
        <f t="shared" si="28"/>
        <v>16027</v>
      </c>
      <c r="H25" s="182">
        <v>0</v>
      </c>
      <c r="I25" s="182">
        <v>0</v>
      </c>
      <c r="J25" s="182">
        <v>0</v>
      </c>
      <c r="K25" s="182">
        <v>0</v>
      </c>
      <c r="L25" s="196">
        <v>0</v>
      </c>
    </row>
    <row r="26" spans="1:12" ht="9" customHeight="1">
      <c r="A26" s="21" t="s">
        <v>94</v>
      </c>
      <c r="B26" s="120"/>
      <c r="C26" s="42">
        <f t="shared" si="0"/>
        <v>4146</v>
      </c>
      <c r="D26" s="42">
        <f t="shared" ref="D26:E26" si="29">SUM(D44+D62)</f>
        <v>4987</v>
      </c>
      <c r="E26" s="42">
        <f t="shared" si="29"/>
        <v>4565</v>
      </c>
      <c r="F26" s="42">
        <f t="shared" ref="F26:G26" si="30">SUM(F44+F62)</f>
        <v>3920</v>
      </c>
      <c r="G26" s="44">
        <f t="shared" si="30"/>
        <v>2636</v>
      </c>
      <c r="H26" s="153">
        <f>IF('AW Schüler'!$D74=0,"x",C26/'AW Schüler'!$D74)</f>
        <v>0.22555900114248409</v>
      </c>
      <c r="I26" s="153">
        <f>IF('AW Schüler'!$G74=0,"x",D26/'AW Schüler'!$G74)</f>
        <v>0.23966743560169165</v>
      </c>
      <c r="J26" s="153">
        <f>IF('AW Schüler'!$J74=0,"x",E26/'AW Schüler'!$J74)</f>
        <v>0.2558139534883721</v>
      </c>
      <c r="K26" s="153">
        <f>IF('AW Schüler'!$M74=0,"x",F26/'AW Schüler'!$M74)</f>
        <v>0.2800200014286735</v>
      </c>
      <c r="L26" s="154">
        <f>IF('AW Schüler'!$P74=0,"x",G26/'AW Schüler'!$P74)</f>
        <v>0.27527151211361739</v>
      </c>
    </row>
    <row r="27" spans="1:12" ht="9" customHeight="1">
      <c r="A27" s="21" t="s">
        <v>95</v>
      </c>
      <c r="B27" s="120"/>
      <c r="C27" s="42">
        <f t="shared" si="0"/>
        <v>10966</v>
      </c>
      <c r="D27" s="42">
        <f t="shared" ref="D27:E27" si="31">SUM(D45+D63)</f>
        <v>10434</v>
      </c>
      <c r="E27" s="42">
        <f t="shared" si="31"/>
        <v>9944</v>
      </c>
      <c r="F27" s="42">
        <f t="shared" ref="F27:G27" si="32">SUM(F45+F63)</f>
        <v>9962</v>
      </c>
      <c r="G27" s="44">
        <f t="shared" si="32"/>
        <v>9317</v>
      </c>
      <c r="H27" s="153">
        <f>IF('AW Schüler'!$D75=0,"x",C27/'AW Schüler'!$D75)</f>
        <v>0.23127702203943901</v>
      </c>
      <c r="I27" s="153">
        <f>IF('AW Schüler'!$G75=0,"x",D27/'AW Schüler'!$G75)</f>
        <v>0.22310126582278481</v>
      </c>
      <c r="J27" s="153">
        <f>IF('AW Schüler'!$J75=0,"x",E27/'AW Schüler'!$J75)</f>
        <v>0.21793157860132811</v>
      </c>
      <c r="K27" s="153">
        <f>IF('AW Schüler'!$M75=0,"x",F27/'AW Schüler'!$M75)</f>
        <v>0.21945631581266248</v>
      </c>
      <c r="L27" s="154">
        <f>IF('AW Schüler'!$P75=0,"x",G27/'AW Schüler'!$P75)</f>
        <v>0.20748246297739673</v>
      </c>
    </row>
    <row r="28" spans="1:12" ht="9" customHeight="1">
      <c r="A28" s="21" t="s">
        <v>96</v>
      </c>
      <c r="B28" s="120"/>
      <c r="C28" s="42">
        <f t="shared" si="0"/>
        <v>192519</v>
      </c>
      <c r="D28" s="42">
        <f t="shared" ref="D28:E28" si="33">SUM(D46+D64)</f>
        <v>216506</v>
      </c>
      <c r="E28" s="42">
        <f t="shared" si="33"/>
        <v>241621</v>
      </c>
      <c r="F28" s="42">
        <f t="shared" ref="F28:G28" si="34">SUM(F46+F64)</f>
        <v>270625</v>
      </c>
      <c r="G28" s="44">
        <f t="shared" si="34"/>
        <v>298637</v>
      </c>
      <c r="H28" s="153">
        <f>IF('AW Schüler'!$D76=0,"x",C28/'AW Schüler'!$D76)</f>
        <v>0.45268551220131581</v>
      </c>
      <c r="I28" s="153">
        <f>IF('AW Schüler'!$G76=0,"x",D28/'AW Schüler'!$G76)</f>
        <v>0.48270019240587608</v>
      </c>
      <c r="J28" s="153">
        <f>IF('AW Schüler'!$J76=0,"x",E28/'AW Schüler'!$J76)</f>
        <v>0.51382485539299083</v>
      </c>
      <c r="K28" s="153">
        <f>IF('AW Schüler'!$M76=0,"x",F28/'AW Schüler'!$M76)</f>
        <v>0.55148444839328259</v>
      </c>
      <c r="L28" s="154">
        <f>IF('AW Schüler'!$P76=0,"x",G28/'AW Schüler'!$P76)</f>
        <v>0.58462505236698781</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151">
        <f>'3.2.5'!C30+'3.3.5'!C30</f>
        <v>0</v>
      </c>
      <c r="D30" s="151">
        <f>'3.2.5'!D30+'3.3.5'!D30</f>
        <v>0</v>
      </c>
      <c r="E30" s="151">
        <f>'3.2.5'!E30+'3.3.5'!E30</f>
        <v>0</v>
      </c>
      <c r="F30" s="151">
        <f>'3.2.5'!F30+'3.3.5'!F30</f>
        <v>0</v>
      </c>
      <c r="G30" s="152">
        <f>'3.2.5'!G30+'3.3.5'!G30</f>
        <v>0</v>
      </c>
      <c r="H30" s="155" t="str">
        <f>IF('AW Schüler'!$D60=0,"x",C30/'AW Schüler'!$D60)</f>
        <v>x</v>
      </c>
      <c r="I30" s="155" t="str">
        <f>IF('AW Schüler'!$G60=0,"x",D30/'AW Schüler'!$G60)</f>
        <v>x</v>
      </c>
      <c r="J30" s="155" t="str">
        <f>IF('AW Schüler'!$J60=0,"x",E30/'AW Schüler'!$J60)</f>
        <v>x</v>
      </c>
      <c r="K30" s="155" t="str">
        <f>IF('AW Schüler'!$M60=0,"x",F30/'AW Schüler'!$M60)</f>
        <v>x</v>
      </c>
      <c r="L30" s="156" t="str">
        <f>IF('AW Schüler'!$P60=0,"x",G30/'AW Schüler'!$P60)</f>
        <v>x</v>
      </c>
    </row>
    <row r="31" spans="1:12" ht="9" customHeight="1">
      <c r="A31" s="21" t="s">
        <v>81</v>
      </c>
      <c r="B31" s="120"/>
      <c r="C31" s="151">
        <f>'3.2.5'!C31+'3.3.5'!C31</f>
        <v>0</v>
      </c>
      <c r="D31" s="151">
        <f>'3.2.5'!D31+'3.3.5'!D31</f>
        <v>0</v>
      </c>
      <c r="E31" s="151">
        <f>'3.2.5'!E31+'3.3.5'!E31</f>
        <v>0</v>
      </c>
      <c r="F31" s="151" t="e">
        <f>'3.2.5'!F31+'3.3.5'!F31</f>
        <v>#VALUE!</v>
      </c>
      <c r="G31" s="152">
        <f>'3.2.5'!G31+'3.3.5'!G31</f>
        <v>0</v>
      </c>
      <c r="H31" s="155" t="str">
        <f>IF('AW Schüler'!$D61=0,"x",C31/'AW Schüler'!$D61)</f>
        <v>x</v>
      </c>
      <c r="I31" s="155" t="str">
        <f>IF('AW Schüler'!$G61=0,"x",D31/'AW Schüler'!$G61)</f>
        <v>x</v>
      </c>
      <c r="J31" s="155" t="str">
        <f>IF('AW Schüler'!$J61=0,"x",E31/'AW Schüler'!$J61)</f>
        <v>x</v>
      </c>
      <c r="K31" s="155" t="str">
        <f>IF('AW Schüler'!$M61=0,"x",F31/'AW Schüler'!$M61)</f>
        <v>x</v>
      </c>
      <c r="L31" s="156" t="str">
        <f>IF('AW Schüler'!$P61=0,"x",G31/'AW Schüler'!$P61)</f>
        <v>x</v>
      </c>
    </row>
    <row r="32" spans="1:12" ht="9" customHeight="1">
      <c r="A32" s="21" t="s">
        <v>82</v>
      </c>
      <c r="B32" s="120"/>
      <c r="C32" s="151">
        <f>'3.2.5'!C32+'3.3.5'!C32</f>
        <v>0</v>
      </c>
      <c r="D32" s="151">
        <f>'3.2.5'!D32+'3.3.5'!D32</f>
        <v>0</v>
      </c>
      <c r="E32" s="151">
        <f>'3.2.5'!E32+'3.3.5'!E32</f>
        <v>0</v>
      </c>
      <c r="F32" s="151">
        <f>'3.2.5'!F32+'3.3.5'!F32</f>
        <v>0</v>
      </c>
      <c r="G32" s="152">
        <f>'3.2.5'!G32+'3.3.5'!G32</f>
        <v>0</v>
      </c>
      <c r="H32" s="155" t="str">
        <f>IF('AW Schüler'!$D62=0,"x",C32/'AW Schüler'!$D62)</f>
        <v>x</v>
      </c>
      <c r="I32" s="155" t="str">
        <f>IF('AW Schüler'!$G62=0,"x",D32/'AW Schüler'!$G62)</f>
        <v>x</v>
      </c>
      <c r="J32" s="155" t="str">
        <f>IF('AW Schüler'!$J62=0,"x",E32/'AW Schüler'!$J62)</f>
        <v>x</v>
      </c>
      <c r="K32" s="155" t="str">
        <f>IF('AW Schüler'!$M62=0,"x",F32/'AW Schüler'!$M62)</f>
        <v>x</v>
      </c>
      <c r="L32" s="156" t="str">
        <f>IF('AW Schüler'!$P62=0,"x",G32/'AW Schüler'!$P62)</f>
        <v>x</v>
      </c>
    </row>
    <row r="33" spans="1:12" ht="9" customHeight="1">
      <c r="A33" s="21" t="s">
        <v>83</v>
      </c>
      <c r="B33" s="120"/>
      <c r="C33" s="23">
        <f>'3.2.5'!C33+'3.3.5'!C33</f>
        <v>15263</v>
      </c>
      <c r="D33" s="23">
        <f>'3.2.5'!D33+'3.3.5'!D33</f>
        <v>15801</v>
      </c>
      <c r="E33" s="23">
        <f>'3.2.5'!E33+'3.3.5'!E33</f>
        <v>16275</v>
      </c>
      <c r="F33" s="23">
        <f>'3.2.5'!F33+'3.3.5'!F33</f>
        <v>16434</v>
      </c>
      <c r="G33" s="34">
        <f>'3.2.5'!G33+'3.3.5'!G33</f>
        <v>16714</v>
      </c>
      <c r="H33" s="155">
        <f>IF('AW Schüler'!$D63=0,"x",C33/'AW Schüler'!$D63)</f>
        <v>0.49635772357723579</v>
      </c>
      <c r="I33" s="155">
        <f>IF('AW Schüler'!$G63=0,"x",D33/'AW Schüler'!$G63)</f>
        <v>0.49883192322262909</v>
      </c>
      <c r="J33" s="155">
        <f>IF('AW Schüler'!$J63=0,"x",E33/'AW Schüler'!$J63)</f>
        <v>0.50067679812957611</v>
      </c>
      <c r="K33" s="155">
        <f>IF('AW Schüler'!$M63=0,"x",F33/'AW Schüler'!$M63)</f>
        <v>0.50726919159181405</v>
      </c>
      <c r="L33" s="156">
        <f>IF('AW Schüler'!$P63=0,"x",G33/'AW Schüler'!$P63)</f>
        <v>0.51058500076370861</v>
      </c>
    </row>
    <row r="34" spans="1:12" ht="9" customHeight="1">
      <c r="A34" s="21" t="s">
        <v>84</v>
      </c>
      <c r="B34" s="120"/>
      <c r="C34" s="23">
        <f>'3.2.5'!C34+'3.3.5'!C34</f>
        <v>218</v>
      </c>
      <c r="D34" s="23">
        <f>'3.2.5'!D34+'3.3.5'!D34</f>
        <v>159</v>
      </c>
      <c r="E34" s="23">
        <f>'3.2.5'!E34+'3.3.5'!E34</f>
        <v>96</v>
      </c>
      <c r="F34" s="23">
        <f>'3.2.5'!F34+'3.3.5'!F34</f>
        <v>85</v>
      </c>
      <c r="G34" s="34">
        <f>'3.2.5'!G34+'3.3.5'!G34</f>
        <v>0</v>
      </c>
      <c r="H34" s="155">
        <f>IF('AW Schüler'!$D64=0,"x",C34/'AW Schüler'!$D64)</f>
        <v>4.3443603029095258E-2</v>
      </c>
      <c r="I34" s="155">
        <f>IF('AW Schüler'!$G64=0,"x",D34/'AW Schüler'!$G64)</f>
        <v>4.3513957307060758E-2</v>
      </c>
      <c r="J34" s="155">
        <f>IF('AW Schüler'!$J64=0,"x",E34/'AW Schüler'!$J64)</f>
        <v>4.2031523642732049E-2</v>
      </c>
      <c r="K34" s="155">
        <f>IF('AW Schüler'!$M64=0,"x",F34/'AW Schüler'!$M64)</f>
        <v>0.10442260442260443</v>
      </c>
      <c r="L34" s="156">
        <f>IF('AW Schüler'!$P64=0,"x",G34/'AW Schüler'!$P64)</f>
        <v>0</v>
      </c>
    </row>
    <row r="35" spans="1:12" ht="9" customHeight="1">
      <c r="A35" s="21" t="s">
        <v>85</v>
      </c>
      <c r="B35" s="120"/>
      <c r="C35" s="23">
        <f>'3.2.5'!C35+'3.3.5'!C35</f>
        <v>698</v>
      </c>
      <c r="D35" s="151">
        <f>'3.2.5'!D35+'3.3.5'!D35</f>
        <v>0</v>
      </c>
      <c r="E35" s="151">
        <f>'3.2.5'!E35+'3.3.5'!E35</f>
        <v>0</v>
      </c>
      <c r="F35" s="151">
        <f>'3.2.5'!F35+'3.3.5'!F35</f>
        <v>0</v>
      </c>
      <c r="G35" s="152">
        <f>'3.2.5'!G35+'3.3.5'!G35</f>
        <v>0</v>
      </c>
      <c r="H35" s="155">
        <f>IF('AW Schüler'!$D65=0,"x",C35/'AW Schüler'!$D65)</f>
        <v>0.29463908822287888</v>
      </c>
      <c r="I35" s="155" t="str">
        <f>IF('AW Schüler'!$G65=0,"x",D35/'AW Schüler'!$G65)</f>
        <v>x</v>
      </c>
      <c r="J35" s="155" t="str">
        <f>IF('AW Schüler'!$J65=0,"x",E35/'AW Schüler'!$J65)</f>
        <v>x</v>
      </c>
      <c r="K35" s="155" t="str">
        <f>IF('AW Schüler'!$M65=0,"x",F35/'AW Schüler'!$M65)</f>
        <v>x</v>
      </c>
      <c r="L35" s="156" t="str">
        <f>IF('AW Schüler'!$P65=0,"x",G35/'AW Schüler'!$P65)</f>
        <v>x</v>
      </c>
    </row>
    <row r="36" spans="1:12" ht="9" customHeight="1">
      <c r="A36" s="21" t="s">
        <v>86</v>
      </c>
      <c r="B36" s="120"/>
      <c r="C36" s="23">
        <f>'3.2.5'!C36+'3.3.5'!C36</f>
        <v>0</v>
      </c>
      <c r="D36" s="23">
        <f>'3.2.5'!D36+'3.3.5'!D36</f>
        <v>0</v>
      </c>
      <c r="E36" s="23">
        <f>'3.2.5'!E36+'3.3.5'!E36</f>
        <v>0</v>
      </c>
      <c r="F36" s="23">
        <f>'3.2.5'!F36+'3.3.5'!F36</f>
        <v>0</v>
      </c>
      <c r="G36" s="34">
        <f>'3.2.5'!G36+'3.3.5'!G36</f>
        <v>0</v>
      </c>
      <c r="H36" s="155">
        <f>IF('AW Schüler'!$D66=0,"x",C36/'AW Schüler'!$D66)</f>
        <v>0</v>
      </c>
      <c r="I36" s="155">
        <f>IF('AW Schüler'!$G66=0,"x",D36/'AW Schüler'!$G66)</f>
        <v>0</v>
      </c>
      <c r="J36" s="155">
        <f>IF('AW Schüler'!$J66=0,"x",E36/'AW Schüler'!$J66)</f>
        <v>0</v>
      </c>
      <c r="K36" s="155">
        <f>IF('AW Schüler'!$M66=0,"x",F36/'AW Schüler'!$M66)</f>
        <v>0</v>
      </c>
      <c r="L36" s="156">
        <f>IF('AW Schüler'!$P66=0,"x",G36/'AW Schüler'!$P66)</f>
        <v>0</v>
      </c>
    </row>
    <row r="37" spans="1:12" ht="9" customHeight="1">
      <c r="A37" s="21" t="s">
        <v>176</v>
      </c>
      <c r="B37" s="120"/>
      <c r="C37" s="23">
        <f>'3.2.5'!C37+'3.3.5'!C37</f>
        <v>15794</v>
      </c>
      <c r="D37" s="23">
        <f>'3.2.5'!D37+'3.3.5'!D37</f>
        <v>15968</v>
      </c>
      <c r="E37" s="23">
        <f>'3.2.5'!E37+'3.3.5'!E37</f>
        <v>17202</v>
      </c>
      <c r="F37" s="23">
        <f>'3.2.5'!F37+'3.3.5'!F37</f>
        <v>18872</v>
      </c>
      <c r="G37" s="34">
        <f>'3.2.5'!G37+'3.3.5'!G37</f>
        <v>22832</v>
      </c>
      <c r="H37" s="155">
        <f>IF('AW Schüler'!$D67=0,"x",C37/'AW Schüler'!$D67)</f>
        <v>0.39841582160334998</v>
      </c>
      <c r="I37" s="155">
        <f>IF('AW Schüler'!$G67=0,"x",D37/'AW Schüler'!$G67)</f>
        <v>0.39918004099795013</v>
      </c>
      <c r="J37" s="155">
        <f>IF('AW Schüler'!$J67=0,"x",E37/'AW Schüler'!$J67)</f>
        <v>0.41850959783957375</v>
      </c>
      <c r="K37" s="155">
        <f>IF('AW Schüler'!$M67=0,"x",F37/'AW Schüler'!$M67)</f>
        <v>0.44785115925864399</v>
      </c>
      <c r="L37" s="156">
        <f>IF('AW Schüler'!$P67=0,"x",G37/'AW Schüler'!$P67)</f>
        <v>0.53493275853989974</v>
      </c>
    </row>
    <row r="38" spans="1:12" ht="9" customHeight="1">
      <c r="A38" s="21" t="s">
        <v>88</v>
      </c>
      <c r="B38" s="120"/>
      <c r="C38" s="151">
        <f>'3.2.5'!C38+'3.3.5'!C38</f>
        <v>14698</v>
      </c>
      <c r="D38" s="151">
        <f>'3.2.5'!D38+'3.3.5'!D38</f>
        <v>25593</v>
      </c>
      <c r="E38" s="151">
        <f>'3.2.5'!E38+'3.3.5'!E38</f>
        <v>38397</v>
      </c>
      <c r="F38" s="151">
        <f>'3.2.5'!F38+'3.3.5'!F38</f>
        <v>50505</v>
      </c>
      <c r="G38" s="152">
        <f>'3.2.5'!G38+'3.3.5'!G38</f>
        <v>64099</v>
      </c>
      <c r="H38" s="155">
        <f>IF('AW Schüler'!$D68=0,"x",C38/'AW Schüler'!$D68)</f>
        <v>0.6318459289828906</v>
      </c>
      <c r="I38" s="155">
        <f>IF('AW Schüler'!$G68=0,"x",D38/'AW Schüler'!$G68)</f>
        <v>0.67185572152363948</v>
      </c>
      <c r="J38" s="155">
        <f>IF('AW Schüler'!$J68=0,"x",E38/'AW Schüler'!$J68)</f>
        <v>0.68821694866647543</v>
      </c>
      <c r="K38" s="155">
        <f>IF('AW Schüler'!$M68=0,"x",F38/'AW Schüler'!$M68)</f>
        <v>0.67733758918512954</v>
      </c>
      <c r="L38" s="156">
        <f>IF('AW Schüler'!$P68=0,"x",G38/'AW Schüler'!$P68)</f>
        <v>0.68405101115201961</v>
      </c>
    </row>
    <row r="39" spans="1:12" ht="9" customHeight="1">
      <c r="A39" s="21" t="s">
        <v>89</v>
      </c>
      <c r="B39" s="120"/>
      <c r="C39" s="151">
        <f>'3.2.5'!C39+'3.3.5'!C39</f>
        <v>6578</v>
      </c>
      <c r="D39" s="151">
        <f>'3.2.5'!D39+'3.3.5'!D39</f>
        <v>17099</v>
      </c>
      <c r="E39" s="151">
        <f>'3.2.5'!E39+'3.3.5'!E39</f>
        <v>28168</v>
      </c>
      <c r="F39" s="151">
        <f>'3.2.5'!F39+'3.3.5'!F39</f>
        <v>39449</v>
      </c>
      <c r="G39" s="152">
        <f>'3.2.5'!G39+'3.3.5'!G39</f>
        <v>50109</v>
      </c>
      <c r="H39" s="155">
        <f>IF('AW Schüler'!$D69=0,"x",C39/'AW Schüler'!$D69)</f>
        <v>0.86495726495726499</v>
      </c>
      <c r="I39" s="155">
        <f>IF('AW Schüler'!$G69=0,"x",D39/'AW Schüler'!$G69)</f>
        <v>0.88435479700025865</v>
      </c>
      <c r="J39" s="155">
        <f>IF('AW Schüler'!$J69=0,"x",E39/'AW Schüler'!$J69)</f>
        <v>0.85236178775683114</v>
      </c>
      <c r="K39" s="155">
        <f>IF('AW Schüler'!$M69=0,"x",F39/'AW Schüler'!$M69)</f>
        <v>0.90458610410456319</v>
      </c>
      <c r="L39" s="156">
        <f>IF('AW Schüler'!$P69=0,"x",G39/'AW Schüler'!$P69)</f>
        <v>0.91667276452509883</v>
      </c>
    </row>
    <row r="40" spans="1:12" ht="9" customHeight="1">
      <c r="A40" s="21" t="s">
        <v>90</v>
      </c>
      <c r="B40" s="120"/>
      <c r="C40" s="23">
        <f>'3.2.5'!C40+'3.3.5'!C40</f>
        <v>18941</v>
      </c>
      <c r="D40" s="23">
        <f>'3.2.5'!D40+'3.3.5'!D40</f>
        <v>18606</v>
      </c>
      <c r="E40" s="23">
        <f>'3.2.5'!E40+'3.3.5'!E40</f>
        <v>17224</v>
      </c>
      <c r="F40" s="23">
        <f>'3.2.5'!F40+'3.3.5'!F40</f>
        <v>17243</v>
      </c>
      <c r="G40" s="34">
        <f>'3.2.5'!G40+'3.3.5'!G40</f>
        <v>17433</v>
      </c>
      <c r="H40" s="155">
        <f>IF('AW Schüler'!$D70=0,"x",C40/'AW Schüler'!$D70)</f>
        <v>0.19895172471744885</v>
      </c>
      <c r="I40" s="155">
        <f>IF('AW Schüler'!$G70=0,"x",D40/'AW Schüler'!$G70)</f>
        <v>0.1988181614182063</v>
      </c>
      <c r="J40" s="155">
        <f>IF('AW Schüler'!$J70=0,"x",E40/'AW Schüler'!$J70)</f>
        <v>0.19432284850399387</v>
      </c>
      <c r="K40" s="155">
        <f>IF('AW Schüler'!$M70=0,"x",F40/'AW Schüler'!$M70)</f>
        <v>0.20208377282422707</v>
      </c>
      <c r="L40" s="156">
        <f>IF('AW Schüler'!$P70=0,"x",G40/'AW Schüler'!$P70)</f>
        <v>0.2103098007045312</v>
      </c>
    </row>
    <row r="41" spans="1:12" ht="9" customHeight="1">
      <c r="A41" s="21" t="s">
        <v>91</v>
      </c>
      <c r="B41" s="120"/>
      <c r="C41" s="23">
        <f>'3.2.5'!C41+'3.3.5'!C41</f>
        <v>1775</v>
      </c>
      <c r="D41" s="23">
        <f>'3.2.5'!D41+'3.3.5'!D41</f>
        <v>678</v>
      </c>
      <c r="E41" s="23">
        <f>'3.2.5'!E41+'3.3.5'!E41</f>
        <v>0</v>
      </c>
      <c r="F41" s="23">
        <f>'3.2.5'!F41+'3.3.5'!F41</f>
        <v>0</v>
      </c>
      <c r="G41" s="34">
        <f>'3.2.5'!G41+'3.3.5'!G41</f>
        <v>0</v>
      </c>
      <c r="H41" s="155">
        <f>IF('AW Schüler'!$D71=0,"x",C41/'AW Schüler'!$D71)</f>
        <v>0.1159070131905446</v>
      </c>
      <c r="I41" s="155">
        <f>IF('AW Schüler'!$G71=0,"x",D41/'AW Schüler'!$G71)</f>
        <v>5.6712672521957337E-2</v>
      </c>
      <c r="J41" s="155">
        <f>IF('AW Schüler'!$J71=0,"x",E41/'AW Schüler'!$J71)</f>
        <v>0</v>
      </c>
      <c r="K41" s="155">
        <f>IF('AW Schüler'!$M71=0,"x",F41/'AW Schüler'!$M71)</f>
        <v>0</v>
      </c>
      <c r="L41" s="156">
        <f>IF('AW Schüler'!$P71=0,"x",G41/'AW Schüler'!$P71)</f>
        <v>0</v>
      </c>
    </row>
    <row r="42" spans="1:12" ht="9" customHeight="1">
      <c r="A42" s="21" t="s">
        <v>92</v>
      </c>
      <c r="B42" s="120"/>
      <c r="C42" s="23">
        <f>'3.2.5'!C42+'3.3.5'!C42</f>
        <v>27401</v>
      </c>
      <c r="D42" s="23">
        <f>'3.2.5'!D42+'3.3.5'!D42</f>
        <v>27726</v>
      </c>
      <c r="E42" s="23">
        <f>'3.2.5'!E42+'3.3.5'!E42</f>
        <v>28115</v>
      </c>
      <c r="F42" s="23">
        <f>'3.2.5'!F42+'3.3.5'!F42</f>
        <v>29214</v>
      </c>
      <c r="G42" s="34">
        <f>'3.2.5'!G42+'3.3.5'!G42</f>
        <v>29143</v>
      </c>
      <c r="H42" s="155">
        <f>IF('AW Schüler'!$D72=0,"x",C42/'AW Schüler'!$D72)</f>
        <v>0.28984725395616484</v>
      </c>
      <c r="I42" s="155">
        <f>IF('AW Schüler'!$G72=0,"x",D42/'AW Schüler'!$G72)</f>
        <v>0.28441006913813266</v>
      </c>
      <c r="J42" s="155">
        <f>IF('AW Schüler'!$J72=0,"x",E42/'AW Schüler'!$J72)</f>
        <v>0.28056082227322621</v>
      </c>
      <c r="K42" s="155">
        <f>IF('AW Schüler'!$M72=0,"x",F42/'AW Schüler'!$M72)</f>
        <v>0.28154815828530677</v>
      </c>
      <c r="L42" s="156">
        <f>IF('AW Schüler'!$P72=0,"x",G42/'AW Schüler'!$P72)</f>
        <v>0.27242813741528393</v>
      </c>
    </row>
    <row r="43" spans="1:12" ht="9" customHeight="1">
      <c r="A43" s="21" t="s">
        <v>93</v>
      </c>
      <c r="B43" s="120"/>
      <c r="C43" s="23">
        <f>'3.2.5'!C43+'3.3.5'!C43</f>
        <v>8339</v>
      </c>
      <c r="D43" s="23">
        <f>'3.2.5'!D43+'3.3.5'!D43</f>
        <v>8818</v>
      </c>
      <c r="E43" s="23">
        <f>'3.2.5'!E43+'3.3.5'!E43</f>
        <v>8017</v>
      </c>
      <c r="F43" s="23">
        <f>'3.2.5'!F43+'3.3.5'!F43</f>
        <v>8810</v>
      </c>
      <c r="G43" s="34">
        <f>'3.2.5'!G43+'3.3.5'!G43</f>
        <v>6679</v>
      </c>
      <c r="H43" s="183">
        <v>0</v>
      </c>
      <c r="I43" s="183">
        <v>0</v>
      </c>
      <c r="J43" s="183">
        <v>0</v>
      </c>
      <c r="K43" s="183">
        <v>0</v>
      </c>
      <c r="L43" s="197">
        <v>0</v>
      </c>
    </row>
    <row r="44" spans="1:12" ht="9" customHeight="1">
      <c r="A44" s="21" t="s">
        <v>94</v>
      </c>
      <c r="B44" s="120"/>
      <c r="C44" s="23">
        <f>'3.2.5'!C44+'3.3.5'!C44</f>
        <v>612</v>
      </c>
      <c r="D44" s="23">
        <f>'3.2.5'!D44+'3.3.5'!D44</f>
        <v>671</v>
      </c>
      <c r="E44" s="23">
        <f>'3.2.5'!E44+'3.3.5'!E44</f>
        <v>465</v>
      </c>
      <c r="F44" s="23">
        <f>'3.2.5'!F44+'3.3.5'!F44</f>
        <v>355</v>
      </c>
      <c r="G44" s="34">
        <f>'3.2.5'!G44+'3.3.5'!G44</f>
        <v>166</v>
      </c>
      <c r="H44" s="155">
        <f>IF('AW Schüler'!$D74=0,"x",C44/'AW Schüler'!$D74)</f>
        <v>3.3295250530439038E-2</v>
      </c>
      <c r="I44" s="155">
        <f>IF('AW Schüler'!$G74=0,"x",D44/'AW Schüler'!$G74)</f>
        <v>3.2247212610534412E-2</v>
      </c>
      <c r="J44" s="155">
        <f>IF('AW Schüler'!$J74=0,"x",E44/'AW Schüler'!$J74)</f>
        <v>2.6057719249089381E-2</v>
      </c>
      <c r="K44" s="155">
        <f>IF('AW Schüler'!$M74=0,"x",F44/'AW Schüler'!$M74)</f>
        <v>2.5358954211015073E-2</v>
      </c>
      <c r="L44" s="156">
        <f>IF('AW Schüler'!$P74=0,"x",G44/'AW Schüler'!$P74)</f>
        <v>1.7335004177109439E-2</v>
      </c>
    </row>
    <row r="45" spans="1:12" ht="9" customHeight="1">
      <c r="A45" s="21" t="s">
        <v>95</v>
      </c>
      <c r="B45" s="120"/>
      <c r="C45" s="23">
        <f>'3.2.5'!C45+'3.3.5'!C45</f>
        <v>3158</v>
      </c>
      <c r="D45" s="23">
        <f>'3.2.5'!D45+'3.3.5'!D45</f>
        <v>3614</v>
      </c>
      <c r="E45" s="23">
        <f>'3.2.5'!E45+'3.3.5'!E45</f>
        <v>4214</v>
      </c>
      <c r="F45" s="23">
        <f>'3.2.5'!F45+'3.3.5'!F45</f>
        <v>3831</v>
      </c>
      <c r="G45" s="34">
        <f>'3.2.5'!G45+'3.3.5'!G45</f>
        <v>4286</v>
      </c>
      <c r="H45" s="155">
        <f>IF('AW Schüler'!$D75=0,"x",C45/'AW Schüler'!$D75)</f>
        <v>6.6603395549931457E-2</v>
      </c>
      <c r="I45" s="155">
        <f>IF('AW Schüler'!$G75=0,"x",D45/'AW Schüler'!$G75)</f>
        <v>7.7275059869996582E-2</v>
      </c>
      <c r="J45" s="155">
        <f>IF('AW Schüler'!$J75=0,"x",E45/'AW Schüler'!$J75)</f>
        <v>9.235354708628285E-2</v>
      </c>
      <c r="K45" s="155">
        <f>IF('AW Schüler'!$M75=0,"x",F45/'AW Schüler'!$M75)</f>
        <v>8.4394413358593642E-2</v>
      </c>
      <c r="L45" s="156">
        <f>IF('AW Schüler'!$P75=0,"x",G45/'AW Schüler'!$P75)</f>
        <v>9.5445941431911818E-2</v>
      </c>
    </row>
    <row r="46" spans="1:12" ht="9" customHeight="1">
      <c r="A46" s="21" t="s">
        <v>96</v>
      </c>
      <c r="B46" s="120"/>
      <c r="C46" s="23">
        <f>'3.2.5'!C46+'3.3.5'!C46</f>
        <v>113475</v>
      </c>
      <c r="D46" s="23">
        <f>'3.2.5'!D46+'3.3.5'!D46</f>
        <v>134733</v>
      </c>
      <c r="E46" s="23">
        <f>'3.2.5'!E46+'3.3.5'!E46</f>
        <v>158173</v>
      </c>
      <c r="F46" s="23">
        <f>'3.2.5'!F46+'3.3.5'!F46</f>
        <v>184798</v>
      </c>
      <c r="G46" s="34">
        <f>'3.2.5'!G46+'3.3.5'!G46</f>
        <v>211461</v>
      </c>
      <c r="H46" s="155">
        <f>IF('AW Schüler'!$D76=0,"x",C46/'AW Schüler'!$D76)</f>
        <v>0.26682295512154286</v>
      </c>
      <c r="I46" s="155">
        <f>IF('AW Schüler'!$G76=0,"x",D46/'AW Schüler'!$G76)</f>
        <v>0.3003872642024743</v>
      </c>
      <c r="J46" s="155">
        <f>IF('AW Schüler'!$J76=0,"x",E46/'AW Schüler'!$J76)</f>
        <v>0.33636653623681523</v>
      </c>
      <c r="K46" s="155">
        <f>IF('AW Schüler'!$M76=0,"x",F46/'AW Schüler'!$M76)</f>
        <v>0.37658465808473657</v>
      </c>
      <c r="L46" s="156">
        <f>IF('AW Schüler'!$P76=0,"x",G46/'AW Schüler'!$P76)</f>
        <v>0.41396544366095167</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151">
        <f>'3.2.5'!C48+'3.3.5'!C48</f>
        <v>0</v>
      </c>
      <c r="D48" s="151">
        <f>'3.2.5'!D48+'3.3.5'!D48</f>
        <v>0</v>
      </c>
      <c r="E48" s="151">
        <f>'3.2.5'!E48+'3.3.5'!E48</f>
        <v>0</v>
      </c>
      <c r="F48" s="151">
        <f>'3.2.5'!F48+'3.3.5'!F48</f>
        <v>0</v>
      </c>
      <c r="G48" s="152">
        <f>'3.2.5'!G48+'3.3.5'!G48</f>
        <v>0</v>
      </c>
      <c r="H48" s="155" t="str">
        <f>IF('AW Schüler'!$D60=0,"x",C48/'AW Schüler'!$D60)</f>
        <v>x</v>
      </c>
      <c r="I48" s="155" t="str">
        <f>IF('AW Schüler'!$G60=0,"x",D48/'AW Schüler'!$G60)</f>
        <v>x</v>
      </c>
      <c r="J48" s="155" t="str">
        <f>IF('AW Schüler'!$J60=0,"x",E48/'AW Schüler'!$J60)</f>
        <v>x</v>
      </c>
      <c r="K48" s="155" t="str">
        <f>IF('AW Schüler'!$M60=0,"x",F48/'AW Schüler'!$M60)</f>
        <v>x</v>
      </c>
      <c r="L48" s="156" t="str">
        <f>IF('AW Schüler'!$P60=0,"x",G48/'AW Schüler'!$P60)</f>
        <v>x</v>
      </c>
    </row>
    <row r="49" spans="1:12" ht="9" customHeight="1">
      <c r="A49" s="21" t="s">
        <v>81</v>
      </c>
      <c r="B49" s="120"/>
      <c r="C49" s="151">
        <f>'3.2.5'!C49+'3.3.5'!C49</f>
        <v>0</v>
      </c>
      <c r="D49" s="151">
        <f>'3.2.5'!D49+'3.3.5'!D49</f>
        <v>0</v>
      </c>
      <c r="E49" s="151">
        <f>'3.2.5'!E49+'3.3.5'!E49</f>
        <v>0</v>
      </c>
      <c r="F49" s="151" t="e">
        <f>'3.2.5'!F49+'3.3.5'!F49</f>
        <v>#VALUE!</v>
      </c>
      <c r="G49" s="152">
        <f>'3.2.5'!G49+'3.3.5'!G49</f>
        <v>0</v>
      </c>
      <c r="H49" s="155" t="str">
        <f>IF('AW Schüler'!$D61=0,"x",C49/'AW Schüler'!$D61)</f>
        <v>x</v>
      </c>
      <c r="I49" s="155" t="str">
        <f>IF('AW Schüler'!$G61=0,"x",D49/'AW Schüler'!$G61)</f>
        <v>x</v>
      </c>
      <c r="J49" s="155" t="str">
        <f>IF('AW Schüler'!$J61=0,"x",E49/'AW Schüler'!$J61)</f>
        <v>x</v>
      </c>
      <c r="K49" s="155" t="str">
        <f>IF('AW Schüler'!$M61=0,"x",F49/'AW Schüler'!$M61)</f>
        <v>x</v>
      </c>
      <c r="L49" s="156" t="str">
        <f>IF('AW Schüler'!$P61=0,"x",G49/'AW Schüler'!$P61)</f>
        <v>x</v>
      </c>
    </row>
    <row r="50" spans="1:12" ht="9" customHeight="1">
      <c r="A50" s="21" t="s">
        <v>82</v>
      </c>
      <c r="B50" s="120"/>
      <c r="C50" s="151">
        <f>'3.2.5'!C50+'3.3.5'!C50</f>
        <v>0</v>
      </c>
      <c r="D50" s="151">
        <f>'3.2.5'!D50+'3.3.5'!D50</f>
        <v>0</v>
      </c>
      <c r="E50" s="151">
        <f>'3.2.5'!E50+'3.3.5'!E50</f>
        <v>0</v>
      </c>
      <c r="F50" s="151">
        <f>'3.2.5'!F50+'3.3.5'!F50</f>
        <v>0</v>
      </c>
      <c r="G50" s="152">
        <f>'3.2.5'!G50+'3.3.5'!G50</f>
        <v>0</v>
      </c>
      <c r="H50" s="155" t="str">
        <f>IF('AW Schüler'!$D62=0,"x",C50/'AW Schüler'!$D62)</f>
        <v>x</v>
      </c>
      <c r="I50" s="155" t="str">
        <f>IF('AW Schüler'!$G62=0,"x",D50/'AW Schüler'!$G62)</f>
        <v>x</v>
      </c>
      <c r="J50" s="155" t="str">
        <f>IF('AW Schüler'!$J62=0,"x",E50/'AW Schüler'!$J62)</f>
        <v>x</v>
      </c>
      <c r="K50" s="155" t="str">
        <f>IF('AW Schüler'!$M62=0,"x",F50/'AW Schüler'!$M62)</f>
        <v>x</v>
      </c>
      <c r="L50" s="156" t="str">
        <f>IF('AW Schüler'!$P62=0,"x",G50/'AW Schüler'!$P62)</f>
        <v>x</v>
      </c>
    </row>
    <row r="51" spans="1:12" ht="9" customHeight="1">
      <c r="A51" s="21" t="s">
        <v>83</v>
      </c>
      <c r="B51" s="120"/>
      <c r="C51" s="23">
        <f>'3.2.5'!C51+'3.3.5'!C51</f>
        <v>5132</v>
      </c>
      <c r="D51" s="23">
        <f>'3.2.5'!D51+'3.3.5'!D51</f>
        <v>5376</v>
      </c>
      <c r="E51" s="23">
        <f>'3.2.5'!E51+'3.3.5'!E51</f>
        <v>5513</v>
      </c>
      <c r="F51" s="23">
        <f>'3.2.5'!F51+'3.3.5'!F51</f>
        <v>5449</v>
      </c>
      <c r="G51" s="34">
        <f>'3.2.5'!G51+'3.3.5'!G51</f>
        <v>5599</v>
      </c>
      <c r="H51" s="155">
        <f>IF('AW Schüler'!$D63=0,"x",C51/'AW Schüler'!$D63)</f>
        <v>0.16689430894308943</v>
      </c>
      <c r="I51" s="155">
        <f>IF('AW Schüler'!$G63=0,"x",D51/'AW Schüler'!$G63)</f>
        <v>0.16971839878772571</v>
      </c>
      <c r="J51" s="155">
        <f>IF('AW Schüler'!$J63=0,"x",E51/'AW Schüler'!$J63)</f>
        <v>0.16959945856149633</v>
      </c>
      <c r="K51" s="155">
        <f>IF('AW Schüler'!$M63=0,"x",F51/'AW Schüler'!$M63)</f>
        <v>0.16819458591844924</v>
      </c>
      <c r="L51" s="156">
        <f>IF('AW Schüler'!$P63=0,"x",G51/'AW Schüler'!$P63)</f>
        <v>0.17104017107071942</v>
      </c>
    </row>
    <row r="52" spans="1:12" ht="9" customHeight="1">
      <c r="A52" s="21" t="s">
        <v>84</v>
      </c>
      <c r="B52" s="120"/>
      <c r="C52" s="23">
        <f>'3.2.5'!C52+'3.3.5'!C52</f>
        <v>60</v>
      </c>
      <c r="D52" s="23">
        <f>'3.2.5'!D52+'3.3.5'!D52</f>
        <v>0</v>
      </c>
      <c r="E52" s="23">
        <f>'3.2.5'!E52+'3.3.5'!E52</f>
        <v>0</v>
      </c>
      <c r="F52" s="23">
        <f>'3.2.5'!F52+'3.3.5'!F52</f>
        <v>0</v>
      </c>
      <c r="G52" s="34">
        <f>'3.2.5'!G52+'3.3.5'!G52</f>
        <v>0</v>
      </c>
      <c r="H52" s="155">
        <f>IF('AW Schüler'!$D64=0,"x",C52/'AW Schüler'!$D64)</f>
        <v>1.1956954962136309E-2</v>
      </c>
      <c r="I52" s="155">
        <f>IF('AW Schüler'!$G64=0,"x",D52/'AW Schüler'!$G64)</f>
        <v>0</v>
      </c>
      <c r="J52" s="155">
        <f>IF('AW Schüler'!$J64=0,"x",E52/'AW Schüler'!$J64)</f>
        <v>0</v>
      </c>
      <c r="K52" s="155">
        <f>IF('AW Schüler'!$M64=0,"x",F52/'AW Schüler'!$M64)</f>
        <v>0</v>
      </c>
      <c r="L52" s="156">
        <f>IF('AW Schüler'!$P64=0,"x",G52/'AW Schüler'!$P64)</f>
        <v>0</v>
      </c>
    </row>
    <row r="53" spans="1:12" ht="9" customHeight="1">
      <c r="A53" s="21" t="s">
        <v>85</v>
      </c>
      <c r="B53" s="120"/>
      <c r="C53" s="23">
        <f>'3.2.5'!C53+'3.3.5'!C53</f>
        <v>765</v>
      </c>
      <c r="D53" s="151">
        <f>'3.2.5'!D53+'3.3.5'!D53</f>
        <v>0</v>
      </c>
      <c r="E53" s="151">
        <f>'3.2.5'!E53+'3.3.5'!E53</f>
        <v>0</v>
      </c>
      <c r="F53" s="151">
        <f>'3.2.5'!F53+'3.3.5'!F53</f>
        <v>0</v>
      </c>
      <c r="G53" s="152">
        <f>'3.2.5'!G53+'3.3.5'!G53</f>
        <v>0</v>
      </c>
      <c r="H53" s="155">
        <f>IF('AW Schüler'!$D65=0,"x",C53/'AW Schüler'!$D65)</f>
        <v>0.32292106373997465</v>
      </c>
      <c r="I53" s="155" t="str">
        <f>IF('AW Schüler'!$G65=0,"x",D53/'AW Schüler'!$G65)</f>
        <v>x</v>
      </c>
      <c r="J53" s="155" t="str">
        <f>IF('AW Schüler'!$J65=0,"x",E53/'AW Schüler'!$J65)</f>
        <v>x</v>
      </c>
      <c r="K53" s="155" t="str">
        <f>IF('AW Schüler'!$M65=0,"x",F53/'AW Schüler'!$M65)</f>
        <v>x</v>
      </c>
      <c r="L53" s="156" t="str">
        <f>IF('AW Schüler'!$P65=0,"x",G53/'AW Schüler'!$P65)</f>
        <v>x</v>
      </c>
    </row>
    <row r="54" spans="1:12" ht="9" customHeight="1">
      <c r="A54" s="21" t="s">
        <v>86</v>
      </c>
      <c r="B54" s="120"/>
      <c r="C54" s="151">
        <f>'3.2.5'!C54+'3.3.5'!C54</f>
        <v>1153</v>
      </c>
      <c r="D54" s="151">
        <f>'3.2.5'!D54+'3.3.5'!D54</f>
        <v>1814</v>
      </c>
      <c r="E54" s="151">
        <f>'3.2.5'!E54+'3.3.5'!E54</f>
        <v>2562</v>
      </c>
      <c r="F54" s="151">
        <f>'3.2.5'!F54+'3.3.5'!F54</f>
        <v>3509</v>
      </c>
      <c r="G54" s="152">
        <f>'3.2.5'!G54+'3.3.5'!G54</f>
        <v>4425</v>
      </c>
      <c r="H54" s="155">
        <f>IF('AW Schüler'!$D66=0,"x",C54/'AW Schüler'!$D66)</f>
        <v>0.4735112936344969</v>
      </c>
      <c r="I54" s="155">
        <f>IF('AW Schüler'!$G66=0,"x",D54/'AW Schüler'!$G66)</f>
        <v>0.52246543778801846</v>
      </c>
      <c r="J54" s="155">
        <f>IF('AW Schüler'!$J66=0,"x",E54/'AW Schüler'!$J66)</f>
        <v>0.56073539067629674</v>
      </c>
      <c r="K54" s="155">
        <f>IF('AW Schüler'!$M66=0,"x",F54/'AW Schüler'!$M66)</f>
        <v>0.60479145122371591</v>
      </c>
      <c r="L54" s="156">
        <f>IF('AW Schüler'!$P66=0,"x",G54/'AW Schüler'!$P66)</f>
        <v>0.66822712171549381</v>
      </c>
    </row>
    <row r="55" spans="1:12" ht="9" customHeight="1">
      <c r="A55" s="21" t="s">
        <v>176</v>
      </c>
      <c r="B55" s="120"/>
      <c r="C55" s="23">
        <f>'3.2.5'!C55+'3.3.5'!C55</f>
        <v>9235</v>
      </c>
      <c r="D55" s="23">
        <f>'3.2.5'!D55+'3.3.5'!D55</f>
        <v>9462</v>
      </c>
      <c r="E55" s="23">
        <f>'3.2.5'!E55+'3.3.5'!E55</f>
        <v>10310</v>
      </c>
      <c r="F55" s="23">
        <f>'3.2.5'!F55+'3.3.5'!F55</f>
        <v>10806</v>
      </c>
      <c r="G55" s="34">
        <f>'3.2.5'!G55+'3.3.5'!G55</f>
        <v>7046</v>
      </c>
      <c r="H55" s="155">
        <f>IF('AW Schüler'!$D67=0,"x",C55/'AW Schüler'!$D67)</f>
        <v>0.23295999192775338</v>
      </c>
      <c r="I55" s="155">
        <f>IF('AW Schüler'!$G67=0,"x",D55/'AW Schüler'!$G67)</f>
        <v>0.23653817309134542</v>
      </c>
      <c r="J55" s="155">
        <f>IF('AW Schüler'!$J67=0,"x",E55/'AW Schüler'!$J67)</f>
        <v>0.25083327251052234</v>
      </c>
      <c r="K55" s="155">
        <f>IF('AW Schüler'!$M67=0,"x",F55/'AW Schüler'!$M67)</f>
        <v>0.25643702982984884</v>
      </c>
      <c r="L55" s="156">
        <f>IF('AW Schüler'!$P67=0,"x",G55/'AW Schüler'!$P67)</f>
        <v>0.16508129890820486</v>
      </c>
    </row>
    <row r="56" spans="1:12" ht="9" customHeight="1">
      <c r="A56" s="21" t="s">
        <v>88</v>
      </c>
      <c r="B56" s="120"/>
      <c r="C56" s="151">
        <f>'3.2.5'!C56+'3.3.5'!C56</f>
        <v>2895</v>
      </c>
      <c r="D56" s="151">
        <f>'3.2.5'!D56+'3.3.5'!D56</f>
        <v>3880</v>
      </c>
      <c r="E56" s="151">
        <f>'3.2.5'!E56+'3.3.5'!E56</f>
        <v>5709</v>
      </c>
      <c r="F56" s="151">
        <f>'3.2.5'!F56+'3.3.5'!F56</f>
        <v>6257</v>
      </c>
      <c r="G56" s="152">
        <f>'3.2.5'!G56+'3.3.5'!G56</f>
        <v>8329</v>
      </c>
      <c r="H56" s="155">
        <f>IF('AW Schüler'!$D68=0,"x",C56/'AW Schüler'!$D68)</f>
        <v>0.12445189579571835</v>
      </c>
      <c r="I56" s="155">
        <f>IF('AW Schüler'!$G68=0,"x",D56/'AW Schüler'!$G68)</f>
        <v>0.10185598403906229</v>
      </c>
      <c r="J56" s="155">
        <f>IF('AW Schüler'!$J68=0,"x",E56/'AW Schüler'!$J68)</f>
        <v>0.10232649842271294</v>
      </c>
      <c r="K56" s="155">
        <f>IF('AW Schüler'!$M68=0,"x",F56/'AW Schüler'!$M68)</f>
        <v>8.3914489566010414E-2</v>
      </c>
      <c r="L56" s="156">
        <f>IF('AW Schüler'!$P68=0,"x",G56/'AW Schüler'!$P68)</f>
        <v>8.8885331625847067E-2</v>
      </c>
    </row>
    <row r="57" spans="1:12" ht="9" customHeight="1">
      <c r="A57" s="21" t="s">
        <v>89</v>
      </c>
      <c r="B57" s="120"/>
      <c r="C57" s="23">
        <f>'3.2.5'!C57+'3.3.5'!C57</f>
        <v>0</v>
      </c>
      <c r="D57" s="23">
        <f>'3.2.5'!D57+'3.3.5'!D57</f>
        <v>0</v>
      </c>
      <c r="E57" s="23">
        <f>'3.2.5'!E57+'3.3.5'!E57</f>
        <v>0</v>
      </c>
      <c r="F57" s="23">
        <f>'3.2.5'!F57+'3.3.5'!F57</f>
        <v>0</v>
      </c>
      <c r="G57" s="34">
        <f>'3.2.5'!G57+'3.3.5'!G57</f>
        <v>0</v>
      </c>
      <c r="H57" s="155">
        <f>IF('AW Schüler'!$D69=0,"x",C57/'AW Schüler'!$D69)</f>
        <v>0</v>
      </c>
      <c r="I57" s="155">
        <f>IF('AW Schüler'!$G69=0,"x",D57/'AW Schüler'!$G69)</f>
        <v>0</v>
      </c>
      <c r="J57" s="155">
        <f>IF('AW Schüler'!$J69=0,"x",E57/'AW Schüler'!$J69)</f>
        <v>0</v>
      </c>
      <c r="K57" s="155">
        <f>IF('AW Schüler'!$M69=0,"x",F57/'AW Schüler'!$M69)</f>
        <v>0</v>
      </c>
      <c r="L57" s="156">
        <f>IF('AW Schüler'!$P69=0,"x",G57/'AW Schüler'!$P69)</f>
        <v>0</v>
      </c>
    </row>
    <row r="58" spans="1:12" ht="9" customHeight="1">
      <c r="A58" s="21" t="s">
        <v>90</v>
      </c>
      <c r="B58" s="120"/>
      <c r="C58" s="23">
        <f>'3.2.5'!C58+'3.3.5'!C58</f>
        <v>44</v>
      </c>
      <c r="D58" s="23">
        <f>'3.2.5'!D58+'3.3.5'!D58</f>
        <v>229</v>
      </c>
      <c r="E58" s="23">
        <f>'3.2.5'!E58+'3.3.5'!E58</f>
        <v>110</v>
      </c>
      <c r="F58" s="23">
        <f>'3.2.5'!F58+'3.3.5'!F58</f>
        <v>232</v>
      </c>
      <c r="G58" s="34">
        <f>'3.2.5'!G58+'3.3.5'!G58</f>
        <v>277</v>
      </c>
      <c r="H58" s="155">
        <f>IF('AW Schüler'!$D70=0,"x",C58/'AW Schüler'!$D70)</f>
        <v>4.6216545523297339E-4</v>
      </c>
      <c r="I58" s="155">
        <f>IF('AW Schüler'!$G70=0,"x",D58/'AW Schüler'!$G70)</f>
        <v>2.4470256349978094E-3</v>
      </c>
      <c r="J58" s="155">
        <f>IF('AW Schüler'!$J70=0,"x",E58/'AW Schüler'!$J70)</f>
        <v>1.2410307324337742E-3</v>
      </c>
      <c r="K58" s="155">
        <f>IF('AW Schüler'!$M70=0,"x",F58/'AW Schüler'!$M70)</f>
        <v>2.7189836626585096E-3</v>
      </c>
      <c r="L58" s="156">
        <f>IF('AW Schüler'!$P70=0,"x",G58/'AW Schüler'!$P70)</f>
        <v>3.3416976306519328E-3</v>
      </c>
    </row>
    <row r="59" spans="1:12" ht="9" customHeight="1">
      <c r="A59" s="21" t="s">
        <v>91</v>
      </c>
      <c r="B59" s="120"/>
      <c r="C59" s="23">
        <f>'3.2.5'!C59+'3.3.5'!C59</f>
        <v>1592</v>
      </c>
      <c r="D59" s="23">
        <f>'3.2.5'!D59+'3.3.5'!D59</f>
        <v>944</v>
      </c>
      <c r="E59" s="23">
        <f>'3.2.5'!E59+'3.3.5'!E59</f>
        <v>103</v>
      </c>
      <c r="F59" s="23">
        <f>'3.2.5'!F59+'3.3.5'!F59</f>
        <v>102</v>
      </c>
      <c r="G59" s="34">
        <f>'3.2.5'!G59+'3.3.5'!G59</f>
        <v>49</v>
      </c>
      <c r="H59" s="155">
        <f>IF('AW Schüler'!$D71=0,"x",C59/'AW Schüler'!$D71)</f>
        <v>0.1039571633799138</v>
      </c>
      <c r="I59" s="155">
        <f>IF('AW Schüler'!$G71=0,"x",D59/'AW Schüler'!$G71)</f>
        <v>7.896277708071936E-2</v>
      </c>
      <c r="J59" s="155">
        <f>IF('AW Schüler'!$J71=0,"x",E59/'AW Schüler'!$J71)</f>
        <v>1.1811926605504588E-2</v>
      </c>
      <c r="K59" s="155">
        <f>IF('AW Schüler'!$M71=0,"x",F59/'AW Schüler'!$M71)</f>
        <v>1.9435975609756097E-2</v>
      </c>
      <c r="L59" s="156">
        <f>IF('AW Schüler'!$P71=0,"x",G59/'AW Schüler'!$P71)</f>
        <v>1</v>
      </c>
    </row>
    <row r="60" spans="1:12" ht="9" customHeight="1">
      <c r="A60" s="21" t="s">
        <v>92</v>
      </c>
      <c r="B60" s="120"/>
      <c r="C60" s="23">
        <f>'3.2.5'!C60+'3.3.5'!C60</f>
        <v>38215</v>
      </c>
      <c r="D60" s="23">
        <f>'3.2.5'!D60+'3.3.5'!D60</f>
        <v>39988</v>
      </c>
      <c r="E60" s="23">
        <f>'3.2.5'!E60+'3.3.5'!E60</f>
        <v>40890</v>
      </c>
      <c r="F60" s="23">
        <f>'3.2.5'!F60+'3.3.5'!F60</f>
        <v>41624</v>
      </c>
      <c r="G60" s="34">
        <f>'3.2.5'!G60+'3.3.5'!G60</f>
        <v>44602</v>
      </c>
      <c r="H60" s="155">
        <f>IF('AW Schüler'!$D72=0,"x",C60/'AW Schüler'!$D72)</f>
        <v>0.40423753913852922</v>
      </c>
      <c r="I60" s="155">
        <f>IF('AW Schüler'!$G72=0,"x",D60/'AW Schüler'!$G72)</f>
        <v>0.41019223273085365</v>
      </c>
      <c r="J60" s="155">
        <f>IF('AW Schüler'!$J72=0,"x",E60/'AW Schüler'!$J72)</f>
        <v>0.40804310947011274</v>
      </c>
      <c r="K60" s="155">
        <f>IF('AW Schüler'!$M72=0,"x",F60/'AW Schüler'!$M72)</f>
        <v>0.40114878279138799</v>
      </c>
      <c r="L60" s="156">
        <f>IF('AW Schüler'!$P72=0,"x",G60/'AW Schüler'!$P72)</f>
        <v>0.4169385370413648</v>
      </c>
    </row>
    <row r="61" spans="1:12" ht="9" customHeight="1">
      <c r="A61" s="21" t="s">
        <v>93</v>
      </c>
      <c r="B61" s="120"/>
      <c r="C61" s="23">
        <f>'3.2.5'!C61+'3.3.5'!C61</f>
        <v>8611</v>
      </c>
      <c r="D61" s="23">
        <f>'3.2.5'!D61+'3.3.5'!D61</f>
        <v>8944</v>
      </c>
      <c r="E61" s="23">
        <f>'3.2.5'!E61+'3.3.5'!E61</f>
        <v>8421</v>
      </c>
      <c r="F61" s="23">
        <f>'3.2.5'!F61+'3.3.5'!F61</f>
        <v>8152</v>
      </c>
      <c r="G61" s="34">
        <f>'3.2.5'!G61+'3.3.5'!G61</f>
        <v>9348</v>
      </c>
      <c r="H61" s="183">
        <v>0</v>
      </c>
      <c r="I61" s="183">
        <v>0</v>
      </c>
      <c r="J61" s="183">
        <v>0</v>
      </c>
      <c r="K61" s="183">
        <v>0</v>
      </c>
      <c r="L61" s="197">
        <v>0</v>
      </c>
    </row>
    <row r="62" spans="1:12" ht="9" customHeight="1">
      <c r="A62" s="21" t="s">
        <v>94</v>
      </c>
      <c r="B62" s="120"/>
      <c r="C62" s="23">
        <f>'3.2.5'!C62+'3.3.5'!C62</f>
        <v>3534</v>
      </c>
      <c r="D62" s="23">
        <f>'3.2.5'!D62+'3.3.5'!D62</f>
        <v>4316</v>
      </c>
      <c r="E62" s="23">
        <f>'3.2.5'!E62+'3.3.5'!E62</f>
        <v>4100</v>
      </c>
      <c r="F62" s="23">
        <f>'3.2.5'!F62+'3.3.5'!F62</f>
        <v>3565</v>
      </c>
      <c r="G62" s="34">
        <f>'3.2.5'!G62+'3.3.5'!G62</f>
        <v>2470</v>
      </c>
      <c r="H62" s="155">
        <f>IF('AW Schüler'!$D74=0,"x",C62/'AW Schüler'!$D74)</f>
        <v>0.19226375061204504</v>
      </c>
      <c r="I62" s="155">
        <f>IF('AW Schüler'!$G74=0,"x",D62/'AW Schüler'!$G74)</f>
        <v>0.20742022299115725</v>
      </c>
      <c r="J62" s="155">
        <f>IF('AW Schüler'!$J74=0,"x",E62/'AW Schüler'!$J74)</f>
        <v>0.22975623423928271</v>
      </c>
      <c r="K62" s="155">
        <f>IF('AW Schüler'!$M74=0,"x",F62/'AW Schüler'!$M74)</f>
        <v>0.25466104721765842</v>
      </c>
      <c r="L62" s="156">
        <f>IF('AW Schüler'!$P74=0,"x",G62/'AW Schüler'!$P74)</f>
        <v>0.25793650793650796</v>
      </c>
    </row>
    <row r="63" spans="1:12" ht="9" customHeight="1">
      <c r="A63" s="21" t="s">
        <v>95</v>
      </c>
      <c r="B63" s="120"/>
      <c r="C63" s="23">
        <f>'3.2.5'!C63+'3.3.5'!C63</f>
        <v>7808</v>
      </c>
      <c r="D63" s="23">
        <f>'3.2.5'!D63+'3.3.5'!D63</f>
        <v>6820</v>
      </c>
      <c r="E63" s="23">
        <f>'3.2.5'!E63+'3.3.5'!E63</f>
        <v>5730</v>
      </c>
      <c r="F63" s="23">
        <f>'3.2.5'!F63+'3.3.5'!F63</f>
        <v>6131</v>
      </c>
      <c r="G63" s="34">
        <f>'3.2.5'!G63+'3.3.5'!G63</f>
        <v>5031</v>
      </c>
      <c r="H63" s="155">
        <f>IF('AW Schüler'!$D75=0,"x",C63/'AW Schüler'!$D75)</f>
        <v>0.16467362648950754</v>
      </c>
      <c r="I63" s="155">
        <f>IF('AW Schüler'!$G75=0,"x",D63/'AW Schüler'!$G75)</f>
        <v>0.14582620595278822</v>
      </c>
      <c r="J63" s="155">
        <f>IF('AW Schüler'!$J75=0,"x",E63/'AW Schüler'!$J75)</f>
        <v>0.12557803151504526</v>
      </c>
      <c r="K63" s="155">
        <f>IF('AW Schüler'!$M75=0,"x",F63/'AW Schüler'!$M75)</f>
        <v>0.13506190245406882</v>
      </c>
      <c r="L63" s="156">
        <f>IF('AW Schüler'!$P75=0,"x",G63/'AW Schüler'!$P75)</f>
        <v>0.11203652154548491</v>
      </c>
    </row>
    <row r="64" spans="1:12" ht="8.65" customHeight="1">
      <c r="A64" s="24" t="s">
        <v>96</v>
      </c>
      <c r="B64" s="121"/>
      <c r="C64" s="26">
        <f>'3.2.5'!C64+'3.3.5'!C64</f>
        <v>79044</v>
      </c>
      <c r="D64" s="26">
        <f>'3.2.5'!D64+'3.3.5'!D64</f>
        <v>81773</v>
      </c>
      <c r="E64" s="26">
        <f>'3.2.5'!E64+'3.3.5'!E64</f>
        <v>83448</v>
      </c>
      <c r="F64" s="26">
        <f>'3.2.5'!F64+'3.3.5'!F64</f>
        <v>85827</v>
      </c>
      <c r="G64" s="47">
        <f>'3.2.5'!G64+'3.3.5'!G64</f>
        <v>87176</v>
      </c>
      <c r="H64" s="157">
        <f>IF('AW Schüler'!$D76=0,"x",C64/'AW Schüler'!$D76)</f>
        <v>0.18586255707977295</v>
      </c>
      <c r="I64" s="157">
        <f>IF('AW Schüler'!$G76=0,"x",D64/'AW Schüler'!$G76)</f>
        <v>0.18231292820340178</v>
      </c>
      <c r="J64" s="157">
        <f>IF('AW Schüler'!$J76=0,"x",E64/'AW Schüler'!$J76)</f>
        <v>0.17745831915617558</v>
      </c>
      <c r="K64" s="157">
        <f>IF('AW Schüler'!$M76=0,"x",F64/'AW Schüler'!$M76)</f>
        <v>0.17489979030854599</v>
      </c>
      <c r="L64" s="158">
        <f>IF('AW Schüler'!$P76=0,"x",G64/'AW Schüler'!$P76)</f>
        <v>0.17065960870603619</v>
      </c>
    </row>
    <row r="65" spans="1:12" ht="18.75" customHeight="1">
      <c r="A65" s="396" t="s">
        <v>312</v>
      </c>
      <c r="B65" s="396"/>
      <c r="C65" s="396"/>
      <c r="D65" s="396"/>
      <c r="E65" s="396"/>
      <c r="F65" s="396"/>
      <c r="G65" s="396"/>
      <c r="H65" s="396"/>
      <c r="I65" s="396"/>
      <c r="J65" s="396"/>
      <c r="K65" s="396"/>
      <c r="L65" s="396"/>
    </row>
    <row r="66" spans="1:12" ht="10.15" customHeight="1">
      <c r="A66" s="331" t="s">
        <v>259</v>
      </c>
      <c r="B66" s="332"/>
      <c r="C66" s="332"/>
      <c r="D66" s="332"/>
      <c r="E66" s="332"/>
      <c r="F66" s="332"/>
      <c r="G66" s="350"/>
      <c r="H66" s="332"/>
      <c r="I66" s="332"/>
      <c r="J66" s="332"/>
      <c r="K66" s="332"/>
      <c r="L66" s="350"/>
    </row>
    <row r="67" spans="1:12" ht="10.15" customHeight="1">
      <c r="A67" s="306" t="s">
        <v>221</v>
      </c>
      <c r="B67" s="271"/>
      <c r="C67" s="271"/>
      <c r="D67" s="271"/>
      <c r="E67" s="271"/>
      <c r="F67" s="325"/>
      <c r="G67" s="350"/>
      <c r="H67" s="271"/>
      <c r="I67" s="271"/>
      <c r="J67" s="271"/>
      <c r="K67" s="325"/>
      <c r="L67" s="350"/>
    </row>
    <row r="68" spans="1:12" ht="9.4" customHeight="1">
      <c r="A68" s="214" t="s">
        <v>101</v>
      </c>
    </row>
    <row r="83" spans="1:1" ht="10.5" customHeight="1"/>
    <row r="84" spans="1:1" ht="10.15" customHeight="1">
      <c r="A84" s="214"/>
    </row>
  </sheetData>
  <mergeCells count="7">
    <mergeCell ref="A65:L65"/>
    <mergeCell ref="A1:L1"/>
    <mergeCell ref="A47:L47"/>
    <mergeCell ref="C9:G9"/>
    <mergeCell ref="H9:L9"/>
    <mergeCell ref="A11:L11"/>
    <mergeCell ref="A29:L29"/>
  </mergeCells>
  <phoneticPr fontId="18" type="noConversion"/>
  <conditionalFormatting sqref="N25">
    <cfRule type="cellIs" dxfId="31"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M82"/>
  <sheetViews>
    <sheetView view="pageBreakPreview"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'3.1.5'!A1:E1+1</f>
        <v>40</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132</v>
      </c>
      <c r="C4" s="14"/>
      <c r="D4" s="14"/>
      <c r="E4" s="14"/>
      <c r="F4" s="14"/>
      <c r="G4" s="14"/>
      <c r="H4" s="14"/>
      <c r="I4" s="14"/>
      <c r="J4" s="14"/>
      <c r="K4" s="14"/>
      <c r="L4" s="14"/>
    </row>
    <row r="5" spans="1:13" s="1" customFormat="1" ht="12.6" customHeight="1">
      <c r="A5" s="13" t="s">
        <v>44</v>
      </c>
      <c r="B5" s="39" t="s">
        <v>15</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20210</v>
      </c>
      <c r="D12" s="42">
        <f t="shared" ref="D12:E12" si="1">SUM(D30+D48)</f>
        <v>20349</v>
      </c>
      <c r="E12" s="42">
        <f t="shared" si="1"/>
        <v>20754</v>
      </c>
      <c r="F12" s="42">
        <f t="shared" ref="F12:G12" si="2">SUM(F30+F48)</f>
        <v>21079</v>
      </c>
      <c r="G12" s="44">
        <f t="shared" si="2"/>
        <v>23135</v>
      </c>
      <c r="H12" s="153">
        <f>IF('AW Schüler'!$D78=0,"x",C12/'AW Schüler'!$D78)</f>
        <v>8.2792919382391861E-2</v>
      </c>
      <c r="I12" s="153">
        <f>IF('AW Schüler'!$G78=0,"x",D12/'AW Schüler'!$G78)</f>
        <v>8.5017756423647381E-2</v>
      </c>
      <c r="J12" s="153">
        <f>IF('AW Schüler'!$J78=0,"x",E12/'AW Schüler'!$J78)</f>
        <v>8.9599405951707678E-2</v>
      </c>
      <c r="K12" s="153">
        <f>IF('AW Schüler'!$M78=0,"x",F12/'AW Schüler'!$M78)</f>
        <v>9.3801174795300812E-2</v>
      </c>
      <c r="L12" s="154">
        <f>IF('AW Schüler'!$P78=0,"x",G12/'AW Schüler'!$P78)</f>
        <v>0.10558334398218296</v>
      </c>
    </row>
    <row r="13" spans="1:13" ht="9" customHeight="1">
      <c r="A13" s="21" t="s">
        <v>81</v>
      </c>
      <c r="B13" s="120"/>
      <c r="C13" s="42">
        <f t="shared" si="0"/>
        <v>22523</v>
      </c>
      <c r="D13" s="42">
        <f t="shared" ref="D13:E13" si="3">SUM(D31+D49)</f>
        <v>24887</v>
      </c>
      <c r="E13" s="42">
        <f t="shared" si="3"/>
        <v>24698</v>
      </c>
      <c r="F13" s="42">
        <f t="shared" ref="F13:G13" si="4">SUM(F31+F49)</f>
        <v>27030</v>
      </c>
      <c r="G13" s="44">
        <f t="shared" si="4"/>
        <v>27910</v>
      </c>
      <c r="H13" s="153">
        <f>IF('AW Schüler'!$D79=0,"x",C13/'AW Schüler'!$D79)</f>
        <v>8.4970649041000795E-2</v>
      </c>
      <c r="I13" s="153">
        <f>IF('AW Schüler'!$G79=0,"x",D13/'AW Schüler'!$G79)</f>
        <v>9.5036067652146686E-2</v>
      </c>
      <c r="J13" s="153">
        <f>IF('AW Schüler'!$J79=0,"x",E13/'AW Schüler'!$J79)</f>
        <v>9.6666118717171956E-2</v>
      </c>
      <c r="K13" s="153">
        <f>IF('AW Schüler'!$M79=0,"x",F13/'AW Schüler'!$M79)</f>
        <v>0.10763435379567392</v>
      </c>
      <c r="L13" s="154">
        <f>IF('AW Schüler'!$P79=0,"x",G13/'AW Schüler'!$P79)</f>
        <v>0.11478463999736789</v>
      </c>
    </row>
    <row r="14" spans="1:13" ht="9" customHeight="1">
      <c r="A14" s="21" t="s">
        <v>82</v>
      </c>
      <c r="B14" s="120"/>
      <c r="C14" s="42">
        <f t="shared" si="0"/>
        <v>0</v>
      </c>
      <c r="D14" s="42">
        <f t="shared" ref="D14:E14" si="5">SUM(D32+D50)</f>
        <v>0</v>
      </c>
      <c r="E14" s="42">
        <f t="shared" si="5"/>
        <v>0</v>
      </c>
      <c r="F14" s="42">
        <f t="shared" ref="F14:G14" si="6">SUM(F32+F50)</f>
        <v>0</v>
      </c>
      <c r="G14" s="44">
        <f t="shared" si="6"/>
        <v>0</v>
      </c>
      <c r="H14" s="198">
        <f>IF('AW Schüler'!$D80=0,"x",C14/'AW Schüler'!$D80)</f>
        <v>0</v>
      </c>
      <c r="I14" s="198">
        <f>IF('AW Schüler'!$G80=0,"x",D14/'AW Schüler'!$G80)</f>
        <v>0</v>
      </c>
      <c r="J14" s="198" t="str">
        <f>IF('AW Schüler'!$J80=0,"x",E14/'AW Schüler'!$J80)</f>
        <v>x</v>
      </c>
      <c r="K14" s="198" t="str">
        <f>IF('AW Schüler'!$M80=0,"x",F14/'AW Schüler'!$M80)</f>
        <v>x</v>
      </c>
      <c r="L14" s="199" t="str">
        <f>IF('AW Schüler'!$P80=0,"x",G14/'AW Schüler'!$P80)</f>
        <v>x</v>
      </c>
    </row>
    <row r="15" spans="1:13" ht="9" customHeight="1">
      <c r="A15" s="21" t="s">
        <v>83</v>
      </c>
      <c r="B15" s="120"/>
      <c r="C15" s="149">
        <f t="shared" si="0"/>
        <v>0</v>
      </c>
      <c r="D15" s="149">
        <f t="shared" ref="D15:E15" si="7">SUM(D33+D51)</f>
        <v>0</v>
      </c>
      <c r="E15" s="149">
        <f t="shared" si="7"/>
        <v>0</v>
      </c>
      <c r="F15" s="149">
        <f t="shared" ref="F15:G15" si="8">SUM(F33+F51)</f>
        <v>0</v>
      </c>
      <c r="G15" s="150">
        <f t="shared" si="8"/>
        <v>0</v>
      </c>
      <c r="H15" s="153" t="str">
        <f>IF('AW Schüler'!$D81=0,"x",C15/'AW Schüler'!$D81)</f>
        <v>x</v>
      </c>
      <c r="I15" s="153" t="str">
        <f>IF('AW Schüler'!$G81=0,"x",D15/'AW Schüler'!$G81)</f>
        <v>x</v>
      </c>
      <c r="J15" s="153" t="str">
        <f>IF('AW Schüler'!$J81=0,"x",E15/'AW Schüler'!$J81)</f>
        <v>x</v>
      </c>
      <c r="K15" s="153" t="str">
        <f>IF('AW Schüler'!$M81=0,"x",F15/'AW Schüler'!$M81)</f>
        <v>x</v>
      </c>
      <c r="L15" s="154" t="str">
        <f>IF('AW Schüler'!$P81=0,"x",G15/'AW Schüler'!$P81)</f>
        <v>x</v>
      </c>
    </row>
    <row r="16" spans="1:13" ht="9" customHeight="1">
      <c r="A16" s="21" t="s">
        <v>84</v>
      </c>
      <c r="B16" s="120"/>
      <c r="C16" s="198">
        <f t="shared" si="0"/>
        <v>0</v>
      </c>
      <c r="D16" s="198">
        <f t="shared" ref="D16:E16" si="9">SUM(D34+D52)</f>
        <v>0</v>
      </c>
      <c r="E16" s="198">
        <f t="shared" si="9"/>
        <v>0</v>
      </c>
      <c r="F16" s="198">
        <f t="shared" ref="F16:G16" si="10">SUM(F34+F52)</f>
        <v>0</v>
      </c>
      <c r="G16" s="199">
        <f t="shared" si="10"/>
        <v>0</v>
      </c>
      <c r="H16" s="153" t="str">
        <f>IF('AW Schüler'!$D82=0,"x",C16/'AW Schüler'!$D82)</f>
        <v>x</v>
      </c>
      <c r="I16" s="153" t="str">
        <f>IF('AW Schüler'!$G82=0,"x",D16/'AW Schüler'!$G82)</f>
        <v>x</v>
      </c>
      <c r="J16" s="153" t="str">
        <f>IF('AW Schüler'!$J82=0,"x",E16/'AW Schüler'!$J82)</f>
        <v>x</v>
      </c>
      <c r="K16" s="153" t="str">
        <f>IF('AW Schüler'!$M82=0,"x",F16/'AW Schüler'!$M82)</f>
        <v>x</v>
      </c>
      <c r="L16" s="154" t="str">
        <f>IF('AW Schüler'!$P82=0,"x",G16/'AW Schüler'!$P82)</f>
        <v>x</v>
      </c>
    </row>
    <row r="17" spans="1:12" ht="9" customHeight="1">
      <c r="A17" s="21" t="s">
        <v>85</v>
      </c>
      <c r="B17" s="120"/>
      <c r="C17" s="198">
        <f t="shared" si="0"/>
        <v>0</v>
      </c>
      <c r="D17" s="198">
        <f t="shared" ref="D17:E17" si="11">SUM(D35+D53)</f>
        <v>0</v>
      </c>
      <c r="E17" s="198">
        <f t="shared" si="11"/>
        <v>0</v>
      </c>
      <c r="F17" s="198">
        <f t="shared" ref="F17:G17" si="12">SUM(F35+F53)</f>
        <v>0</v>
      </c>
      <c r="G17" s="199">
        <f t="shared" si="12"/>
        <v>0</v>
      </c>
      <c r="H17" s="153" t="str">
        <f>IF('AW Schüler'!$D83=0,"x",C17/'AW Schüler'!$D83)</f>
        <v>x</v>
      </c>
      <c r="I17" s="153" t="str">
        <f>IF('AW Schüler'!$G83=0,"x",D17/'AW Schüler'!$G83)</f>
        <v>x</v>
      </c>
      <c r="J17" s="153" t="str">
        <f>IF('AW Schüler'!$J83=0,"x",E17/'AW Schüler'!$J83)</f>
        <v>x</v>
      </c>
      <c r="K17" s="153" t="str">
        <f>IF('AW Schüler'!$M83=0,"x",F17/'AW Schüler'!$M83)</f>
        <v>x</v>
      </c>
      <c r="L17" s="154" t="str">
        <f>IF('AW Schüler'!$P83=0,"x",G17/'AW Schüler'!$P83)</f>
        <v>x</v>
      </c>
    </row>
    <row r="18" spans="1:12" ht="9" customHeight="1">
      <c r="A18" s="21" t="s">
        <v>114</v>
      </c>
      <c r="B18" s="120"/>
      <c r="C18" s="42">
        <f t="shared" si="0"/>
        <v>37236</v>
      </c>
      <c r="D18" s="42">
        <f t="shared" ref="D18:E18" si="13">SUM(D36+D54)</f>
        <v>35764</v>
      </c>
      <c r="E18" s="42">
        <f t="shared" si="13"/>
        <v>34613</v>
      </c>
      <c r="F18" s="42">
        <f t="shared" ref="F18:G18" si="14">SUM(F36+F54)</f>
        <v>33407</v>
      </c>
      <c r="G18" s="44">
        <f t="shared" si="14"/>
        <v>33493</v>
      </c>
      <c r="H18" s="54">
        <v>0</v>
      </c>
      <c r="I18" s="54">
        <v>0</v>
      </c>
      <c r="J18" s="54">
        <v>0</v>
      </c>
      <c r="K18" s="54">
        <v>0</v>
      </c>
      <c r="L18" s="114">
        <v>0</v>
      </c>
    </row>
    <row r="19" spans="1:12" ht="9" customHeight="1">
      <c r="A19" s="21" t="s">
        <v>87</v>
      </c>
      <c r="B19" s="120"/>
      <c r="C19" s="198">
        <f t="shared" si="0"/>
        <v>0</v>
      </c>
      <c r="D19" s="198">
        <f t="shared" ref="D19:E19" si="15">SUM(D37+D55)</f>
        <v>0</v>
      </c>
      <c r="E19" s="198">
        <f t="shared" si="15"/>
        <v>0</v>
      </c>
      <c r="F19" s="198">
        <f t="shared" ref="F19:G19" si="16">SUM(F37+F55)</f>
        <v>0</v>
      </c>
      <c r="G19" s="199">
        <f t="shared" si="16"/>
        <v>0</v>
      </c>
      <c r="H19" s="153" t="str">
        <f>IF('AW Schüler'!$D85=0,"x",C19/'AW Schüler'!$D85)</f>
        <v>x</v>
      </c>
      <c r="I19" s="153" t="str">
        <f>IF('AW Schüler'!$G85=0,"x",D19/'AW Schüler'!$G85)</f>
        <v>x</v>
      </c>
      <c r="J19" s="153" t="str">
        <f>IF('AW Schüler'!$J85=0,"x",E19/'AW Schüler'!$J85)</f>
        <v>x</v>
      </c>
      <c r="K19" s="153" t="str">
        <f>IF('AW Schüler'!$M85=0,"x",F19/'AW Schüler'!$M85)</f>
        <v>x</v>
      </c>
      <c r="L19" s="154" t="str">
        <f>IF('AW Schüler'!$P85=0,"x",G19/'AW Schüler'!$P85)</f>
        <v>x</v>
      </c>
    </row>
    <row r="20" spans="1:12" ht="9" customHeight="1">
      <c r="A20" s="21" t="s">
        <v>88</v>
      </c>
      <c r="B20" s="120"/>
      <c r="C20" s="42">
        <f t="shared" si="0"/>
        <v>60524</v>
      </c>
      <c r="D20" s="42">
        <f t="shared" ref="D20:E20" si="17">SUM(D38+D56)</f>
        <v>54007</v>
      </c>
      <c r="E20" s="42">
        <f t="shared" si="17"/>
        <v>48605</v>
      </c>
      <c r="F20" s="42">
        <f t="shared" ref="F20:G20" si="18">SUM(F38+F56)</f>
        <v>41576</v>
      </c>
      <c r="G20" s="44">
        <f t="shared" si="18"/>
        <v>35341</v>
      </c>
      <c r="H20" s="182">
        <v>0</v>
      </c>
      <c r="I20" s="182">
        <v>0</v>
      </c>
      <c r="J20" s="182">
        <v>0</v>
      </c>
      <c r="K20" s="182">
        <v>0</v>
      </c>
      <c r="L20" s="196">
        <v>0</v>
      </c>
    </row>
    <row r="21" spans="1:12" ht="9" customHeight="1">
      <c r="A21" s="21" t="s">
        <v>89</v>
      </c>
      <c r="B21" s="120"/>
      <c r="C21" s="42">
        <f t="shared" si="0"/>
        <v>38006</v>
      </c>
      <c r="D21" s="42">
        <f t="shared" ref="D21:E21" si="19">SUM(D39+D57)</f>
        <v>45333</v>
      </c>
      <c r="E21" s="42">
        <f t="shared" si="19"/>
        <v>50919</v>
      </c>
      <c r="F21" s="42">
        <f t="shared" ref="F21:G21" si="20">SUM(F39+F57)</f>
        <v>54033</v>
      </c>
      <c r="G21" s="44">
        <f t="shared" si="20"/>
        <v>53530</v>
      </c>
      <c r="H21" s="153">
        <f>IF('AW Schüler'!$D87=0,"x",C21/'AW Schüler'!$D87)</f>
        <v>0.12714991619466925</v>
      </c>
      <c r="I21" s="153">
        <f>IF('AW Schüler'!$G87=0,"x",D21/'AW Schüler'!$G87)</f>
        <v>0.16078553770744147</v>
      </c>
      <c r="J21" s="153">
        <f>IF('AW Schüler'!$J87=0,"x",E21/'AW Schüler'!$J87)</f>
        <v>0.19350535836436877</v>
      </c>
      <c r="K21" s="153">
        <f>IF('AW Schüler'!$M87=0,"x",F21/'AW Schüler'!$M87)</f>
        <v>0.2173998760772827</v>
      </c>
      <c r="L21" s="154">
        <f>IF('AW Schüler'!$P87=0,"x",G21/'AW Schüler'!$P87)</f>
        <v>0.22728044700327779</v>
      </c>
    </row>
    <row r="22" spans="1:12" ht="9" customHeight="1">
      <c r="A22" s="21" t="s">
        <v>90</v>
      </c>
      <c r="B22" s="120"/>
      <c r="C22" s="42">
        <f t="shared" si="0"/>
        <v>295</v>
      </c>
      <c r="D22" s="42">
        <f t="shared" ref="D22:E22" si="21">SUM(D40+D58)</f>
        <v>170</v>
      </c>
      <c r="E22" s="42">
        <f t="shared" si="21"/>
        <v>141</v>
      </c>
      <c r="F22" s="42">
        <f t="shared" ref="F22:G22" si="22">SUM(F40+F58)</f>
        <v>121</v>
      </c>
      <c r="G22" s="44">
        <f t="shared" si="22"/>
        <v>149</v>
      </c>
      <c r="H22" s="153">
        <f>IF('AW Schüler'!$D88=0,"x",C22/'AW Schüler'!$D88)</f>
        <v>4.0245566166439289E-2</v>
      </c>
      <c r="I22" s="153">
        <f>IF('AW Schüler'!$G88=0,"x",D22/'AW Schüler'!$G88)</f>
        <v>3.7297060114085123E-2</v>
      </c>
      <c r="J22" s="153">
        <f>IF('AW Schüler'!$J88=0,"x",E22/'AW Schüler'!$J88)</f>
        <v>3.3675662765703371E-2</v>
      </c>
      <c r="K22" s="153">
        <f>IF('AW Schüler'!$M88=0,"x",F22/'AW Schüler'!$M88)</f>
        <v>3.3780011166945838E-2</v>
      </c>
      <c r="L22" s="154">
        <f>IF('AW Schüler'!$P88=0,"x",G22/'AW Schüler'!$P88)</f>
        <v>4.1239966786603931E-2</v>
      </c>
    </row>
    <row r="23" spans="1:12" ht="9" customHeight="1">
      <c r="A23" s="21" t="s">
        <v>91</v>
      </c>
      <c r="B23" s="120"/>
      <c r="C23" s="42">
        <f t="shared" si="0"/>
        <v>142</v>
      </c>
      <c r="D23" s="42">
        <f t="shared" ref="D23:E23" si="23">SUM(D41+D59)</f>
        <v>94</v>
      </c>
      <c r="E23" s="42">
        <f t="shared" si="23"/>
        <v>103</v>
      </c>
      <c r="F23" s="42">
        <f t="shared" ref="F23:G23" si="24">SUM(F41+F59)</f>
        <v>122</v>
      </c>
      <c r="G23" s="44">
        <f t="shared" si="24"/>
        <v>101</v>
      </c>
      <c r="H23" s="153">
        <f>IF('AW Schüler'!$D89=0,"x",C23/'AW Schüler'!$D89)</f>
        <v>0.11216429699842022</v>
      </c>
      <c r="I23" s="153">
        <f>IF('AW Schüler'!$G89=0,"x",D23/'AW Schüler'!$G89)</f>
        <v>7.5019952114924182E-2</v>
      </c>
      <c r="J23" s="153">
        <f>IF('AW Schüler'!$J89=0,"x",E23/'AW Schüler'!$J89)</f>
        <v>8.3064516129032262E-2</v>
      </c>
      <c r="K23" s="153">
        <f>IF('AW Schüler'!$M89=0,"x",F23/'AW Schüler'!$M89)</f>
        <v>8.7643678160919544E-2</v>
      </c>
      <c r="L23" s="154">
        <f>IF('AW Schüler'!$P89=0,"x",G23/'AW Schüler'!$P89)</f>
        <v>0.1</v>
      </c>
    </row>
    <row r="24" spans="1:12" ht="9" customHeight="1">
      <c r="A24" s="21" t="s">
        <v>92</v>
      </c>
      <c r="B24" s="120"/>
      <c r="C24" s="198">
        <f t="shared" si="0"/>
        <v>0</v>
      </c>
      <c r="D24" s="198">
        <f t="shared" ref="D24:E24" si="25">SUM(D42+D60)</f>
        <v>0</v>
      </c>
      <c r="E24" s="198">
        <f t="shared" si="25"/>
        <v>0</v>
      </c>
      <c r="F24" s="198">
        <f t="shared" ref="F24:G24" si="26">SUM(F42+F60)</f>
        <v>0</v>
      </c>
      <c r="G24" s="199">
        <f t="shared" si="26"/>
        <v>0</v>
      </c>
      <c r="H24" s="153" t="str">
        <f>IF('AW Schüler'!$D90=0,"x",C24/'AW Schüler'!$D90)</f>
        <v>x</v>
      </c>
      <c r="I24" s="153" t="str">
        <f>IF('AW Schüler'!$G90=0,"x",D24/'AW Schüler'!$G90)</f>
        <v>x</v>
      </c>
      <c r="J24" s="153" t="str">
        <f>IF('AW Schüler'!$J90=0,"x",E24/'AW Schüler'!$J90)</f>
        <v>x</v>
      </c>
      <c r="K24" s="153" t="str">
        <f>IF('AW Schüler'!$M90=0,"x",F24/'AW Schüler'!$M90)</f>
        <v>x</v>
      </c>
      <c r="L24" s="154" t="str">
        <f>IF('AW Schüler'!$P90=0,"x",G24/'AW Schüler'!$P90)</f>
        <v>x</v>
      </c>
    </row>
    <row r="25" spans="1:12" ht="9" customHeight="1">
      <c r="A25" s="21" t="s">
        <v>93</v>
      </c>
      <c r="B25" s="120"/>
      <c r="C25" s="198">
        <f t="shared" si="0"/>
        <v>0</v>
      </c>
      <c r="D25" s="198">
        <f t="shared" ref="D25:E25" si="27">SUM(D43+D61)</f>
        <v>0</v>
      </c>
      <c r="E25" s="198">
        <f t="shared" si="27"/>
        <v>0</v>
      </c>
      <c r="F25" s="198">
        <f t="shared" ref="F25:G25" si="28">SUM(F43+F61)</f>
        <v>0</v>
      </c>
      <c r="G25" s="199">
        <f t="shared" si="28"/>
        <v>0</v>
      </c>
      <c r="H25" s="153" t="str">
        <f>IF('AW Schüler'!$D91=0,"x",C25/'AW Schüler'!$D91)</f>
        <v>x</v>
      </c>
      <c r="I25" s="153" t="str">
        <f>IF('AW Schüler'!$G91=0,"x",D25/'AW Schüler'!$G91)</f>
        <v>x</v>
      </c>
      <c r="J25" s="153" t="str">
        <f>IF('AW Schüler'!$J91=0,"x",E25/'AW Schüler'!$J91)</f>
        <v>x</v>
      </c>
      <c r="K25" s="153" t="str">
        <f>IF('AW Schüler'!$M91=0,"x",F25/'AW Schüler'!$M91)</f>
        <v>x</v>
      </c>
      <c r="L25" s="154" t="str">
        <f>IF('AW Schüler'!$P91=0,"x",G25/'AW Schüler'!$P91)</f>
        <v>x</v>
      </c>
    </row>
    <row r="26" spans="1:12" ht="9" customHeight="1">
      <c r="A26" s="21" t="s">
        <v>94</v>
      </c>
      <c r="B26" s="120"/>
      <c r="C26" s="42">
        <f t="shared" si="0"/>
        <v>4439</v>
      </c>
      <c r="D26" s="42">
        <f t="shared" ref="D26:E26" si="29">SUM(D44+D62)</f>
        <v>1832</v>
      </c>
      <c r="E26" s="42">
        <f t="shared" si="29"/>
        <v>429</v>
      </c>
      <c r="F26" s="42">
        <f t="shared" ref="F26:G26" si="30">SUM(F44+F62)</f>
        <v>0</v>
      </c>
      <c r="G26" s="199">
        <f t="shared" si="30"/>
        <v>0</v>
      </c>
      <c r="H26" s="153">
        <f>IF('AW Schüler'!$D92=0,"x",C26/'AW Schüler'!$D92)</f>
        <v>0.26534759997608942</v>
      </c>
      <c r="I26" s="153">
        <f>IF('AW Schüler'!$G92=0,"x",D26/'AW Schüler'!$G92)</f>
        <v>0.26412918108419836</v>
      </c>
      <c r="J26" s="153">
        <f>IF('AW Schüler'!$J92=0,"x",E26/'AW Schüler'!$J92)</f>
        <v>0.24444444444444444</v>
      </c>
      <c r="K26" s="153">
        <f>IF('AW Schüler'!$M92=0,"x",F26/'AW Schüler'!$M92)</f>
        <v>0</v>
      </c>
      <c r="L26" s="154" t="str">
        <f>IF('AW Schüler'!$P92=0,"x",G26/'AW Schüler'!$P92)</f>
        <v>x</v>
      </c>
    </row>
    <row r="27" spans="1:12" ht="9" customHeight="1">
      <c r="A27" s="21" t="s">
        <v>95</v>
      </c>
      <c r="B27" s="120"/>
      <c r="C27" s="198">
        <f t="shared" si="0"/>
        <v>0</v>
      </c>
      <c r="D27" s="198">
        <f t="shared" ref="D27:E27" si="31">SUM(D45+D63)</f>
        <v>0</v>
      </c>
      <c r="E27" s="198">
        <f t="shared" si="31"/>
        <v>0</v>
      </c>
      <c r="F27" s="198">
        <f t="shared" ref="F27:G27" si="32">SUM(F45+F63)</f>
        <v>0</v>
      </c>
      <c r="G27" s="199">
        <f t="shared" si="32"/>
        <v>0</v>
      </c>
      <c r="H27" s="153" t="str">
        <f>IF('AW Schüler'!$D93=0,"x",C27/'AW Schüler'!$D93)</f>
        <v>x</v>
      </c>
      <c r="I27" s="153" t="str">
        <f>IF('AW Schüler'!$G93=0,"x",D27/'AW Schüler'!$G93)</f>
        <v>x</v>
      </c>
      <c r="J27" s="153" t="str">
        <f>IF('AW Schüler'!$J93=0,"x",E27/'AW Schüler'!$J93)</f>
        <v>x</v>
      </c>
      <c r="K27" s="153" t="str">
        <f>IF('AW Schüler'!$M93=0,"x",F27/'AW Schüler'!$M93)</f>
        <v>x</v>
      </c>
      <c r="L27" s="154" t="str">
        <f>IF('AW Schüler'!$P93=0,"x",G27/'AW Schüler'!$P93)</f>
        <v>x</v>
      </c>
    </row>
    <row r="28" spans="1:12" ht="9" customHeight="1">
      <c r="A28" s="21" t="s">
        <v>96</v>
      </c>
      <c r="B28" s="120"/>
      <c r="C28" s="42">
        <f t="shared" si="0"/>
        <v>183375</v>
      </c>
      <c r="D28" s="42">
        <f t="shared" ref="D28:E28" si="33">SUM(D46+D64)</f>
        <v>182436</v>
      </c>
      <c r="E28" s="42">
        <f t="shared" si="33"/>
        <v>180262</v>
      </c>
      <c r="F28" s="42">
        <f t="shared" ref="F28:G28" si="34">SUM(F46+F64)</f>
        <v>177368</v>
      </c>
      <c r="G28" s="44">
        <f t="shared" si="34"/>
        <v>173659</v>
      </c>
      <c r="H28" s="153">
        <f>IF('AW Schüler'!$D94=0,"x",C28/'AW Schüler'!$D94)</f>
        <v>0.17166214829737361</v>
      </c>
      <c r="I28" s="153">
        <f>IF('AW Schüler'!$G94=0,"x",D28/'AW Schüler'!$G94)</f>
        <v>0.18176021551870147</v>
      </c>
      <c r="J28" s="153">
        <f>IF('AW Schüler'!$J94=0,"x",E28/'AW Schüler'!$J94)</f>
        <v>0.19163516369496902</v>
      </c>
      <c r="K28" s="153">
        <f>IF('AW Schüler'!$M94=0,"x",F28/'AW Schüler'!$M94)</f>
        <v>0.19908163482918431</v>
      </c>
      <c r="L28" s="154">
        <f>IF('AW Schüler'!$P94=0,"x",G28/'AW Schüler'!$P94)</f>
        <v>0.20553282496233374</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'3.2.6'!C30+'3.3.6'!C30</f>
        <v>7494</v>
      </c>
      <c r="D30" s="23">
        <f>'3.2.6'!D30+'3.3.6'!D30</f>
        <v>7147</v>
      </c>
      <c r="E30" s="23">
        <f>'3.2.6'!E30+'3.3.6'!E30</f>
        <v>6623</v>
      </c>
      <c r="F30" s="23">
        <f>'3.2.6'!F30+'3.3.6'!F30</f>
        <v>6559</v>
      </c>
      <c r="G30" s="34">
        <f>'3.2.6'!G30+'3.3.6'!G30</f>
        <v>6640</v>
      </c>
      <c r="H30" s="155">
        <f>IF('AW Schüler'!$D78=0,"x",C30/'AW Schüler'!$D78)</f>
        <v>3.0700155262327788E-2</v>
      </c>
      <c r="I30" s="155">
        <f>IF('AW Schüler'!$G78=0,"x",D30/'AW Schüler'!$G78)</f>
        <v>2.9860037601838311E-2</v>
      </c>
      <c r="J30" s="155">
        <f>IF('AW Schüler'!$J78=0,"x",E30/'AW Schüler'!$J78)</f>
        <v>2.8592891279664637E-2</v>
      </c>
      <c r="K30" s="155">
        <f>IF('AW Schüler'!$M78=0,"x",F30/'AW Schüler'!$M78)</f>
        <v>2.9187433250267E-2</v>
      </c>
      <c r="L30" s="156">
        <f>IF('AW Schüler'!$P78=0,"x",G30/'AW Schüler'!$P78)</f>
        <v>3.0303583490023548E-2</v>
      </c>
    </row>
    <row r="31" spans="1:12" ht="9" customHeight="1">
      <c r="A31" s="21" t="s">
        <v>81</v>
      </c>
      <c r="B31" s="120"/>
      <c r="C31" s="23">
        <f>'3.2.6'!C31+'3.3.6'!C31</f>
        <v>8239</v>
      </c>
      <c r="D31" s="23">
        <f>'3.2.6'!D31+'3.3.6'!D31</f>
        <v>9880</v>
      </c>
      <c r="E31" s="23">
        <f>'3.2.6'!E31+'3.3.6'!E31</f>
        <v>9759</v>
      </c>
      <c r="F31" s="23">
        <f>'3.2.6'!F31+'3.3.6'!F31</f>
        <v>10671</v>
      </c>
      <c r="G31" s="34">
        <f>'3.2.6'!G31+'3.3.6'!G31</f>
        <v>11032</v>
      </c>
      <c r="H31" s="155">
        <f>IF('AW Schüler'!$D79=0,"x",C31/'AW Schüler'!$D79)</f>
        <v>3.1082590127816258E-2</v>
      </c>
      <c r="I31" s="155">
        <f>IF('AW Schüler'!$G79=0,"x",D31/'AW Schüler'!$G79)</f>
        <v>3.7728788058151212E-2</v>
      </c>
      <c r="J31" s="155">
        <f>IF('AW Schüler'!$J79=0,"x",E31/'AW Schüler'!$J79)</f>
        <v>3.8195993706408658E-2</v>
      </c>
      <c r="K31" s="155">
        <f>IF('AW Schüler'!$M79=0,"x",F31/'AW Schüler'!$M79)</f>
        <v>4.2492274855850401E-2</v>
      </c>
      <c r="L31" s="156">
        <f>IF('AW Schüler'!$P79=0,"x",G31/'AW Schüler'!$P79)</f>
        <v>4.5370983462951008E-2</v>
      </c>
    </row>
    <row r="32" spans="1:12" ht="9" customHeight="1">
      <c r="A32" s="21" t="s">
        <v>82</v>
      </c>
      <c r="B32" s="120"/>
      <c r="C32" s="23">
        <f>'3.2.6'!C32+'3.3.6'!C32</f>
        <v>0</v>
      </c>
      <c r="D32" s="23">
        <f>'3.2.6'!D32+'3.3.6'!D32</f>
        <v>0</v>
      </c>
      <c r="E32" s="23">
        <f>'3.2.6'!E32+'3.3.6'!E32</f>
        <v>0</v>
      </c>
      <c r="F32" s="23">
        <f>'3.2.6'!F32+'3.3.6'!F32</f>
        <v>0</v>
      </c>
      <c r="G32" s="34">
        <f>'3.2.6'!G32+'3.3.6'!G32</f>
        <v>0</v>
      </c>
      <c r="H32" s="193">
        <f>IF('AW Schüler'!$D80=0,"x",C32/'AW Schüler'!$D80)</f>
        <v>0</v>
      </c>
      <c r="I32" s="193">
        <f>IF('AW Schüler'!$G80=0,"x",D32/'AW Schüler'!$G80)</f>
        <v>0</v>
      </c>
      <c r="J32" s="193" t="str">
        <f>IF('AW Schüler'!$J80=0,"x",E32/'AW Schüler'!$J80)</f>
        <v>x</v>
      </c>
      <c r="K32" s="193" t="str">
        <f>IF('AW Schüler'!$M80=0,"x",F32/'AW Schüler'!$M80)</f>
        <v>x</v>
      </c>
      <c r="L32" s="194" t="str">
        <f>IF('AW Schüler'!$P80=0,"x",G32/'AW Schüler'!$P80)</f>
        <v>x</v>
      </c>
    </row>
    <row r="33" spans="1:12" ht="9" customHeight="1">
      <c r="A33" s="21" t="s">
        <v>83</v>
      </c>
      <c r="B33" s="120"/>
      <c r="C33" s="151">
        <f>'3.2.6'!C33+'3.3.6'!C33</f>
        <v>0</v>
      </c>
      <c r="D33" s="151">
        <f>'3.2.6'!D33+'3.3.6'!D33</f>
        <v>0</v>
      </c>
      <c r="E33" s="151">
        <f>'3.2.6'!E33+'3.3.6'!E33</f>
        <v>0</v>
      </c>
      <c r="F33" s="151">
        <f>'3.2.6'!F33+'3.3.6'!F33</f>
        <v>0</v>
      </c>
      <c r="G33" s="152">
        <f>'3.2.6'!G33+'3.3.6'!G33</f>
        <v>0</v>
      </c>
      <c r="H33" s="155" t="str">
        <f>IF('AW Schüler'!$D81=0,"x",C33/'AW Schüler'!$D81)</f>
        <v>x</v>
      </c>
      <c r="I33" s="155" t="str">
        <f>IF('AW Schüler'!$G81=0,"x",D33/'AW Schüler'!$G81)</f>
        <v>x</v>
      </c>
      <c r="J33" s="155" t="str">
        <f>IF('AW Schüler'!$J81=0,"x",E33/'AW Schüler'!$J81)</f>
        <v>x</v>
      </c>
      <c r="K33" s="155" t="str">
        <f>IF('AW Schüler'!$M81=0,"x",F33/'AW Schüler'!$M81)</f>
        <v>x</v>
      </c>
      <c r="L33" s="156" t="str">
        <f>IF('AW Schüler'!$P81=0,"x",G33/'AW Schüler'!$P81)</f>
        <v>x</v>
      </c>
    </row>
    <row r="34" spans="1:12" ht="9" customHeight="1">
      <c r="A34" s="21" t="s">
        <v>84</v>
      </c>
      <c r="B34" s="120"/>
      <c r="C34" s="193">
        <f>'3.2.6'!C34+'3.3.6'!C34</f>
        <v>0</v>
      </c>
      <c r="D34" s="193">
        <f>'3.2.6'!D34+'3.3.6'!D34</f>
        <v>0</v>
      </c>
      <c r="E34" s="193">
        <f>'3.2.6'!E34+'3.3.6'!E34</f>
        <v>0</v>
      </c>
      <c r="F34" s="193">
        <f>'3.2.6'!F34+'3.3.6'!F34</f>
        <v>0</v>
      </c>
      <c r="G34" s="194">
        <f>'3.2.6'!G34+'3.3.6'!G34</f>
        <v>0</v>
      </c>
      <c r="H34" s="155" t="str">
        <f>IF('AW Schüler'!$D82=0,"x",C34/'AW Schüler'!$D82)</f>
        <v>x</v>
      </c>
      <c r="I34" s="155" t="str">
        <f>IF('AW Schüler'!$G82=0,"x",D34/'AW Schüler'!$G82)</f>
        <v>x</v>
      </c>
      <c r="J34" s="155" t="str">
        <f>IF('AW Schüler'!$J82=0,"x",E34/'AW Schüler'!$J82)</f>
        <v>x</v>
      </c>
      <c r="K34" s="155" t="str">
        <f>IF('AW Schüler'!$M82=0,"x",F34/'AW Schüler'!$M82)</f>
        <v>x</v>
      </c>
      <c r="L34" s="156" t="str">
        <f>IF('AW Schüler'!$P82=0,"x",G34/'AW Schüler'!$P82)</f>
        <v>x</v>
      </c>
    </row>
    <row r="35" spans="1:12" ht="9" customHeight="1">
      <c r="A35" s="21" t="s">
        <v>85</v>
      </c>
      <c r="B35" s="120"/>
      <c r="C35" s="193">
        <f>'3.2.6'!C35+'3.3.6'!C35</f>
        <v>0</v>
      </c>
      <c r="D35" s="193">
        <f>'3.2.6'!D35+'3.3.6'!D35</f>
        <v>0</v>
      </c>
      <c r="E35" s="193">
        <f>'3.2.6'!E35+'3.3.6'!E35</f>
        <v>0</v>
      </c>
      <c r="F35" s="193">
        <f>'3.2.6'!F35+'3.3.6'!F35</f>
        <v>0</v>
      </c>
      <c r="G35" s="194">
        <f>'3.2.6'!G35+'3.3.6'!G35</f>
        <v>0</v>
      </c>
      <c r="H35" s="155" t="str">
        <f>IF('AW Schüler'!$D83=0,"x",C35/'AW Schüler'!$D83)</f>
        <v>x</v>
      </c>
      <c r="I35" s="155" t="str">
        <f>IF('AW Schüler'!$G83=0,"x",D35/'AW Schüler'!$G83)</f>
        <v>x</v>
      </c>
      <c r="J35" s="155" t="str">
        <f>IF('AW Schüler'!$J83=0,"x",E35/'AW Schüler'!$J83)</f>
        <v>x</v>
      </c>
      <c r="K35" s="155" t="str">
        <f>IF('AW Schüler'!$M83=0,"x",F35/'AW Schüler'!$M83)</f>
        <v>x</v>
      </c>
      <c r="L35" s="156" t="str">
        <f>IF('AW Schüler'!$P83=0,"x",G35/'AW Schüler'!$P83)</f>
        <v>x</v>
      </c>
    </row>
    <row r="36" spans="1:12" ht="9" customHeight="1">
      <c r="A36" s="21" t="s">
        <v>114</v>
      </c>
      <c r="B36" s="120"/>
      <c r="C36" s="23">
        <f>'3.2.6'!C36+'3.3.6'!C36</f>
        <v>1157</v>
      </c>
      <c r="D36" s="23">
        <f>'3.2.6'!D36+'3.3.6'!D36</f>
        <v>959</v>
      </c>
      <c r="E36" s="23">
        <f>'3.2.6'!E36+'3.3.6'!E36</f>
        <v>891</v>
      </c>
      <c r="F36" s="23">
        <f>'3.2.6'!F36+'3.3.6'!F36</f>
        <v>972</v>
      </c>
      <c r="G36" s="34">
        <f>'3.2.6'!G36+'3.3.6'!G36</f>
        <v>1239</v>
      </c>
      <c r="H36" s="183">
        <v>0</v>
      </c>
      <c r="I36" s="183">
        <v>0</v>
      </c>
      <c r="J36" s="183">
        <v>0</v>
      </c>
      <c r="K36" s="183">
        <v>0</v>
      </c>
      <c r="L36" s="197">
        <v>0</v>
      </c>
    </row>
    <row r="37" spans="1:12" ht="9" customHeight="1">
      <c r="A37" s="21" t="s">
        <v>87</v>
      </c>
      <c r="B37" s="120"/>
      <c r="C37" s="193">
        <f>'3.2.6'!C37+'3.3.6'!C37</f>
        <v>0</v>
      </c>
      <c r="D37" s="193">
        <f>'3.2.6'!D37+'3.3.6'!D37</f>
        <v>0</v>
      </c>
      <c r="E37" s="193">
        <f>'3.2.6'!E37+'3.3.6'!E37</f>
        <v>0</v>
      </c>
      <c r="F37" s="193">
        <f>'3.2.6'!F37+'3.3.6'!F37</f>
        <v>0</v>
      </c>
      <c r="G37" s="194">
        <f>'3.2.6'!G37+'3.3.6'!G37</f>
        <v>0</v>
      </c>
      <c r="H37" s="155" t="str">
        <f>IF('AW Schüler'!$D85=0,"x",C37/'AW Schüler'!$D85)</f>
        <v>x</v>
      </c>
      <c r="I37" s="155" t="str">
        <f>IF('AW Schüler'!$G85=0,"x",D37/'AW Schüler'!$G85)</f>
        <v>x</v>
      </c>
      <c r="J37" s="155" t="str">
        <f>IF('AW Schüler'!$J85=0,"x",E37/'AW Schüler'!$J85)</f>
        <v>x</v>
      </c>
      <c r="K37" s="155" t="str">
        <f>IF('AW Schüler'!$M85=0,"x",F37/'AW Schüler'!$M85)</f>
        <v>x</v>
      </c>
      <c r="L37" s="156" t="str">
        <f>IF('AW Schüler'!$P85=0,"x",G37/'AW Schüler'!$P85)</f>
        <v>x</v>
      </c>
    </row>
    <row r="38" spans="1:12" ht="9" customHeight="1">
      <c r="A38" s="21" t="s">
        <v>88</v>
      </c>
      <c r="B38" s="120"/>
      <c r="C38" s="23">
        <f>'3.2.6'!C38+'3.3.6'!C38</f>
        <v>15258</v>
      </c>
      <c r="D38" s="23">
        <f>'3.2.6'!D38+'3.3.6'!D38</f>
        <v>13294</v>
      </c>
      <c r="E38" s="23">
        <f>'3.2.6'!E38+'3.3.6'!E38</f>
        <v>14066</v>
      </c>
      <c r="F38" s="23">
        <f>'3.2.6'!F38+'3.3.6'!F38</f>
        <v>14192</v>
      </c>
      <c r="G38" s="34">
        <f>'3.2.6'!G38+'3.3.6'!G38</f>
        <v>11374</v>
      </c>
      <c r="H38" s="183">
        <v>0</v>
      </c>
      <c r="I38" s="183">
        <v>0</v>
      </c>
      <c r="J38" s="183">
        <v>0</v>
      </c>
      <c r="K38" s="183">
        <v>0</v>
      </c>
      <c r="L38" s="197">
        <v>0</v>
      </c>
    </row>
    <row r="39" spans="1:12" ht="9" customHeight="1">
      <c r="A39" s="21" t="s">
        <v>89</v>
      </c>
      <c r="B39" s="120"/>
      <c r="C39" s="23">
        <f>'3.2.6'!C39+'3.3.6'!C39</f>
        <v>38006</v>
      </c>
      <c r="D39" s="23">
        <f>'3.2.6'!D39+'3.3.6'!D39</f>
        <v>45333</v>
      </c>
      <c r="E39" s="23">
        <f>'3.2.6'!E39+'3.3.6'!E39</f>
        <v>50919</v>
      </c>
      <c r="F39" s="23">
        <f>'3.2.6'!F39+'3.3.6'!F39</f>
        <v>54033</v>
      </c>
      <c r="G39" s="34">
        <f>'3.2.6'!G39+'3.3.6'!G39</f>
        <v>53530</v>
      </c>
      <c r="H39" s="155">
        <f>IF('AW Schüler'!$D87=0,"x",C39/'AW Schüler'!$D87)</f>
        <v>0.12714991619466925</v>
      </c>
      <c r="I39" s="155">
        <f>IF('AW Schüler'!$G87=0,"x",D39/'AW Schüler'!$G87)</f>
        <v>0.16078553770744147</v>
      </c>
      <c r="J39" s="155">
        <f>IF('AW Schüler'!$J87=0,"x",E39/'AW Schüler'!$J87)</f>
        <v>0.19350535836436877</v>
      </c>
      <c r="K39" s="155">
        <f>IF('AW Schüler'!$M87=0,"x",F39/'AW Schüler'!$M87)</f>
        <v>0.2173998760772827</v>
      </c>
      <c r="L39" s="156">
        <f>IF('AW Schüler'!$P87=0,"x",G39/'AW Schüler'!$P87)</f>
        <v>0.22728044700327779</v>
      </c>
    </row>
    <row r="40" spans="1:12" ht="9" customHeight="1">
      <c r="A40" s="21" t="s">
        <v>90</v>
      </c>
      <c r="B40" s="120"/>
      <c r="C40" s="23">
        <f>'3.2.6'!C40+'3.3.6'!C40</f>
        <v>246</v>
      </c>
      <c r="D40" s="23">
        <f>'3.2.6'!D40+'3.3.6'!D40</f>
        <v>122</v>
      </c>
      <c r="E40" s="23">
        <f>'3.2.6'!E40+'3.3.6'!E40</f>
        <v>97</v>
      </c>
      <c r="F40" s="23">
        <f>'3.2.6'!F40+'3.3.6'!F40</f>
        <v>78</v>
      </c>
      <c r="G40" s="34">
        <f>'3.2.6'!G40+'3.3.6'!G40</f>
        <v>108</v>
      </c>
      <c r="H40" s="155">
        <f>IF('AW Schüler'!$D88=0,"x",C40/'AW Schüler'!$D88)</f>
        <v>3.3560709413369715E-2</v>
      </c>
      <c r="I40" s="155">
        <f>IF('AW Schüler'!$G88=0,"x",D40/'AW Schüler'!$G88)</f>
        <v>2.676612549363756E-2</v>
      </c>
      <c r="J40" s="155">
        <f>IF('AW Schüler'!$J88=0,"x",E40/'AW Schüler'!$J88)</f>
        <v>2.3166945306902317E-2</v>
      </c>
      <c r="K40" s="155">
        <f>IF('AW Schüler'!$M88=0,"x",F40/'AW Schüler'!$M88)</f>
        <v>2.1775544388609715E-2</v>
      </c>
      <c r="L40" s="156">
        <f>IF('AW Schüler'!$P88=0,"x",G40/'AW Schüler'!$P88)</f>
        <v>2.989205646277332E-2</v>
      </c>
    </row>
    <row r="41" spans="1:12" ht="9" customHeight="1">
      <c r="A41" s="21" t="s">
        <v>91</v>
      </c>
      <c r="B41" s="120"/>
      <c r="C41" s="23">
        <f>'3.2.6'!C41+'3.3.6'!C41</f>
        <v>0</v>
      </c>
      <c r="D41" s="23">
        <f>'3.2.6'!D41+'3.3.6'!D41</f>
        <v>0</v>
      </c>
      <c r="E41" s="23">
        <f>'3.2.6'!E41+'3.3.6'!E41</f>
        <v>0</v>
      </c>
      <c r="F41" s="23">
        <f>'3.2.6'!F41+'3.3.6'!F41</f>
        <v>0</v>
      </c>
      <c r="G41" s="34">
        <f>'3.2.6'!G41+'3.3.6'!G41</f>
        <v>0</v>
      </c>
      <c r="H41" s="155">
        <f>IF('AW Schüler'!$D89=0,"x",C41/'AW Schüler'!$D89)</f>
        <v>0</v>
      </c>
      <c r="I41" s="155">
        <f>IF('AW Schüler'!$G89=0,"x",D41/'AW Schüler'!$G89)</f>
        <v>0</v>
      </c>
      <c r="J41" s="155">
        <f>IF('AW Schüler'!$J89=0,"x",E41/'AW Schüler'!$J89)</f>
        <v>0</v>
      </c>
      <c r="K41" s="155">
        <f>IF('AW Schüler'!$M89=0,"x",F41/'AW Schüler'!$M89)</f>
        <v>0</v>
      </c>
      <c r="L41" s="156">
        <f>IF('AW Schüler'!$P89=0,"x",G41/'AW Schüler'!$P89)</f>
        <v>0</v>
      </c>
    </row>
    <row r="42" spans="1:12" ht="9" customHeight="1">
      <c r="A42" s="21" t="s">
        <v>92</v>
      </c>
      <c r="B42" s="120"/>
      <c r="C42" s="193">
        <f>'3.2.6'!C42+'3.3.6'!C42</f>
        <v>0</v>
      </c>
      <c r="D42" s="193">
        <f>'3.2.6'!D42+'3.3.6'!D42</f>
        <v>0</v>
      </c>
      <c r="E42" s="193">
        <f>'3.2.6'!E42+'3.3.6'!E42</f>
        <v>0</v>
      </c>
      <c r="F42" s="193">
        <f>'3.2.6'!F42+'3.3.6'!F42</f>
        <v>0</v>
      </c>
      <c r="G42" s="194">
        <f>'3.2.6'!G42+'3.3.6'!G42</f>
        <v>0</v>
      </c>
      <c r="H42" s="155" t="str">
        <f>IF('AW Schüler'!$D90=0,"x",C42/'AW Schüler'!$D90)</f>
        <v>x</v>
      </c>
      <c r="I42" s="155" t="str">
        <f>IF('AW Schüler'!$G90=0,"x",D42/'AW Schüler'!$G90)</f>
        <v>x</v>
      </c>
      <c r="J42" s="155" t="str">
        <f>IF('AW Schüler'!$J90=0,"x",E42/'AW Schüler'!$J90)</f>
        <v>x</v>
      </c>
      <c r="K42" s="155" t="str">
        <f>IF('AW Schüler'!$M90=0,"x",F42/'AW Schüler'!$M90)</f>
        <v>x</v>
      </c>
      <c r="L42" s="156" t="str">
        <f>IF('AW Schüler'!$P90=0,"x",G42/'AW Schüler'!$P90)</f>
        <v>x</v>
      </c>
    </row>
    <row r="43" spans="1:12" ht="9" customHeight="1">
      <c r="A43" s="21" t="s">
        <v>93</v>
      </c>
      <c r="B43" s="120"/>
      <c r="C43" s="193">
        <f>'3.2.6'!C43+'3.3.6'!C43</f>
        <v>0</v>
      </c>
      <c r="D43" s="193">
        <f>'3.2.6'!D43+'3.3.6'!D43</f>
        <v>0</v>
      </c>
      <c r="E43" s="193">
        <f>'3.2.6'!E43+'3.3.6'!E43</f>
        <v>0</v>
      </c>
      <c r="F43" s="193">
        <f>'3.2.6'!F43+'3.3.6'!F43</f>
        <v>0</v>
      </c>
      <c r="G43" s="194">
        <f>'3.2.6'!G43+'3.3.6'!G43</f>
        <v>0</v>
      </c>
      <c r="H43" s="155" t="str">
        <f>IF('AW Schüler'!$D91=0,"x",C43/'AW Schüler'!$D91)</f>
        <v>x</v>
      </c>
      <c r="I43" s="155" t="str">
        <f>IF('AW Schüler'!$G91=0,"x",D43/'AW Schüler'!$G91)</f>
        <v>x</v>
      </c>
      <c r="J43" s="155" t="str">
        <f>IF('AW Schüler'!$J91=0,"x",E43/'AW Schüler'!$J91)</f>
        <v>x</v>
      </c>
      <c r="K43" s="155" t="str">
        <f>IF('AW Schüler'!$M91=0,"x",F43/'AW Schüler'!$M91)</f>
        <v>x</v>
      </c>
      <c r="L43" s="156" t="str">
        <f>IF('AW Schüler'!$P91=0,"x",G43/'AW Schüler'!$P91)</f>
        <v>x</v>
      </c>
    </row>
    <row r="44" spans="1:12" ht="9" customHeight="1">
      <c r="A44" s="21" t="s">
        <v>94</v>
      </c>
      <c r="B44" s="120"/>
      <c r="C44" s="23">
        <f>'3.2.6'!C44+'3.3.6'!C44</f>
        <v>67</v>
      </c>
      <c r="D44" s="23">
        <f>'3.2.6'!D44+'3.3.6'!D44</f>
        <v>0</v>
      </c>
      <c r="E44" s="23">
        <f>'3.2.6'!E44+'3.3.6'!E44</f>
        <v>0</v>
      </c>
      <c r="F44" s="23">
        <f>'3.2.6'!F44+'3.3.6'!F44</f>
        <v>0</v>
      </c>
      <c r="G44" s="194">
        <f>'3.2.6'!G44+'3.3.6'!G44</f>
        <v>0</v>
      </c>
      <c r="H44" s="155">
        <f>IF('AW Schüler'!$D92=0,"x",C44/'AW Schüler'!$D92)</f>
        <v>4.0050212206348256E-3</v>
      </c>
      <c r="I44" s="155">
        <f>IF('AW Schüler'!$G92=0,"x",D44/'AW Schüler'!$G92)</f>
        <v>0</v>
      </c>
      <c r="J44" s="155">
        <f>IF('AW Schüler'!$J92=0,"x",E44/'AW Schüler'!$J92)</f>
        <v>0</v>
      </c>
      <c r="K44" s="155">
        <f>IF('AW Schüler'!$M92=0,"x",F44/'AW Schüler'!$M92)</f>
        <v>0</v>
      </c>
      <c r="L44" s="156" t="str">
        <f>IF('AW Schüler'!$P92=0,"x",G44/'AW Schüler'!$P92)</f>
        <v>x</v>
      </c>
    </row>
    <row r="45" spans="1:12" ht="9" customHeight="1">
      <c r="A45" s="21" t="s">
        <v>95</v>
      </c>
      <c r="B45" s="120"/>
      <c r="C45" s="193">
        <f>'3.2.6'!C45+'3.3.6'!C45</f>
        <v>0</v>
      </c>
      <c r="D45" s="193">
        <f>'3.2.6'!D45+'3.3.6'!D45</f>
        <v>0</v>
      </c>
      <c r="E45" s="193">
        <f>'3.2.6'!E45+'3.3.6'!E45</f>
        <v>0</v>
      </c>
      <c r="F45" s="193">
        <f>'3.2.6'!F45+'3.3.6'!F45</f>
        <v>0</v>
      </c>
      <c r="G45" s="194">
        <f>'3.2.6'!G45+'3.3.6'!G45</f>
        <v>0</v>
      </c>
      <c r="H45" s="155" t="str">
        <f>IF('AW Schüler'!$D93=0,"x",C45/'AW Schüler'!$D93)</f>
        <v>x</v>
      </c>
      <c r="I45" s="155" t="str">
        <f>IF('AW Schüler'!$G93=0,"x",D45/'AW Schüler'!$G93)</f>
        <v>x</v>
      </c>
      <c r="J45" s="155" t="str">
        <f>IF('AW Schüler'!$J93=0,"x",E45/'AW Schüler'!$J93)</f>
        <v>x</v>
      </c>
      <c r="K45" s="155" t="str">
        <f>IF('AW Schüler'!$M93=0,"x",F45/'AW Schüler'!$M93)</f>
        <v>x</v>
      </c>
      <c r="L45" s="156" t="str">
        <f>IF('AW Schüler'!$P93=0,"x",G45/'AW Schüler'!$P93)</f>
        <v>x</v>
      </c>
    </row>
    <row r="46" spans="1:12" ht="9" customHeight="1">
      <c r="A46" s="21" t="s">
        <v>96</v>
      </c>
      <c r="B46" s="120"/>
      <c r="C46" s="23">
        <f>'3.2.6'!C46+'3.3.6'!C46</f>
        <v>70467</v>
      </c>
      <c r="D46" s="23">
        <f>'3.2.6'!D46+'3.3.6'!D46</f>
        <v>76735</v>
      </c>
      <c r="E46" s="23">
        <f>'3.2.6'!E46+'3.3.6'!E46</f>
        <v>82355</v>
      </c>
      <c r="F46" s="23">
        <f>'3.2.6'!F46+'3.3.6'!F46</f>
        <v>86505</v>
      </c>
      <c r="G46" s="34">
        <f>'3.2.6'!G46+'3.3.6'!G46</f>
        <v>83923</v>
      </c>
      <c r="H46" s="155">
        <f>IF('AW Schüler'!$D94=0,"x",C46/'AW Schüler'!$D94)</f>
        <v>6.5966007384163736E-2</v>
      </c>
      <c r="I46" s="155">
        <f>IF('AW Schüler'!$G94=0,"x",D46/'AW Schüler'!$G94)</f>
        <v>7.6450756088861607E-2</v>
      </c>
      <c r="J46" s="155">
        <f>IF('AW Schüler'!$J94=0,"x",E46/'AW Schüler'!$J94)</f>
        <v>8.7550975280975329E-2</v>
      </c>
      <c r="K46" s="155">
        <f>IF('AW Schüler'!$M94=0,"x",F46/'AW Schüler'!$M94)</f>
        <v>9.7095061233698238E-2</v>
      </c>
      <c r="L46" s="156">
        <f>IF('AW Schüler'!$P94=0,"x",G46/'AW Schüler'!$P94)</f>
        <v>9.9326445904410005E-2</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'3.2.6'!C48+'3.3.6'!C48</f>
        <v>12716</v>
      </c>
      <c r="D48" s="23">
        <f>'3.2.6'!D48+'3.3.6'!D48</f>
        <v>13202</v>
      </c>
      <c r="E48" s="23">
        <f>'3.2.6'!E48+'3.3.6'!E48</f>
        <v>14131</v>
      </c>
      <c r="F48" s="23">
        <f>'3.2.6'!F48+'3.3.6'!F48</f>
        <v>14520</v>
      </c>
      <c r="G48" s="34">
        <f>'3.2.6'!G48+'3.3.6'!G48</f>
        <v>16495</v>
      </c>
      <c r="H48" s="155">
        <f>IF('AW Schüler'!$D78=0,"x",C48/'AW Schüler'!$D78)</f>
        <v>5.209276412006407E-2</v>
      </c>
      <c r="I48" s="155">
        <f>IF('AW Schüler'!$G78=0,"x",D48/'AW Schüler'!$G78)</f>
        <v>5.5157718821809067E-2</v>
      </c>
      <c r="J48" s="155">
        <f>IF('AW Schüler'!$J78=0,"x",E48/'AW Schüler'!$J78)</f>
        <v>6.1006514672043037E-2</v>
      </c>
      <c r="K48" s="155">
        <f>IF('AW Schüler'!$M78=0,"x",F48/'AW Schüler'!$M78)</f>
        <v>6.4613741545033826E-2</v>
      </c>
      <c r="L48" s="156">
        <f>IF('AW Schüler'!$P78=0,"x",G48/'AW Schüler'!$P78)</f>
        <v>7.5279760492159398E-2</v>
      </c>
    </row>
    <row r="49" spans="1:12" ht="9" customHeight="1">
      <c r="A49" s="21" t="s">
        <v>81</v>
      </c>
      <c r="B49" s="120"/>
      <c r="C49" s="23">
        <f>'3.2.6'!C49+'3.3.6'!C49</f>
        <v>14284</v>
      </c>
      <c r="D49" s="23">
        <f>'3.2.6'!D49+'3.3.6'!D49</f>
        <v>15007</v>
      </c>
      <c r="E49" s="23">
        <f>'3.2.6'!E49+'3.3.6'!E49</f>
        <v>14939</v>
      </c>
      <c r="F49" s="23">
        <f>'3.2.6'!F49+'3.3.6'!F49</f>
        <v>16359</v>
      </c>
      <c r="G49" s="34">
        <f>'3.2.6'!G49+'3.3.6'!G49</f>
        <v>16878</v>
      </c>
      <c r="H49" s="155">
        <f>IF('AW Schüler'!$D79=0,"x",C49/'AW Schüler'!$D79)</f>
        <v>5.3888058913184544E-2</v>
      </c>
      <c r="I49" s="155">
        <f>IF('AW Schüler'!$G79=0,"x",D49/'AW Schüler'!$G79)</f>
        <v>5.7307279593995473E-2</v>
      </c>
      <c r="J49" s="155">
        <f>IF('AW Schüler'!$J79=0,"x",E49/'AW Schüler'!$J79)</f>
        <v>5.8470125010763291E-2</v>
      </c>
      <c r="K49" s="155">
        <f>IF('AW Schüler'!$M79=0,"x",F49/'AW Schüler'!$M79)</f>
        <v>6.5142078939823517E-2</v>
      </c>
      <c r="L49" s="156">
        <f>IF('AW Schüler'!$P79=0,"x",G49/'AW Schüler'!$P79)</f>
        <v>6.941365653441689E-2</v>
      </c>
    </row>
    <row r="50" spans="1:12" ht="9" customHeight="1">
      <c r="A50" s="21" t="s">
        <v>82</v>
      </c>
      <c r="B50" s="120"/>
      <c r="C50" s="23">
        <f>'3.2.6'!C50+'3.3.6'!C50</f>
        <v>0</v>
      </c>
      <c r="D50" s="23">
        <f>'3.2.6'!D50+'3.3.6'!D50</f>
        <v>0</v>
      </c>
      <c r="E50" s="23">
        <f>'3.2.6'!E50+'3.3.6'!E50</f>
        <v>0</v>
      </c>
      <c r="F50" s="23">
        <f>'3.2.6'!F50+'3.3.6'!F50</f>
        <v>0</v>
      </c>
      <c r="G50" s="34">
        <f>'3.2.6'!G50+'3.3.6'!G50</f>
        <v>0</v>
      </c>
      <c r="H50" s="193">
        <f>IF('AW Schüler'!$D80=0,"x",C50/'AW Schüler'!$D80)</f>
        <v>0</v>
      </c>
      <c r="I50" s="193">
        <f>IF('AW Schüler'!$G80=0,"x",D50/'AW Schüler'!$G80)</f>
        <v>0</v>
      </c>
      <c r="J50" s="193" t="str">
        <f>IF('AW Schüler'!$J80=0,"x",E50/'AW Schüler'!$J80)</f>
        <v>x</v>
      </c>
      <c r="K50" s="193" t="str">
        <f>IF('AW Schüler'!$M80=0,"x",F50/'AW Schüler'!$M80)</f>
        <v>x</v>
      </c>
      <c r="L50" s="194" t="str">
        <f>IF('AW Schüler'!$P80=0,"x",G50/'AW Schüler'!$P80)</f>
        <v>x</v>
      </c>
    </row>
    <row r="51" spans="1:12" ht="9" customHeight="1">
      <c r="A51" s="21" t="s">
        <v>83</v>
      </c>
      <c r="B51" s="120"/>
      <c r="C51" s="151">
        <f>'3.2.6'!C51+'3.3.6'!C51</f>
        <v>0</v>
      </c>
      <c r="D51" s="151">
        <f>'3.2.6'!D51+'3.3.6'!D51</f>
        <v>0</v>
      </c>
      <c r="E51" s="151">
        <f>'3.2.6'!E51+'3.3.6'!E51</f>
        <v>0</v>
      </c>
      <c r="F51" s="151">
        <f>'3.2.6'!F51+'3.3.6'!F51</f>
        <v>0</v>
      </c>
      <c r="G51" s="152">
        <f>'3.2.6'!G51+'3.3.6'!G51</f>
        <v>0</v>
      </c>
      <c r="H51" s="155" t="str">
        <f>IF('AW Schüler'!$D81=0,"x",C51/'AW Schüler'!$D81)</f>
        <v>x</v>
      </c>
      <c r="I51" s="155" t="str">
        <f>IF('AW Schüler'!$G81=0,"x",D51/'AW Schüler'!$G81)</f>
        <v>x</v>
      </c>
      <c r="J51" s="155" t="str">
        <f>IF('AW Schüler'!$J81=0,"x",E51/'AW Schüler'!$J81)</f>
        <v>x</v>
      </c>
      <c r="K51" s="155" t="str">
        <f>IF('AW Schüler'!$M81=0,"x",F51/'AW Schüler'!$M81)</f>
        <v>x</v>
      </c>
      <c r="L51" s="156" t="str">
        <f>IF('AW Schüler'!$P81=0,"x",G51/'AW Schüler'!$P81)</f>
        <v>x</v>
      </c>
    </row>
    <row r="52" spans="1:12" ht="9" customHeight="1">
      <c r="A52" s="21" t="s">
        <v>84</v>
      </c>
      <c r="B52" s="120"/>
      <c r="C52" s="193">
        <f>'3.2.6'!C52+'3.3.6'!C52</f>
        <v>0</v>
      </c>
      <c r="D52" s="193">
        <f>'3.2.6'!D52+'3.3.6'!D52</f>
        <v>0</v>
      </c>
      <c r="E52" s="193">
        <f>'3.2.6'!E52+'3.3.6'!E52</f>
        <v>0</v>
      </c>
      <c r="F52" s="193">
        <f>'3.2.6'!F52+'3.3.6'!F52</f>
        <v>0</v>
      </c>
      <c r="G52" s="194">
        <f>'3.2.6'!G52+'3.3.6'!G52</f>
        <v>0</v>
      </c>
      <c r="H52" s="155" t="str">
        <f>IF('AW Schüler'!$D82=0,"x",C52/'AW Schüler'!$D82)</f>
        <v>x</v>
      </c>
      <c r="I52" s="155" t="str">
        <f>IF('AW Schüler'!$G82=0,"x",D52/'AW Schüler'!$G82)</f>
        <v>x</v>
      </c>
      <c r="J52" s="155" t="str">
        <f>IF('AW Schüler'!$J82=0,"x",E52/'AW Schüler'!$J82)</f>
        <v>x</v>
      </c>
      <c r="K52" s="155" t="str">
        <f>IF('AW Schüler'!$M82=0,"x",F52/'AW Schüler'!$M82)</f>
        <v>x</v>
      </c>
      <c r="L52" s="156" t="str">
        <f>IF('AW Schüler'!$P82=0,"x",G52/'AW Schüler'!$P82)</f>
        <v>x</v>
      </c>
    </row>
    <row r="53" spans="1:12" ht="9" customHeight="1">
      <c r="A53" s="21" t="s">
        <v>85</v>
      </c>
      <c r="B53" s="120"/>
      <c r="C53" s="193">
        <f>'3.2.6'!C53+'3.3.6'!C53</f>
        <v>0</v>
      </c>
      <c r="D53" s="193">
        <f>'3.2.6'!D53+'3.3.6'!D53</f>
        <v>0</v>
      </c>
      <c r="E53" s="193">
        <f>'3.2.6'!E53+'3.3.6'!E53</f>
        <v>0</v>
      </c>
      <c r="F53" s="193">
        <f>'3.2.6'!F53+'3.3.6'!F53</f>
        <v>0</v>
      </c>
      <c r="G53" s="194">
        <f>'3.2.6'!G53+'3.3.6'!G53</f>
        <v>0</v>
      </c>
      <c r="H53" s="155" t="str">
        <f>IF('AW Schüler'!$D83=0,"x",C53/'AW Schüler'!$D83)</f>
        <v>x</v>
      </c>
      <c r="I53" s="155" t="str">
        <f>IF('AW Schüler'!$G83=0,"x",D53/'AW Schüler'!$G83)</f>
        <v>x</v>
      </c>
      <c r="J53" s="155" t="str">
        <f>IF('AW Schüler'!$J83=0,"x",E53/'AW Schüler'!$J83)</f>
        <v>x</v>
      </c>
      <c r="K53" s="155" t="str">
        <f>IF('AW Schüler'!$M83=0,"x",F53/'AW Schüler'!$M83)</f>
        <v>x</v>
      </c>
      <c r="L53" s="156" t="str">
        <f>IF('AW Schüler'!$P83=0,"x",G53/'AW Schüler'!$P83)</f>
        <v>x</v>
      </c>
    </row>
    <row r="54" spans="1:12" ht="9" customHeight="1">
      <c r="A54" s="21" t="s">
        <v>114</v>
      </c>
      <c r="B54" s="120"/>
      <c r="C54" s="23">
        <f>'3.2.6'!C54+'3.3.6'!C54</f>
        <v>36079</v>
      </c>
      <c r="D54" s="23">
        <f>'3.2.6'!D54+'3.3.6'!D54</f>
        <v>34805</v>
      </c>
      <c r="E54" s="23">
        <f>'3.2.6'!E54+'3.3.6'!E54</f>
        <v>33722</v>
      </c>
      <c r="F54" s="23">
        <f>'3.2.6'!F54+'3.3.6'!F54</f>
        <v>32435</v>
      </c>
      <c r="G54" s="34">
        <f>'3.2.6'!G54+'3.3.6'!G54</f>
        <v>32254</v>
      </c>
      <c r="H54" s="183">
        <v>0</v>
      </c>
      <c r="I54" s="183">
        <v>0</v>
      </c>
      <c r="J54" s="183">
        <v>0</v>
      </c>
      <c r="K54" s="183">
        <v>0</v>
      </c>
      <c r="L54" s="197">
        <v>0</v>
      </c>
    </row>
    <row r="55" spans="1:12" ht="9" customHeight="1">
      <c r="A55" s="21" t="s">
        <v>87</v>
      </c>
      <c r="B55" s="120"/>
      <c r="C55" s="193">
        <f>'3.2.6'!C55+'3.3.6'!C55</f>
        <v>0</v>
      </c>
      <c r="D55" s="193">
        <f>'3.2.6'!D55+'3.3.6'!D55</f>
        <v>0</v>
      </c>
      <c r="E55" s="193">
        <f>'3.2.6'!E55+'3.3.6'!E55</f>
        <v>0</v>
      </c>
      <c r="F55" s="193">
        <f>'3.2.6'!F55+'3.3.6'!F55</f>
        <v>0</v>
      </c>
      <c r="G55" s="194">
        <f>'3.2.6'!G55+'3.3.6'!G55</f>
        <v>0</v>
      </c>
      <c r="H55" s="155" t="str">
        <f>IF('AW Schüler'!$D85=0,"x",C55/'AW Schüler'!$D85)</f>
        <v>x</v>
      </c>
      <c r="I55" s="155" t="str">
        <f>IF('AW Schüler'!$G85=0,"x",D55/'AW Schüler'!$G85)</f>
        <v>x</v>
      </c>
      <c r="J55" s="155" t="str">
        <f>IF('AW Schüler'!$J85=0,"x",E55/'AW Schüler'!$J85)</f>
        <v>x</v>
      </c>
      <c r="K55" s="155" t="str">
        <f>IF('AW Schüler'!$M85=0,"x",F55/'AW Schüler'!$M85)</f>
        <v>x</v>
      </c>
      <c r="L55" s="156" t="str">
        <f>IF('AW Schüler'!$P85=0,"x",G55/'AW Schüler'!$P85)</f>
        <v>x</v>
      </c>
    </row>
    <row r="56" spans="1:12" ht="9" customHeight="1">
      <c r="A56" s="21" t="s">
        <v>88</v>
      </c>
      <c r="B56" s="120"/>
      <c r="C56" s="23">
        <f>'3.2.6'!C56+'3.3.6'!C56</f>
        <v>45266</v>
      </c>
      <c r="D56" s="23">
        <f>'3.2.6'!D56+'3.3.6'!D56</f>
        <v>40713</v>
      </c>
      <c r="E56" s="23">
        <f>'3.2.6'!E56+'3.3.6'!E56</f>
        <v>34539</v>
      </c>
      <c r="F56" s="23">
        <f>'3.2.6'!F56+'3.3.6'!F56</f>
        <v>27384</v>
      </c>
      <c r="G56" s="34">
        <f>'3.2.6'!G56+'3.3.6'!G56</f>
        <v>23967</v>
      </c>
      <c r="H56" s="183">
        <v>0</v>
      </c>
      <c r="I56" s="183">
        <v>0</v>
      </c>
      <c r="J56" s="183">
        <v>0</v>
      </c>
      <c r="K56" s="183">
        <v>0</v>
      </c>
      <c r="L56" s="197">
        <v>0</v>
      </c>
    </row>
    <row r="57" spans="1:12" ht="9" customHeight="1">
      <c r="A57" s="21" t="s">
        <v>89</v>
      </c>
      <c r="B57" s="120"/>
      <c r="C57" s="23">
        <f>'3.2.6'!C57+'3.3.6'!C57</f>
        <v>0</v>
      </c>
      <c r="D57" s="23">
        <f>'3.2.6'!D57+'3.3.6'!D57</f>
        <v>0</v>
      </c>
      <c r="E57" s="23">
        <f>'3.2.6'!E57+'3.3.6'!E57</f>
        <v>0</v>
      </c>
      <c r="F57" s="23">
        <f>'3.2.6'!F57+'3.3.6'!F57</f>
        <v>0</v>
      </c>
      <c r="G57" s="34">
        <f>'3.2.6'!G57+'3.3.6'!G57</f>
        <v>0</v>
      </c>
      <c r="H57" s="155">
        <f>IF('AW Schüler'!$D87=0,"x",C57/'AW Schüler'!$D87)</f>
        <v>0</v>
      </c>
      <c r="I57" s="155">
        <f>IF('AW Schüler'!$G87=0,"x",D57/'AW Schüler'!$G87)</f>
        <v>0</v>
      </c>
      <c r="J57" s="155">
        <f>IF('AW Schüler'!$J87=0,"x",E57/'AW Schüler'!$J87)</f>
        <v>0</v>
      </c>
      <c r="K57" s="155">
        <f>IF('AW Schüler'!$M87=0,"x",F57/'AW Schüler'!$M87)</f>
        <v>0</v>
      </c>
      <c r="L57" s="156">
        <f>IF('AW Schüler'!$P87=0,"x",G57/'AW Schüler'!$P87)</f>
        <v>0</v>
      </c>
    </row>
    <row r="58" spans="1:12" ht="9" customHeight="1">
      <c r="A58" s="21" t="s">
        <v>90</v>
      </c>
      <c r="B58" s="120"/>
      <c r="C58" s="23">
        <f>'3.2.6'!C58+'3.3.6'!C58</f>
        <v>49</v>
      </c>
      <c r="D58" s="23">
        <f>'3.2.6'!D58+'3.3.6'!D58</f>
        <v>48</v>
      </c>
      <c r="E58" s="23">
        <f>'3.2.6'!E58+'3.3.6'!E58</f>
        <v>44</v>
      </c>
      <c r="F58" s="23">
        <f>'3.2.6'!F58+'3.3.6'!F58</f>
        <v>43</v>
      </c>
      <c r="G58" s="34">
        <f>'3.2.6'!G58+'3.3.6'!G58</f>
        <v>41</v>
      </c>
      <c r="H58" s="155">
        <f>IF('AW Schüler'!$D88=0,"x",C58/'AW Schüler'!$D88)</f>
        <v>6.6848567530695775E-3</v>
      </c>
      <c r="I58" s="155">
        <f>IF('AW Schüler'!$G88=0,"x",D58/'AW Schüler'!$G88)</f>
        <v>1.0530934620447565E-2</v>
      </c>
      <c r="J58" s="155">
        <f>IF('AW Schüler'!$J88=0,"x",E58/'AW Schüler'!$J88)</f>
        <v>1.0508717458801052E-2</v>
      </c>
      <c r="K58" s="155">
        <f>IF('AW Schüler'!$M88=0,"x",F58/'AW Schüler'!$M88)</f>
        <v>1.2004466778336125E-2</v>
      </c>
      <c r="L58" s="156">
        <f>IF('AW Schüler'!$P88=0,"x",G58/'AW Schüler'!$P88)</f>
        <v>1.1347910323830611E-2</v>
      </c>
    </row>
    <row r="59" spans="1:12" ht="9" customHeight="1">
      <c r="A59" s="21" t="s">
        <v>91</v>
      </c>
      <c r="B59" s="120"/>
      <c r="C59" s="23">
        <f>'3.2.6'!C59+'3.3.6'!C59</f>
        <v>142</v>
      </c>
      <c r="D59" s="23">
        <f>'3.2.6'!D59+'3.3.6'!D59</f>
        <v>94</v>
      </c>
      <c r="E59" s="23">
        <f>'3.2.6'!E59+'3.3.6'!E59</f>
        <v>103</v>
      </c>
      <c r="F59" s="23">
        <f>'3.2.6'!F59+'3.3.6'!F59</f>
        <v>122</v>
      </c>
      <c r="G59" s="34">
        <f>'3.2.6'!G59+'3.3.6'!G59</f>
        <v>101</v>
      </c>
      <c r="H59" s="155">
        <f>IF('AW Schüler'!$D89=0,"x",C59/'AW Schüler'!$D89)</f>
        <v>0.11216429699842022</v>
      </c>
      <c r="I59" s="155">
        <f>IF('AW Schüler'!$G89=0,"x",D59/'AW Schüler'!$G89)</f>
        <v>7.5019952114924182E-2</v>
      </c>
      <c r="J59" s="155">
        <f>IF('AW Schüler'!$J89=0,"x",E59/'AW Schüler'!$J89)</f>
        <v>8.3064516129032262E-2</v>
      </c>
      <c r="K59" s="155">
        <f>IF('AW Schüler'!$M89=0,"x",F59/'AW Schüler'!$M89)</f>
        <v>8.7643678160919544E-2</v>
      </c>
      <c r="L59" s="156">
        <f>IF('AW Schüler'!$P89=0,"x",G59/'AW Schüler'!$P89)</f>
        <v>0.1</v>
      </c>
    </row>
    <row r="60" spans="1:12" ht="9" customHeight="1">
      <c r="A60" s="21" t="s">
        <v>92</v>
      </c>
      <c r="B60" s="120"/>
      <c r="C60" s="193">
        <f>'3.2.6'!C60+'3.3.6'!C60</f>
        <v>0</v>
      </c>
      <c r="D60" s="193">
        <f>'3.2.6'!D60+'3.3.6'!D60</f>
        <v>0</v>
      </c>
      <c r="E60" s="193">
        <f>'3.2.6'!E60+'3.3.6'!E60</f>
        <v>0</v>
      </c>
      <c r="F60" s="193">
        <f>'3.2.6'!F60+'3.3.6'!F60</f>
        <v>0</v>
      </c>
      <c r="G60" s="194">
        <f>'3.2.6'!G60+'3.3.6'!G60</f>
        <v>0</v>
      </c>
      <c r="H60" s="155" t="str">
        <f>IF('AW Schüler'!$D90=0,"x",C60/'AW Schüler'!$D90)</f>
        <v>x</v>
      </c>
      <c r="I60" s="155" t="str">
        <f>IF('AW Schüler'!$G90=0,"x",D60/'AW Schüler'!$G90)</f>
        <v>x</v>
      </c>
      <c r="J60" s="155" t="str">
        <f>IF('AW Schüler'!$J90=0,"x",E60/'AW Schüler'!$J90)</f>
        <v>x</v>
      </c>
      <c r="K60" s="155" t="str">
        <f>IF('AW Schüler'!$M90=0,"x",F60/'AW Schüler'!$M90)</f>
        <v>x</v>
      </c>
      <c r="L60" s="156" t="str">
        <f>IF('AW Schüler'!$P90=0,"x",G60/'AW Schüler'!$P90)</f>
        <v>x</v>
      </c>
    </row>
    <row r="61" spans="1:12" ht="9" customHeight="1">
      <c r="A61" s="21" t="s">
        <v>93</v>
      </c>
      <c r="B61" s="120"/>
      <c r="C61" s="193">
        <f>'3.2.6'!C61+'3.3.6'!C61</f>
        <v>0</v>
      </c>
      <c r="D61" s="193">
        <f>'3.2.6'!D61+'3.3.6'!D61</f>
        <v>0</v>
      </c>
      <c r="E61" s="193">
        <f>'3.2.6'!E61+'3.3.6'!E61</f>
        <v>0</v>
      </c>
      <c r="F61" s="193">
        <f>'3.2.6'!F61+'3.3.6'!F61</f>
        <v>0</v>
      </c>
      <c r="G61" s="194">
        <f>'3.2.6'!G61+'3.3.6'!G61</f>
        <v>0</v>
      </c>
      <c r="H61" s="155" t="str">
        <f>IF('AW Schüler'!$D91=0,"x",C61/'AW Schüler'!$D91)</f>
        <v>x</v>
      </c>
      <c r="I61" s="155" t="str">
        <f>IF('AW Schüler'!$G91=0,"x",D61/'AW Schüler'!$G91)</f>
        <v>x</v>
      </c>
      <c r="J61" s="155" t="str">
        <f>IF('AW Schüler'!$J91=0,"x",E61/'AW Schüler'!$J91)</f>
        <v>x</v>
      </c>
      <c r="K61" s="155" t="str">
        <f>IF('AW Schüler'!$M91=0,"x",F61/'AW Schüler'!$M91)</f>
        <v>x</v>
      </c>
      <c r="L61" s="156" t="str">
        <f>IF('AW Schüler'!$P91=0,"x",G61/'AW Schüler'!$P91)</f>
        <v>x</v>
      </c>
    </row>
    <row r="62" spans="1:12" ht="9" customHeight="1">
      <c r="A62" s="21" t="s">
        <v>94</v>
      </c>
      <c r="B62" s="120"/>
      <c r="C62" s="23">
        <f>'3.2.6'!C62+'3.3.6'!C62</f>
        <v>4372</v>
      </c>
      <c r="D62" s="23">
        <f>'3.2.6'!D62+'3.3.6'!D62</f>
        <v>1832</v>
      </c>
      <c r="E62" s="23">
        <f>'3.2.6'!E62+'3.3.6'!E62</f>
        <v>429</v>
      </c>
      <c r="F62" s="23">
        <f>'3.2.6'!F62+'3.3.6'!F62</f>
        <v>0</v>
      </c>
      <c r="G62" s="194">
        <f>'3.2.6'!G62+'3.3.6'!G62</f>
        <v>0</v>
      </c>
      <c r="H62" s="155">
        <f>IF('AW Schüler'!$D92=0,"x",C62/'AW Schüler'!$D92)</f>
        <v>0.26134257875545458</v>
      </c>
      <c r="I62" s="155">
        <f>IF('AW Schüler'!$G92=0,"x",D62/'AW Schüler'!$G92)</f>
        <v>0.26412918108419836</v>
      </c>
      <c r="J62" s="155">
        <f>IF('AW Schüler'!$J92=0,"x",E62/'AW Schüler'!$J92)</f>
        <v>0.24444444444444444</v>
      </c>
      <c r="K62" s="155">
        <f>IF('AW Schüler'!$M92=0,"x",F62/'AW Schüler'!$M92)</f>
        <v>0</v>
      </c>
      <c r="L62" s="156" t="str">
        <f>IF('AW Schüler'!$P92=0,"x",G62/'AW Schüler'!$P92)</f>
        <v>x</v>
      </c>
    </row>
    <row r="63" spans="1:12" ht="9" customHeight="1">
      <c r="A63" s="21" t="s">
        <v>95</v>
      </c>
      <c r="B63" s="120"/>
      <c r="C63" s="193">
        <f>'3.2.6'!C63+'3.3.6'!C63</f>
        <v>0</v>
      </c>
      <c r="D63" s="193">
        <f>'3.2.6'!D63+'3.3.6'!D63</f>
        <v>0</v>
      </c>
      <c r="E63" s="193">
        <f>'3.2.6'!E63+'3.3.6'!E63</f>
        <v>0</v>
      </c>
      <c r="F63" s="193">
        <f>'3.2.6'!F63+'3.3.6'!F63</f>
        <v>0</v>
      </c>
      <c r="G63" s="194">
        <f>'3.2.6'!G63+'3.3.6'!G63</f>
        <v>0</v>
      </c>
      <c r="H63" s="155" t="str">
        <f>IF('AW Schüler'!$D93=0,"x",C63/'AW Schüler'!$D93)</f>
        <v>x</v>
      </c>
      <c r="I63" s="155" t="str">
        <f>IF('AW Schüler'!$G93=0,"x",D63/'AW Schüler'!$G93)</f>
        <v>x</v>
      </c>
      <c r="J63" s="155" t="str">
        <f>IF('AW Schüler'!$J93=0,"x",E63/'AW Schüler'!$J93)</f>
        <v>x</v>
      </c>
      <c r="K63" s="155" t="str">
        <f>IF('AW Schüler'!$M93=0,"x",F63/'AW Schüler'!$M93)</f>
        <v>x</v>
      </c>
      <c r="L63" s="156" t="str">
        <f>IF('AW Schüler'!$P93=0,"x",G63/'AW Schüler'!$P93)</f>
        <v>x</v>
      </c>
    </row>
    <row r="64" spans="1:12" ht="8.65" customHeight="1">
      <c r="A64" s="24" t="s">
        <v>96</v>
      </c>
      <c r="B64" s="121"/>
      <c r="C64" s="26">
        <f>'3.2.6'!C64+'3.3.6'!C64</f>
        <v>112908</v>
      </c>
      <c r="D64" s="26">
        <f>'3.2.6'!D64+'3.3.6'!D64</f>
        <v>105701</v>
      </c>
      <c r="E64" s="26">
        <f>'3.2.6'!E64+'3.3.6'!E64</f>
        <v>97907</v>
      </c>
      <c r="F64" s="26">
        <f>'3.2.6'!F64+'3.3.6'!F64</f>
        <v>90863</v>
      </c>
      <c r="G64" s="47">
        <f>'3.2.6'!G64+'3.3.6'!G64</f>
        <v>89736</v>
      </c>
      <c r="H64" s="157">
        <f>IF('AW Schüler'!$D94=0,"x",C64/'AW Schüler'!$D94)</f>
        <v>0.10569614091320986</v>
      </c>
      <c r="I64" s="157">
        <f>IF('AW Schüler'!$G94=0,"x",D64/'AW Schüler'!$G94)</f>
        <v>0.10530945942983985</v>
      </c>
      <c r="J64" s="157">
        <f>IF('AW Schüler'!$J94=0,"x",E64/'AW Schüler'!$J94)</f>
        <v>0.10408418841399369</v>
      </c>
      <c r="K64" s="157">
        <f>IF('AW Schüler'!$M94=0,"x",F64/'AW Schüler'!$M94)</f>
        <v>0.10198657359548607</v>
      </c>
      <c r="L64" s="158">
        <f>IF('AW Schüler'!$P94=0,"x",G64/'AW Schüler'!$P94)</f>
        <v>0.10620637905792375</v>
      </c>
    </row>
    <row r="65" spans="1:12" ht="18.75" customHeight="1">
      <c r="A65" s="396" t="s">
        <v>312</v>
      </c>
      <c r="B65" s="396"/>
      <c r="C65" s="396"/>
      <c r="D65" s="396"/>
      <c r="E65" s="396"/>
      <c r="F65" s="396"/>
      <c r="G65" s="396"/>
      <c r="H65" s="396"/>
      <c r="I65" s="396"/>
      <c r="J65" s="396"/>
      <c r="K65" s="396"/>
      <c r="L65" s="396"/>
    </row>
    <row r="66" spans="1:12" ht="18.600000000000001" customHeight="1">
      <c r="A66" s="381" t="s">
        <v>212</v>
      </c>
      <c r="B66" s="381"/>
      <c r="C66" s="381"/>
      <c r="D66" s="381"/>
      <c r="E66" s="381"/>
      <c r="F66" s="381"/>
      <c r="G66" s="381"/>
      <c r="H66" s="381"/>
      <c r="I66" s="381"/>
      <c r="J66" s="395"/>
      <c r="K66" s="395"/>
      <c r="L66" s="395"/>
    </row>
    <row r="67" spans="1:12" ht="9.4" customHeight="1">
      <c r="A67" s="306" t="s">
        <v>101</v>
      </c>
    </row>
    <row r="81" spans="1:1" ht="10.5" customHeight="1"/>
    <row r="82" spans="1:1" ht="10.15" customHeight="1">
      <c r="A82" s="214"/>
    </row>
  </sheetData>
  <mergeCells count="8">
    <mergeCell ref="A1:L1"/>
    <mergeCell ref="A47:L47"/>
    <mergeCell ref="A66:L66"/>
    <mergeCell ref="C9:G9"/>
    <mergeCell ref="H9:L9"/>
    <mergeCell ref="A11:L11"/>
    <mergeCell ref="A29:L29"/>
    <mergeCell ref="A65:L65"/>
  </mergeCells>
  <phoneticPr fontId="18" type="noConversion"/>
  <conditionalFormatting sqref="N25">
    <cfRule type="cellIs" dxfId="30"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O83"/>
  <sheetViews>
    <sheetView view="pageBreakPreview" topLeftCell="A40"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'3.1.6'!A1:E1+1</f>
        <v>41</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132</v>
      </c>
      <c r="C4" s="14"/>
      <c r="D4" s="14"/>
      <c r="E4" s="14"/>
      <c r="F4" s="14"/>
      <c r="G4" s="14"/>
      <c r="H4" s="14"/>
      <c r="I4" s="14"/>
      <c r="J4" s="14"/>
      <c r="K4" s="14"/>
      <c r="L4" s="14"/>
    </row>
    <row r="5" spans="1:13" s="1" customFormat="1" ht="14.1" customHeight="1">
      <c r="A5" s="13" t="s">
        <v>45</v>
      </c>
      <c r="B5" s="39" t="s">
        <v>135</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137</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41624</v>
      </c>
      <c r="D12" s="42">
        <f t="shared" ref="D12:E12" si="1">SUM(D30+D48)</f>
        <v>42637</v>
      </c>
      <c r="E12" s="42">
        <f t="shared" si="1"/>
        <v>43241</v>
      </c>
      <c r="F12" s="42">
        <f t="shared" ref="F12:G12" si="2">SUM(F30+F48)</f>
        <v>45428</v>
      </c>
      <c r="G12" s="44">
        <f t="shared" si="2"/>
        <v>44228</v>
      </c>
      <c r="H12" s="153">
        <f>IF('AW Schüler'!$D96=0,"x",C12/'AW Schüler'!$D96)</f>
        <v>0.19898842134450084</v>
      </c>
      <c r="I12" s="153">
        <f>IF('AW Schüler'!$G96=0,"x",D12/'AW Schüler'!$G96)</f>
        <v>0.20601366434417911</v>
      </c>
      <c r="J12" s="153">
        <f>IF('AW Schüler'!$J96=0,"x",E12/'AW Schüler'!$J96)</f>
        <v>0.21345569070373588</v>
      </c>
      <c r="K12" s="153">
        <f>IF('AW Schüler'!$M96=0,"x",F12/'AW Schüler'!$M96)</f>
        <v>0.22855015445297486</v>
      </c>
      <c r="L12" s="154">
        <f>IF('AW Schüler'!$P96=0,"x",G12/'AW Schüler'!$P96)</f>
        <v>0.22395738388932773</v>
      </c>
    </row>
    <row r="13" spans="1:13" ht="9" customHeight="1">
      <c r="A13" s="21" t="s">
        <v>81</v>
      </c>
      <c r="B13" s="120"/>
      <c r="C13" s="42">
        <f t="shared" si="0"/>
        <v>22763</v>
      </c>
      <c r="D13" s="42">
        <f t="shared" ref="D13:E13" si="3">SUM(D31+D49)</f>
        <v>27628</v>
      </c>
      <c r="E13" s="42">
        <f t="shared" si="3"/>
        <v>27628</v>
      </c>
      <c r="F13" s="42">
        <f t="shared" ref="F13:G13" si="4">SUM(F31+F49)</f>
        <v>27758</v>
      </c>
      <c r="G13" s="44">
        <f t="shared" si="4"/>
        <v>31254</v>
      </c>
      <c r="H13" s="153">
        <f>IF('AW Schüler'!$D97=0,"x",C13/'AW Schüler'!$D97)</f>
        <v>9.9540843099527723E-2</v>
      </c>
      <c r="I13" s="153">
        <f>IF('AW Schüler'!$G97=0,"x",D13/'AW Schüler'!$G97)</f>
        <v>0.12427746964810242</v>
      </c>
      <c r="J13" s="153">
        <f>IF('AW Schüler'!$J97=0,"x",E13/'AW Schüler'!$J97)</f>
        <v>0.1294943122430901</v>
      </c>
      <c r="K13" s="153">
        <f>IF('AW Schüler'!$M97=0,"x",F13/'AW Schüler'!$M97)</f>
        <v>0.13508265649256165</v>
      </c>
      <c r="L13" s="154">
        <f>IF('AW Schüler'!$P97=0,"x",G13/'AW Schüler'!$P97)</f>
        <v>0.15594563308318696</v>
      </c>
    </row>
    <row r="14" spans="1:13" ht="9" customHeight="1">
      <c r="A14" s="21" t="s">
        <v>82</v>
      </c>
      <c r="B14" s="120"/>
      <c r="C14" s="42">
        <f t="shared" si="0"/>
        <v>6450</v>
      </c>
      <c r="D14" s="42">
        <f t="shared" ref="D14:E14" si="5">SUM(D32+D50)</f>
        <v>10569</v>
      </c>
      <c r="E14" s="42">
        <f t="shared" si="5"/>
        <v>11070</v>
      </c>
      <c r="F14" s="42">
        <f t="shared" ref="F14:G14" si="6">SUM(F32+F50)</f>
        <v>14471</v>
      </c>
      <c r="G14" s="44">
        <f t="shared" si="6"/>
        <v>13717</v>
      </c>
      <c r="H14" s="153">
        <f>IF('AW Schüler'!$D98=0,"x",C14/'AW Schüler'!$D98)</f>
        <v>0.1507291082445317</v>
      </c>
      <c r="I14" s="153">
        <f>IF('AW Schüler'!$G98=0,"x",D14/'AW Schüler'!$G98)</f>
        <v>0.25532069090469861</v>
      </c>
      <c r="J14" s="153">
        <f>IF('AW Schüler'!$J98=0,"x",E14/'AW Schüler'!$J98)</f>
        <v>0.2842251206737188</v>
      </c>
      <c r="K14" s="153">
        <f>IF('AW Schüler'!$M98=0,"x",F14/'AW Schüler'!$M98)</f>
        <v>0.36729358613162771</v>
      </c>
      <c r="L14" s="154">
        <f>IF('AW Schüler'!$P98=0,"x",G14/'AW Schüler'!$P98)</f>
        <v>0.33013237063778578</v>
      </c>
    </row>
    <row r="15" spans="1:13" ht="9" customHeight="1">
      <c r="A15" s="21" t="s">
        <v>83</v>
      </c>
      <c r="B15" s="120"/>
      <c r="C15" s="42">
        <f t="shared" si="0"/>
        <v>9847</v>
      </c>
      <c r="D15" s="42">
        <f t="shared" ref="D15:E15" si="7">SUM(D33+D51)</f>
        <v>10965</v>
      </c>
      <c r="E15" s="42">
        <f t="shared" si="7"/>
        <v>10358</v>
      </c>
      <c r="F15" s="42">
        <f t="shared" ref="F15:G15" si="8">SUM(F33+F51)</f>
        <v>10177</v>
      </c>
      <c r="G15" s="44">
        <f t="shared" si="8"/>
        <v>10083</v>
      </c>
      <c r="H15" s="153">
        <f>IF('AW Schüler'!$D99=0,"x",C15/'AW Schüler'!$D99)</f>
        <v>0.33693755346449955</v>
      </c>
      <c r="I15" s="153">
        <f>IF('AW Schüler'!$G99=0,"x",D15/'AW Schüler'!$G99)</f>
        <v>0.37318766591790892</v>
      </c>
      <c r="J15" s="153">
        <f>IF('AW Schüler'!$J99=0,"x",E15/'AW Schüler'!$J99)</f>
        <v>0.36969091298450996</v>
      </c>
      <c r="K15" s="153">
        <f>IF('AW Schüler'!$M99=0,"x",F15/'AW Schüler'!$M99)</f>
        <v>0.36675195502540631</v>
      </c>
      <c r="L15" s="154">
        <f>IF('AW Schüler'!$P99=0,"x",G15/'AW Schüler'!$P99)</f>
        <v>0.36081588835212025</v>
      </c>
    </row>
    <row r="16" spans="1:13" ht="9" customHeight="1">
      <c r="A16" s="21" t="s">
        <v>84</v>
      </c>
      <c r="B16" s="120"/>
      <c r="C16" s="42">
        <f t="shared" si="0"/>
        <v>1072</v>
      </c>
      <c r="D16" s="42">
        <f t="shared" ref="D16:E16" si="9">SUM(D34+D52)</f>
        <v>985</v>
      </c>
      <c r="E16" s="42">
        <f t="shared" si="9"/>
        <v>1130</v>
      </c>
      <c r="F16" s="42">
        <f t="shared" ref="F16:G16" si="10">SUM(F34+F52)</f>
        <v>1084</v>
      </c>
      <c r="G16" s="44">
        <f t="shared" si="10"/>
        <v>758</v>
      </c>
      <c r="H16" s="153">
        <f>IF('AW Schüler'!$D100=0,"x",C16/'AW Schüler'!$D100)</f>
        <v>0.10837040032349374</v>
      </c>
      <c r="I16" s="153">
        <f>IF('AW Schüler'!$G100=0,"x",D16/'AW Schüler'!$G100)</f>
        <v>0.11468156944929561</v>
      </c>
      <c r="J16" s="153">
        <f>IF('AW Schüler'!$J100=0,"x",E16/'AW Schüler'!$J100)</f>
        <v>0.14748107543722266</v>
      </c>
      <c r="K16" s="153">
        <f>IF('AW Schüler'!$M100=0,"x",F16/'AW Schüler'!$M100)</f>
        <v>0.14700298345538379</v>
      </c>
      <c r="L16" s="154">
        <f>IF('AW Schüler'!$P100=0,"x",G16/'AW Schüler'!$P100)</f>
        <v>0.10151332529797777</v>
      </c>
    </row>
    <row r="17" spans="1:15" ht="9" customHeight="1">
      <c r="A17" s="21" t="s">
        <v>85</v>
      </c>
      <c r="B17" s="120"/>
      <c r="C17" s="42">
        <f t="shared" si="0"/>
        <v>34671</v>
      </c>
      <c r="D17" s="42">
        <f t="shared" ref="D17:E17" si="11">SUM(D35+D53)</f>
        <v>33466</v>
      </c>
      <c r="E17" s="42">
        <f t="shared" si="11"/>
        <v>33938</v>
      </c>
      <c r="F17" s="42">
        <f t="shared" ref="F17:G17" si="12">SUM(F35+F53)</f>
        <v>34567</v>
      </c>
      <c r="G17" s="44">
        <f t="shared" si="12"/>
        <v>35179</v>
      </c>
      <c r="H17" s="153">
        <f>IF('AW Schüler'!$D101=0,"x",C17/'AW Schüler'!$D101)</f>
        <v>0.99023219946876873</v>
      </c>
      <c r="I17" s="153">
        <f>IF('AW Schüler'!$G101=0,"x",D17/'AW Schüler'!$G101)</f>
        <v>0.97979857126127179</v>
      </c>
      <c r="J17" s="153">
        <f>IF('AW Schüler'!$J101=0,"x",E17/'AW Schüler'!$J101)</f>
        <v>0.98904237337529877</v>
      </c>
      <c r="K17" s="153">
        <f>IF('AW Schüler'!$M101=0,"x",F17/'AW Schüler'!$M101)</f>
        <v>0.98808026526412074</v>
      </c>
      <c r="L17" s="154">
        <f>IF('AW Schüler'!$P101=0,"x",G17/'AW Schüler'!$P101)</f>
        <v>0.98778570225192341</v>
      </c>
    </row>
    <row r="18" spans="1:15" ht="9" customHeight="1">
      <c r="A18" s="21" t="s">
        <v>114</v>
      </c>
      <c r="B18" s="120"/>
      <c r="C18" s="42">
        <f t="shared" si="0"/>
        <v>58504</v>
      </c>
      <c r="D18" s="42">
        <f t="shared" ref="D18:E18" si="13">SUM(D36+D54)</f>
        <v>58082</v>
      </c>
      <c r="E18" s="42">
        <f t="shared" si="13"/>
        <v>59345</v>
      </c>
      <c r="F18" s="42">
        <f t="shared" ref="F18:G18" si="14">SUM(F36+F54)</f>
        <v>60388</v>
      </c>
      <c r="G18" s="44">
        <f t="shared" si="14"/>
        <v>64084</v>
      </c>
      <c r="H18" s="182">
        <v>0</v>
      </c>
      <c r="I18" s="182">
        <v>0</v>
      </c>
      <c r="J18" s="182">
        <v>0</v>
      </c>
      <c r="K18" s="182">
        <v>0</v>
      </c>
      <c r="L18" s="196">
        <v>0</v>
      </c>
    </row>
    <row r="19" spans="1:15" ht="9" customHeight="1">
      <c r="A19" s="21" t="s">
        <v>174</v>
      </c>
      <c r="B19" s="120"/>
      <c r="C19" s="42">
        <f t="shared" si="0"/>
        <v>15380</v>
      </c>
      <c r="D19" s="42">
        <f t="shared" ref="D19:E19" si="15">SUM(D37+D55)</f>
        <v>13922</v>
      </c>
      <c r="E19" s="42">
        <f t="shared" si="15"/>
        <v>15930</v>
      </c>
      <c r="F19" s="42">
        <f t="shared" ref="F19:G19" si="16">SUM(F37+F55)</f>
        <v>13031</v>
      </c>
      <c r="G19" s="44">
        <f t="shared" si="16"/>
        <v>12840</v>
      </c>
      <c r="H19" s="153">
        <f>IF('AW Schüler'!$D103=0,"x",C19/'AW Schüler'!$D103)</f>
        <v>0.88635315813739046</v>
      </c>
      <c r="I19" s="153">
        <f>IF('AW Schüler'!$G103=0,"x",D19/'AW Schüler'!$G103)</f>
        <v>0.778461194363677</v>
      </c>
      <c r="J19" s="153">
        <f>IF('AW Schüler'!$J103=0,"x",E19/'AW Schüler'!$J103)</f>
        <v>0.89143816452154445</v>
      </c>
      <c r="K19" s="153">
        <f>IF('AW Schüler'!$M103=0,"x",F19/'AW Schüler'!$M103)</f>
        <v>0.7315033120017963</v>
      </c>
      <c r="L19" s="154">
        <f>IF('AW Schüler'!$P103=0,"x",G19/'AW Schüler'!$P103)</f>
        <v>0.71380920613742493</v>
      </c>
    </row>
    <row r="20" spans="1:15" ht="9" customHeight="1">
      <c r="A20" s="21" t="s">
        <v>88</v>
      </c>
      <c r="B20" s="120"/>
      <c r="C20" s="42">
        <f t="shared" si="0"/>
        <v>63351</v>
      </c>
      <c r="D20" s="42">
        <f t="shared" ref="D20:E20" si="17">SUM(D38+D56)</f>
        <v>65423</v>
      </c>
      <c r="E20" s="42">
        <f t="shared" si="17"/>
        <v>71804</v>
      </c>
      <c r="F20" s="42">
        <f t="shared" ref="F20:G20" si="18">SUM(F38+F56)</f>
        <v>72612</v>
      </c>
      <c r="G20" s="44">
        <f t="shared" si="18"/>
        <v>77912</v>
      </c>
      <c r="H20" s="182">
        <v>0</v>
      </c>
      <c r="I20" s="182">
        <v>0</v>
      </c>
      <c r="J20" s="182">
        <v>0</v>
      </c>
      <c r="K20" s="182">
        <v>0</v>
      </c>
      <c r="L20" s="196">
        <v>0</v>
      </c>
    </row>
    <row r="21" spans="1:15" ht="9" customHeight="1">
      <c r="A21" s="21" t="s">
        <v>89</v>
      </c>
      <c r="B21" s="120"/>
      <c r="C21" s="42">
        <f t="shared" si="0"/>
        <v>56329</v>
      </c>
      <c r="D21" s="42">
        <f t="shared" ref="D21:E21" si="19">SUM(D39+D57)</f>
        <v>69673</v>
      </c>
      <c r="E21" s="42">
        <f t="shared" si="19"/>
        <v>78162</v>
      </c>
      <c r="F21" s="42">
        <f t="shared" ref="F21:G21" si="20">SUM(F39+F57)</f>
        <v>81003</v>
      </c>
      <c r="G21" s="44">
        <f t="shared" si="20"/>
        <v>83496</v>
      </c>
      <c r="H21" s="153">
        <f>IF('AW Schüler'!$D105=0,"x",C21/'AW Schüler'!$D105)</f>
        <v>0.16844595160344972</v>
      </c>
      <c r="I21" s="153">
        <f>IF('AW Schüler'!$G105=0,"x",D21/'AW Schüler'!$G105)</f>
        <v>0.21017940046999484</v>
      </c>
      <c r="J21" s="153">
        <f>IF('AW Schüler'!$J105=0,"x",E21/'AW Schüler'!$J105)</f>
        <v>0.23933492559250413</v>
      </c>
      <c r="K21" s="153">
        <f>IF('AW Schüler'!$M105=0,"x",F21/'AW Schüler'!$M105)</f>
        <v>0.24928832358272526</v>
      </c>
      <c r="L21" s="154">
        <f>IF('AW Schüler'!$P105=0,"x",G21/'AW Schüler'!$P105)</f>
        <v>0.25755743651753327</v>
      </c>
    </row>
    <row r="22" spans="1:15" ht="9" customHeight="1">
      <c r="A22" s="21" t="s">
        <v>90</v>
      </c>
      <c r="B22" s="120"/>
      <c r="C22" s="42">
        <f t="shared" si="0"/>
        <v>12434</v>
      </c>
      <c r="D22" s="42">
        <f t="shared" ref="D22:E22" si="21">SUM(D40+D58)</f>
        <v>12108</v>
      </c>
      <c r="E22" s="42">
        <f t="shared" si="21"/>
        <v>12508</v>
      </c>
      <c r="F22" s="42">
        <f t="shared" ref="F22:G22" si="22">SUM(F40+F58)</f>
        <v>12524</v>
      </c>
      <c r="G22" s="44">
        <f t="shared" si="22"/>
        <v>12917</v>
      </c>
      <c r="H22" s="153">
        <f>IF('AW Schüler'!$D106=0,"x",C22/'AW Schüler'!$D106)</f>
        <v>0.13215147360477844</v>
      </c>
      <c r="I22" s="153">
        <f>IF('AW Schüler'!$G106=0,"x",D22/'AW Schüler'!$G106)</f>
        <v>0.13334654904681667</v>
      </c>
      <c r="J22" s="153">
        <f>IF('AW Schüler'!$J106=0,"x",E22/'AW Schüler'!$J106)</f>
        <v>0.14140363570588768</v>
      </c>
      <c r="K22" s="153">
        <f>IF('AW Schüler'!$M106=0,"x",F22/'AW Schüler'!$M106)</f>
        <v>0.14472923937411886</v>
      </c>
      <c r="L22" s="154">
        <f>IF('AW Schüler'!$P106=0,"x",G22/'AW Schüler'!$P106)</f>
        <v>0.15112551478846875</v>
      </c>
    </row>
    <row r="23" spans="1:15" ht="9" customHeight="1">
      <c r="A23" s="21" t="s">
        <v>91</v>
      </c>
      <c r="B23" s="120"/>
      <c r="C23" s="42">
        <f t="shared" si="0"/>
        <v>2777</v>
      </c>
      <c r="D23" s="42">
        <f t="shared" ref="D23:E23" si="23">SUM(D41+D59)</f>
        <v>2404</v>
      </c>
      <c r="E23" s="42">
        <f t="shared" si="23"/>
        <v>2305</v>
      </c>
      <c r="F23" s="42">
        <f t="shared" ref="F23:G23" si="24">SUM(F41+F59)</f>
        <v>2988</v>
      </c>
      <c r="G23" s="44">
        <f t="shared" si="24"/>
        <v>3084</v>
      </c>
      <c r="H23" s="153">
        <f>IF('AW Schüler'!$D107=0,"x",C23/'AW Schüler'!$D107)</f>
        <v>0.16817053230787865</v>
      </c>
      <c r="I23" s="153">
        <f>IF('AW Schüler'!$G107=0,"x",D23/'AW Schüler'!$G107)</f>
        <v>0.14829436802171364</v>
      </c>
      <c r="J23" s="153">
        <f>IF('AW Schüler'!$J107=0,"x",E23/'AW Schüler'!$J107)</f>
        <v>0.14549930564322686</v>
      </c>
      <c r="K23" s="153">
        <f>IF('AW Schüler'!$M107=0,"x",F23/'AW Schüler'!$M107)</f>
        <v>0.18944965762110069</v>
      </c>
      <c r="L23" s="154">
        <f>IF('AW Schüler'!$P107=0,"x",G23/'AW Schüler'!$P107)</f>
        <v>0.19551160136934195</v>
      </c>
    </row>
    <row r="24" spans="1:15" ht="9" customHeight="1">
      <c r="A24" s="21" t="s">
        <v>92</v>
      </c>
      <c r="B24" s="120"/>
      <c r="C24" s="42">
        <f t="shared" si="0"/>
        <v>50535</v>
      </c>
      <c r="D24" s="42">
        <f t="shared" ref="D24:E24" si="25">SUM(D42+D60)</f>
        <v>52643</v>
      </c>
      <c r="E24" s="42">
        <f t="shared" si="25"/>
        <v>49214</v>
      </c>
      <c r="F24" s="42">
        <f t="shared" ref="F24:G24" si="26">SUM(F42+F60)</f>
        <v>43544</v>
      </c>
      <c r="G24" s="44">
        <f t="shared" si="26"/>
        <v>47722</v>
      </c>
      <c r="H24" s="153">
        <f>IF('AW Schüler'!$D108=0,"x",C24/'AW Schüler'!$D108)</f>
        <v>0.8152252819048541</v>
      </c>
      <c r="I24" s="153">
        <f>IF('AW Schüler'!$G108=0,"x",D24/'AW Schüler'!$G108)</f>
        <v>0.84707226414790737</v>
      </c>
      <c r="J24" s="153">
        <f>IF('AW Schüler'!$J108=0,"x",E24/'AW Schüler'!$J108)</f>
        <v>0.7901674614260713</v>
      </c>
      <c r="K24" s="153">
        <f>IF('AW Schüler'!$M108=0,"x",F24/'AW Schüler'!$M108)</f>
        <v>0.69972681986180296</v>
      </c>
      <c r="L24" s="154">
        <f>IF('AW Schüler'!$P108=0,"x",G24/'AW Schüler'!$P108)</f>
        <v>0.7632222879715963</v>
      </c>
    </row>
    <row r="25" spans="1:15" ht="9" customHeight="1">
      <c r="A25" s="21" t="s">
        <v>93</v>
      </c>
      <c r="B25" s="120"/>
      <c r="C25" s="42">
        <f t="shared" si="0"/>
        <v>7371</v>
      </c>
      <c r="D25" s="42">
        <f t="shared" ref="D25:E25" si="27">SUM(D43+D61)</f>
        <v>7811</v>
      </c>
      <c r="E25" s="42">
        <f t="shared" si="27"/>
        <v>8658</v>
      </c>
      <c r="F25" s="42">
        <f t="shared" ref="F25:G25" si="28">SUM(F43+F61)</f>
        <v>8940</v>
      </c>
      <c r="G25" s="44">
        <f t="shared" si="28"/>
        <v>8174</v>
      </c>
      <c r="H25" s="182">
        <v>0</v>
      </c>
      <c r="I25" s="182">
        <v>0</v>
      </c>
      <c r="J25" s="182">
        <v>0</v>
      </c>
      <c r="K25" s="182">
        <v>0</v>
      </c>
      <c r="L25" s="196">
        <v>0</v>
      </c>
    </row>
    <row r="26" spans="1:15" ht="9" customHeight="1">
      <c r="A26" s="21" t="s">
        <v>94</v>
      </c>
      <c r="B26" s="120"/>
      <c r="C26" s="42">
        <f t="shared" si="0"/>
        <v>12481</v>
      </c>
      <c r="D26" s="42">
        <f t="shared" ref="D26:E26" si="29">SUM(D44+D62)</f>
        <v>10322</v>
      </c>
      <c r="E26" s="42">
        <f t="shared" si="29"/>
        <v>10297</v>
      </c>
      <c r="F26" s="42">
        <f t="shared" ref="F26:G26" si="30">SUM(F44+F62)</f>
        <v>10502</v>
      </c>
      <c r="G26" s="44">
        <f t="shared" si="30"/>
        <v>10673</v>
      </c>
      <c r="H26" s="153">
        <f>IF('AW Schüler'!$D110=0,"x",C26/'AW Schüler'!$D110)</f>
        <v>0.20235412376984063</v>
      </c>
      <c r="I26" s="153">
        <f>IF('AW Schüler'!$G110=0,"x",D26/'AW Schüler'!$G110)</f>
        <v>0.20436366516195453</v>
      </c>
      <c r="J26" s="153">
        <f>IF('AW Schüler'!$J110=0,"x",E26/'AW Schüler'!$J110)</f>
        <v>0.20825159267873394</v>
      </c>
      <c r="K26" s="153">
        <f>IF('AW Schüler'!$M110=0,"x",F26/'AW Schüler'!$M110)</f>
        <v>0.21161867531787132</v>
      </c>
      <c r="L26" s="154">
        <f>IF('AW Schüler'!$P110=0,"x",G26/'AW Schüler'!$P110)</f>
        <v>0.21487387006502789</v>
      </c>
    </row>
    <row r="27" spans="1:15" ht="9" customHeight="1">
      <c r="A27" s="21" t="s">
        <v>95</v>
      </c>
      <c r="B27" s="120"/>
      <c r="C27" s="42">
        <f t="shared" si="0"/>
        <v>3113</v>
      </c>
      <c r="D27" s="42">
        <f t="shared" ref="D27:E27" si="31">SUM(D45+D63)</f>
        <v>3008</v>
      </c>
      <c r="E27" s="42">
        <f t="shared" si="31"/>
        <v>3333</v>
      </c>
      <c r="F27" s="42">
        <f t="shared" ref="F27:G27" si="32">SUM(F45+F63)</f>
        <v>3263</v>
      </c>
      <c r="G27" s="44">
        <f t="shared" si="32"/>
        <v>3441</v>
      </c>
      <c r="H27" s="153">
        <f>IF('AW Schüler'!$D111=0,"x",C27/'AW Schüler'!$D111)</f>
        <v>8.866167297997779E-2</v>
      </c>
      <c r="I27" s="153">
        <f>IF('AW Schüler'!$G111=0,"x",D27/'AW Schüler'!$G111)</f>
        <v>8.6300387318892557E-2</v>
      </c>
      <c r="J27" s="153">
        <f>IF('AW Schüler'!$J111=0,"x",E27/'AW Schüler'!$J111)</f>
        <v>9.6165498139011513E-2</v>
      </c>
      <c r="K27" s="153">
        <f>IF('AW Schüler'!$M111=0,"x",F27/'AW Schüler'!$M111)</f>
        <v>9.5630257026464646E-2</v>
      </c>
      <c r="L27" s="154">
        <f>IF('AW Schüler'!$P111=0,"x",G27/'AW Schüler'!$P111)</f>
        <v>0.10413388209659848</v>
      </c>
    </row>
    <row r="28" spans="1:15" ht="9" customHeight="1">
      <c r="A28" s="21" t="s">
        <v>96</v>
      </c>
      <c r="B28" s="120"/>
      <c r="C28" s="42">
        <f t="shared" si="0"/>
        <v>398702</v>
      </c>
      <c r="D28" s="42">
        <f t="shared" ref="D28:E28" si="33">SUM(D46+D64)</f>
        <v>421646</v>
      </c>
      <c r="E28" s="42">
        <f t="shared" si="33"/>
        <v>438921</v>
      </c>
      <c r="F28" s="42">
        <f t="shared" ref="F28:G28" si="34">SUM(F46+F64)</f>
        <v>442280</v>
      </c>
      <c r="G28" s="44">
        <f t="shared" si="34"/>
        <v>459562</v>
      </c>
      <c r="H28" s="153">
        <f>IF('AW Schüler'!$D112=0,"x",C28/'AW Schüler'!$D112)</f>
        <v>0.27278536613400695</v>
      </c>
      <c r="I28" s="153">
        <f>IF('AW Schüler'!$G112=0,"x",D28/'AW Schüler'!$G112)</f>
        <v>0.29511510403142327</v>
      </c>
      <c r="J28" s="153">
        <f>IF('AW Schüler'!$J112=0,"x",E28/'AW Schüler'!$J112)</f>
        <v>0.31341493108985918</v>
      </c>
      <c r="K28" s="153">
        <f>IF('AW Schüler'!$M112=0,"x",F28/'AW Schüler'!$M112)</f>
        <v>0.31909037454953409</v>
      </c>
      <c r="L28" s="154">
        <f>IF('AW Schüler'!$P112=0,"x",G28/'AW Schüler'!$P112)</f>
        <v>0.33186499574663519</v>
      </c>
    </row>
    <row r="29" spans="1:15" ht="12.75" customHeight="1">
      <c r="A29" s="391" t="s">
        <v>105</v>
      </c>
      <c r="B29" s="392"/>
      <c r="C29" s="392"/>
      <c r="D29" s="392"/>
      <c r="E29" s="392"/>
      <c r="F29" s="392"/>
      <c r="G29" s="392"/>
      <c r="H29" s="392"/>
      <c r="I29" s="392"/>
      <c r="J29" s="392"/>
      <c r="K29" s="392"/>
      <c r="L29" s="393"/>
    </row>
    <row r="30" spans="1:15" ht="9" customHeight="1">
      <c r="A30" s="21" t="s">
        <v>80</v>
      </c>
      <c r="B30" s="120"/>
      <c r="C30" s="23">
        <f>'3.2.7'!C30+'3.3.7'!C30</f>
        <v>9199</v>
      </c>
      <c r="D30" s="23">
        <f>'3.2.7'!D30+'3.3.7'!D30</f>
        <v>8877</v>
      </c>
      <c r="E30" s="23">
        <f>'3.2.7'!E30+'3.3.7'!E30</f>
        <v>8543</v>
      </c>
      <c r="F30" s="23">
        <f>'3.2.7'!F30+'3.3.7'!F30</f>
        <v>9843</v>
      </c>
      <c r="G30" s="34">
        <f>'3.2.7'!G30+'3.3.7'!G30</f>
        <v>8777</v>
      </c>
      <c r="H30" s="155">
        <f>IF('AW Schüler'!$D96=0,"x",C30/'AW Schüler'!$D96)</f>
        <v>4.3976900056411285E-2</v>
      </c>
      <c r="I30" s="155">
        <f>IF('AW Schüler'!$G96=0,"x",D30/'AW Schüler'!$G96)</f>
        <v>4.2891931852224077E-2</v>
      </c>
      <c r="J30" s="155">
        <f>IF('AW Schüler'!$J96=0,"x",E30/'AW Schüler'!$J96)</f>
        <v>4.2171826869915489E-2</v>
      </c>
      <c r="K30" s="155">
        <f>IF('AW Schüler'!$M96=0,"x",F30/'AW Schüler'!$M96)</f>
        <v>4.9520541742551542E-2</v>
      </c>
      <c r="L30" s="156">
        <f>IF('AW Schüler'!$P96=0,"x",G30/'AW Schüler'!$P96)</f>
        <v>4.4444106864353565E-2</v>
      </c>
      <c r="O30" s="209"/>
    </row>
    <row r="31" spans="1:15" ht="9" customHeight="1">
      <c r="A31" s="21" t="s">
        <v>81</v>
      </c>
      <c r="B31" s="120"/>
      <c r="C31" s="23">
        <f>'3.2.7'!C31+'3.3.7'!C31</f>
        <v>6801</v>
      </c>
      <c r="D31" s="23">
        <f>'3.2.7'!D31+'3.3.7'!D31</f>
        <v>8687</v>
      </c>
      <c r="E31" s="23">
        <f>'3.2.7'!E31+'3.3.7'!E31</f>
        <v>8687</v>
      </c>
      <c r="F31" s="23">
        <f>'3.2.7'!F31+'3.3.7'!F31</f>
        <v>7614</v>
      </c>
      <c r="G31" s="34">
        <f>'3.2.7'!G31+'3.3.7'!G31</f>
        <v>7170</v>
      </c>
      <c r="H31" s="155">
        <f>IF('AW Schüler'!$D97=0,"x",C31/'AW Schüler'!$D97)</f>
        <v>2.9740248382018542E-2</v>
      </c>
      <c r="I31" s="155">
        <f>IF('AW Schüler'!$G97=0,"x",D31/'AW Schüler'!$G97)</f>
        <v>3.9076240727995717E-2</v>
      </c>
      <c r="J31" s="155">
        <f>IF('AW Schüler'!$J97=0,"x",E31/'AW Schüler'!$J97)</f>
        <v>4.0716558942222515E-2</v>
      </c>
      <c r="K31" s="155">
        <f>IF('AW Schüler'!$M97=0,"x",F31/'AW Schüler'!$M97)</f>
        <v>3.7053078266963198E-2</v>
      </c>
      <c r="L31" s="156">
        <f>IF('AW Schüler'!$P97=0,"x",G31/'AW Schüler'!$P97)</f>
        <v>3.5775586779498644E-2</v>
      </c>
      <c r="O31" s="209"/>
    </row>
    <row r="32" spans="1:15" ht="9" customHeight="1">
      <c r="A32" s="21" t="s">
        <v>82</v>
      </c>
      <c r="B32" s="120"/>
      <c r="C32" s="23">
        <f>'3.2.7'!C32+'3.3.7'!C32</f>
        <v>2658</v>
      </c>
      <c r="D32" s="23">
        <f>'3.2.7'!D32+'3.3.7'!D32</f>
        <v>3109</v>
      </c>
      <c r="E32" s="23">
        <f>'3.2.7'!E32+'3.3.7'!E32</f>
        <v>3027</v>
      </c>
      <c r="F32" s="23">
        <f>'3.2.7'!F32+'3.3.7'!F32</f>
        <v>3319</v>
      </c>
      <c r="G32" s="34">
        <f>'3.2.7'!G32+'3.3.7'!G32</f>
        <v>3797</v>
      </c>
      <c r="H32" s="155">
        <f>IF('AW Schüler'!$D98=0,"x",C32/'AW Schüler'!$D98)</f>
        <v>6.2114413909141894E-2</v>
      </c>
      <c r="I32" s="155">
        <f>IF('AW Schüler'!$G98=0,"x",D32/'AW Schüler'!$G98)</f>
        <v>7.5105689092885619E-2</v>
      </c>
      <c r="J32" s="155">
        <f>IF('AW Schüler'!$J98=0,"x",E32/'AW Schüler'!$J98)</f>
        <v>7.771900996200061E-2</v>
      </c>
      <c r="K32" s="155">
        <f>IF('AW Schüler'!$M98=0,"x",F32/'AW Schüler'!$M98)</f>
        <v>8.4240716769461155E-2</v>
      </c>
      <c r="L32" s="156">
        <f>IF('AW Schüler'!$P98=0,"x",G32/'AW Schüler'!$P98)</f>
        <v>9.1383874849578814E-2</v>
      </c>
      <c r="O32" s="209"/>
    </row>
    <row r="33" spans="1:15" ht="9" customHeight="1">
      <c r="A33" s="21" t="s">
        <v>83</v>
      </c>
      <c r="B33" s="120"/>
      <c r="C33" s="23">
        <f>'3.2.7'!C33+'3.3.7'!C33</f>
        <v>1943</v>
      </c>
      <c r="D33" s="23">
        <f>'3.2.7'!D33+'3.3.7'!D33</f>
        <v>1966</v>
      </c>
      <c r="E33" s="23">
        <f>'3.2.7'!E33+'3.3.7'!E33</f>
        <v>1945</v>
      </c>
      <c r="F33" s="23">
        <f>'3.2.7'!F33+'3.3.7'!F33</f>
        <v>1996</v>
      </c>
      <c r="G33" s="34">
        <f>'3.2.7'!G33+'3.3.7'!G33</f>
        <v>2110</v>
      </c>
      <c r="H33" s="155">
        <f>IF('AW Schüler'!$D99=0,"x",C33/'AW Schüler'!$D99)</f>
        <v>6.6484174508126603E-2</v>
      </c>
      <c r="I33" s="155">
        <f>IF('AW Schüler'!$G99=0,"x",D33/'AW Schüler'!$G99)</f>
        <v>6.6911714655231089E-2</v>
      </c>
      <c r="J33" s="155">
        <f>IF('AW Schüler'!$J99=0,"x",E33/'AW Schüler'!$J99)</f>
        <v>6.9419658790777355E-2</v>
      </c>
      <c r="K33" s="155">
        <f>IF('AW Schüler'!$M99=0,"x",F33/'AW Schüler'!$M99)</f>
        <v>7.1930520018739411E-2</v>
      </c>
      <c r="L33" s="156">
        <f>IF('AW Schüler'!$P99=0,"x",G33/'AW Schüler'!$P99)</f>
        <v>7.5505457147969232E-2</v>
      </c>
      <c r="O33" s="209"/>
    </row>
    <row r="34" spans="1:15" ht="9" customHeight="1">
      <c r="A34" s="21" t="s">
        <v>84</v>
      </c>
      <c r="B34" s="120"/>
      <c r="C34" s="23">
        <f>'3.2.7'!C34+'3.3.7'!C34</f>
        <v>990</v>
      </c>
      <c r="D34" s="23">
        <f>'3.2.7'!D34+'3.3.7'!D34</f>
        <v>877</v>
      </c>
      <c r="E34" s="23">
        <f>'3.2.7'!E34+'3.3.7'!E34</f>
        <v>1032</v>
      </c>
      <c r="F34" s="23">
        <f>'3.2.7'!F34+'3.3.7'!F34</f>
        <v>977</v>
      </c>
      <c r="G34" s="34">
        <f>'3.2.7'!G34+'3.3.7'!G34</f>
        <v>758</v>
      </c>
      <c r="H34" s="155">
        <f>IF('AW Schüler'!$D100=0,"x",C34/'AW Schüler'!$D100)</f>
        <v>0.10008087343307723</v>
      </c>
      <c r="I34" s="155">
        <f>IF('AW Schüler'!$G100=0,"x",D34/'AW Schüler'!$G100)</f>
        <v>0.10210734660612411</v>
      </c>
      <c r="J34" s="155">
        <f>IF('AW Schüler'!$J100=0,"x",E34/'AW Schüler'!$J100)</f>
        <v>0.13469068128425998</v>
      </c>
      <c r="K34" s="155">
        <f>IF('AW Schüler'!$M100=0,"x",F34/'AW Schüler'!$M100)</f>
        <v>0.13249254136154054</v>
      </c>
      <c r="L34" s="156">
        <f>IF('AW Schüler'!$P100=0,"x",G34/'AW Schüler'!$P100)</f>
        <v>0.10151332529797777</v>
      </c>
      <c r="O34" s="209"/>
    </row>
    <row r="35" spans="1:15" ht="9" customHeight="1">
      <c r="A35" s="21" t="s">
        <v>85</v>
      </c>
      <c r="B35" s="120"/>
      <c r="C35" s="23">
        <f>'3.2.7'!C35+'3.3.7'!C35</f>
        <v>2309</v>
      </c>
      <c r="D35" s="23">
        <f>'3.2.7'!D35+'3.3.7'!D35</f>
        <v>2841</v>
      </c>
      <c r="E35" s="23">
        <f>'3.2.7'!E35+'3.3.7'!E35</f>
        <v>2757</v>
      </c>
      <c r="F35" s="23">
        <f>'3.2.7'!F35+'3.3.7'!F35</f>
        <v>2966</v>
      </c>
      <c r="G35" s="34">
        <f>'3.2.7'!G35+'3.3.7'!G35</f>
        <v>4222</v>
      </c>
      <c r="H35" s="155">
        <f>IF('AW Schüler'!$D101=0,"x",C35/'AW Schüler'!$D101)</f>
        <v>6.5946933995944368E-2</v>
      </c>
      <c r="I35" s="155">
        <f>IF('AW Schüler'!$G101=0,"x",D35/'AW Schüler'!$G101)</f>
        <v>8.3177187024241719E-2</v>
      </c>
      <c r="J35" s="155">
        <f>IF('AW Schüler'!$J101=0,"x",E35/'AW Schüler'!$J101)</f>
        <v>8.0346214373142155E-2</v>
      </c>
      <c r="K35" s="155">
        <f>IF('AW Schüler'!$M101=0,"x",F35/'AW Schüler'!$M101)</f>
        <v>8.4781614452321061E-2</v>
      </c>
      <c r="L35" s="156">
        <f>IF('AW Schüler'!$P101=0,"x",G35/'AW Schüler'!$P101)</f>
        <v>0.1185488852698377</v>
      </c>
      <c r="O35" s="209"/>
    </row>
    <row r="36" spans="1:15" ht="9" customHeight="1">
      <c r="A36" s="21" t="s">
        <v>114</v>
      </c>
      <c r="B36" s="120"/>
      <c r="C36" s="23">
        <f>'3.2.7'!C36+'3.3.7'!C36</f>
        <v>933</v>
      </c>
      <c r="D36" s="23">
        <f>'3.2.7'!D36+'3.3.7'!D36</f>
        <v>548</v>
      </c>
      <c r="E36" s="23">
        <f>'3.2.7'!E36+'3.3.7'!E36</f>
        <v>583</v>
      </c>
      <c r="F36" s="23">
        <f>'3.2.7'!F36+'3.3.7'!F36</f>
        <v>1230</v>
      </c>
      <c r="G36" s="34">
        <f>'3.2.7'!G36+'3.3.7'!G36</f>
        <v>1405</v>
      </c>
      <c r="H36" s="183">
        <v>0</v>
      </c>
      <c r="I36" s="183">
        <v>0</v>
      </c>
      <c r="J36" s="183">
        <v>0</v>
      </c>
      <c r="K36" s="183">
        <v>0</v>
      </c>
      <c r="L36" s="197">
        <v>0</v>
      </c>
      <c r="M36" s="209"/>
      <c r="O36" s="209"/>
    </row>
    <row r="37" spans="1:15" ht="9" customHeight="1">
      <c r="A37" s="21" t="s">
        <v>174</v>
      </c>
      <c r="B37" s="120"/>
      <c r="C37" s="23">
        <f>'3.2.7'!C37+'3.3.7'!C37</f>
        <v>10142</v>
      </c>
      <c r="D37" s="23">
        <f>'3.2.7'!D37+'3.3.7'!D37</f>
        <v>9845</v>
      </c>
      <c r="E37" s="23">
        <f>'3.2.7'!E37+'3.3.7'!E37</f>
        <v>10768</v>
      </c>
      <c r="F37" s="23">
        <f>'3.2.7'!F37+'3.3.7'!F37</f>
        <v>8016</v>
      </c>
      <c r="G37" s="34">
        <f>'3.2.7'!G37+'3.3.7'!G37</f>
        <v>9696</v>
      </c>
      <c r="H37" s="155">
        <f>IF('AW Schüler'!$D103=0,"x",C37/'AW Schüler'!$D103)</f>
        <v>0.58448593822037809</v>
      </c>
      <c r="I37" s="155">
        <f>IF('AW Schüler'!$G103=0,"x",D37/'AW Schüler'!$G103)</f>
        <v>0.55049205994184747</v>
      </c>
      <c r="J37" s="155">
        <f>IF('AW Schüler'!$J103=0,"x",E37/'AW Schüler'!$J103)</f>
        <v>0.60257414661443764</v>
      </c>
      <c r="K37" s="155">
        <f>IF('AW Schüler'!$M103=0,"x",F37/'AW Schüler'!$M103)</f>
        <v>0.44998315931289995</v>
      </c>
      <c r="L37" s="156">
        <f>IF('AW Schüler'!$P103=0,"x",G37/'AW Schüler'!$P103)</f>
        <v>0.53902601734489664</v>
      </c>
      <c r="O37" s="209"/>
    </row>
    <row r="38" spans="1:15" ht="9" customHeight="1">
      <c r="A38" s="21" t="s">
        <v>88</v>
      </c>
      <c r="B38" s="120"/>
      <c r="C38" s="23">
        <f>'3.2.7'!C38+'3.3.7'!C38</f>
        <v>6264</v>
      </c>
      <c r="D38" s="23">
        <f>'3.2.7'!D38+'3.3.7'!D38</f>
        <v>5897</v>
      </c>
      <c r="E38" s="23">
        <f>'3.2.7'!E38+'3.3.7'!E38</f>
        <v>7169</v>
      </c>
      <c r="F38" s="23">
        <f>'3.2.7'!F38+'3.3.7'!F38</f>
        <v>10136</v>
      </c>
      <c r="G38" s="34">
        <f>'3.2.7'!G38+'3.3.7'!G38</f>
        <v>12503</v>
      </c>
      <c r="H38" s="183">
        <v>0</v>
      </c>
      <c r="I38" s="183">
        <v>0</v>
      </c>
      <c r="J38" s="183">
        <v>0</v>
      </c>
      <c r="K38" s="183">
        <v>0</v>
      </c>
      <c r="L38" s="197">
        <v>0</v>
      </c>
      <c r="O38" s="209"/>
    </row>
    <row r="39" spans="1:15" ht="9" customHeight="1">
      <c r="A39" s="21" t="s">
        <v>89</v>
      </c>
      <c r="B39" s="120"/>
      <c r="C39" s="23">
        <f>'3.2.7'!C39+'3.3.7'!C39</f>
        <v>56329</v>
      </c>
      <c r="D39" s="23">
        <f>'3.2.7'!D39+'3.3.7'!D39</f>
        <v>69673</v>
      </c>
      <c r="E39" s="23">
        <f>'3.2.7'!E39+'3.3.7'!E39</f>
        <v>78162</v>
      </c>
      <c r="F39" s="23">
        <f>'3.2.7'!F39+'3.3.7'!F39</f>
        <v>81003</v>
      </c>
      <c r="G39" s="34">
        <f>'3.2.7'!G39+'3.3.7'!G39</f>
        <v>83496</v>
      </c>
      <c r="H39" s="155">
        <f>IF('AW Schüler'!$D105=0,"x",C39/'AW Schüler'!$D105)</f>
        <v>0.16844595160344972</v>
      </c>
      <c r="I39" s="155">
        <f>IF('AW Schüler'!$G105=0,"x",D39/'AW Schüler'!$G105)</f>
        <v>0.21017940046999484</v>
      </c>
      <c r="J39" s="155">
        <f>IF('AW Schüler'!$J105=0,"x",E39/'AW Schüler'!$J105)</f>
        <v>0.23933492559250413</v>
      </c>
      <c r="K39" s="155">
        <f>IF('AW Schüler'!$M105=0,"x",F39/'AW Schüler'!$M105)</f>
        <v>0.24928832358272526</v>
      </c>
      <c r="L39" s="156">
        <f>IF('AW Schüler'!$P105=0,"x",G39/'AW Schüler'!$P105)</f>
        <v>0.25755743651753327</v>
      </c>
      <c r="O39" s="209"/>
    </row>
    <row r="40" spans="1:15" ht="9" customHeight="1">
      <c r="A40" s="21" t="s">
        <v>90</v>
      </c>
      <c r="B40" s="120"/>
      <c r="C40" s="23">
        <f>'3.2.7'!C40+'3.3.7'!C40</f>
        <v>12089</v>
      </c>
      <c r="D40" s="23">
        <f>'3.2.7'!D40+'3.3.7'!D40</f>
        <v>11890</v>
      </c>
      <c r="E40" s="23">
        <f>'3.2.7'!E40+'3.3.7'!E40</f>
        <v>12416</v>
      </c>
      <c r="F40" s="23">
        <f>'3.2.7'!F40+'3.3.7'!F40</f>
        <v>12446</v>
      </c>
      <c r="G40" s="34">
        <f>'3.2.7'!G40+'3.3.7'!G40</f>
        <v>12831</v>
      </c>
      <c r="H40" s="155">
        <f>IF('AW Schüler'!$D106=0,"x",C40/'AW Schüler'!$D106)</f>
        <v>0.12848473254046699</v>
      </c>
      <c r="I40" s="155">
        <f>IF('AW Schüler'!$G106=0,"x",D40/'AW Schüler'!$G106)</f>
        <v>0.13094569443067808</v>
      </c>
      <c r="J40" s="155">
        <f>IF('AW Schüler'!$J106=0,"x",E40/'AW Schüler'!$J106)</f>
        <v>0.14036357058876731</v>
      </c>
      <c r="K40" s="155">
        <f>IF('AW Schüler'!$M106=0,"x",F40/'AW Schüler'!$M106)</f>
        <v>0.14382785956964891</v>
      </c>
      <c r="L40" s="156">
        <f>IF('AW Schüler'!$P106=0,"x",G40/'AW Schüler'!$P106)</f>
        <v>0.15011933732684388</v>
      </c>
      <c r="O40" s="209"/>
    </row>
    <row r="41" spans="1:15" ht="9" customHeight="1">
      <c r="A41" s="21" t="s">
        <v>91</v>
      </c>
      <c r="B41" s="120"/>
      <c r="C41" s="23">
        <f>'3.2.7'!C41+'3.3.7'!C41</f>
        <v>448</v>
      </c>
      <c r="D41" s="23">
        <f>'3.2.7'!D41+'3.3.7'!D41</f>
        <v>373</v>
      </c>
      <c r="E41" s="23">
        <f>'3.2.7'!E41+'3.3.7'!E41</f>
        <v>352</v>
      </c>
      <c r="F41" s="23">
        <f>'3.2.7'!F41+'3.3.7'!F41</f>
        <v>512</v>
      </c>
      <c r="G41" s="34">
        <f>'3.2.7'!G41+'3.3.7'!G41</f>
        <v>448</v>
      </c>
      <c r="H41" s="155">
        <f>IF('AW Schüler'!$D107=0,"x",C41/'AW Schüler'!$D107)</f>
        <v>2.7130139889783807E-2</v>
      </c>
      <c r="I41" s="155">
        <f>IF('AW Schüler'!$G107=0,"x",D41/'AW Schüler'!$G107)</f>
        <v>2.3009067916846586E-2</v>
      </c>
      <c r="J41" s="155">
        <f>IF('AW Schüler'!$J107=0,"x",E41/'AW Schüler'!$J107)</f>
        <v>2.2219416740310569E-2</v>
      </c>
      <c r="K41" s="155">
        <f>IF('AW Schüler'!$M107=0,"x",F41/'AW Schüler'!$M107)</f>
        <v>3.2462591935074815E-2</v>
      </c>
      <c r="L41" s="156">
        <f>IF('AW Schüler'!$P107=0,"x",G41/'AW Schüler'!$P107)</f>
        <v>2.8401166476480284E-2</v>
      </c>
      <c r="O41" s="209"/>
    </row>
    <row r="42" spans="1:15" ht="9" customHeight="1">
      <c r="A42" s="21" t="s">
        <v>92</v>
      </c>
      <c r="B42" s="120"/>
      <c r="C42" s="23">
        <f>'3.2.7'!C42+'3.3.7'!C42</f>
        <v>18375</v>
      </c>
      <c r="D42" s="23">
        <f>'3.2.7'!D42+'3.3.7'!D42</f>
        <v>16466</v>
      </c>
      <c r="E42" s="23">
        <f>'3.2.7'!E42+'3.3.7'!E42</f>
        <v>15808</v>
      </c>
      <c r="F42" s="23">
        <f>'3.2.7'!F42+'3.3.7'!F42</f>
        <v>14483</v>
      </c>
      <c r="G42" s="34">
        <f>'3.2.7'!G42+'3.3.7'!G42</f>
        <v>16306</v>
      </c>
      <c r="H42" s="155">
        <f>IF('AW Schüler'!$D108=0,"x",C42/'AW Schüler'!$D108)</f>
        <v>0.29642355901853557</v>
      </c>
      <c r="I42" s="155">
        <f>IF('AW Schüler'!$G108=0,"x",D42/'AW Schüler'!$G108)</f>
        <v>0.26495245144576568</v>
      </c>
      <c r="J42" s="155">
        <f>IF('AW Schüler'!$J108=0,"x",E42/'AW Schüler'!$J108)</f>
        <v>0.25380922563139219</v>
      </c>
      <c r="K42" s="155">
        <f>IF('AW Schüler'!$M108=0,"x",F42/'AW Schüler'!$M108)</f>
        <v>0.2327334083239595</v>
      </c>
      <c r="L42" s="156">
        <f>IF('AW Schüler'!$P108=0,"x",G42/'AW Schüler'!$P108)</f>
        <v>0.26078334159643035</v>
      </c>
      <c r="O42" s="209"/>
    </row>
    <row r="43" spans="1:15" ht="9" customHeight="1">
      <c r="A43" s="21" t="s">
        <v>93</v>
      </c>
      <c r="B43" s="120"/>
      <c r="C43" s="23">
        <f>'3.2.7'!C43+'3.3.7'!C43</f>
        <v>2483</v>
      </c>
      <c r="D43" s="23">
        <f>'3.2.7'!D43+'3.3.7'!D43</f>
        <v>2458</v>
      </c>
      <c r="E43" s="23">
        <f>'3.2.7'!E43+'3.3.7'!E43</f>
        <v>3352</v>
      </c>
      <c r="F43" s="23">
        <f>'3.2.7'!F43+'3.3.7'!F43</f>
        <v>3471</v>
      </c>
      <c r="G43" s="34">
        <f>'3.2.7'!G43+'3.3.7'!G43</f>
        <v>2586</v>
      </c>
      <c r="H43" s="183">
        <v>0</v>
      </c>
      <c r="I43" s="183">
        <v>0</v>
      </c>
      <c r="J43" s="183">
        <v>0</v>
      </c>
      <c r="K43" s="183">
        <v>0</v>
      </c>
      <c r="L43" s="197">
        <v>0</v>
      </c>
      <c r="O43" s="209"/>
    </row>
    <row r="44" spans="1:15" ht="9" customHeight="1">
      <c r="A44" s="21" t="s">
        <v>94</v>
      </c>
      <c r="B44" s="120"/>
      <c r="C44" s="23">
        <f>'3.2.7'!C44+'3.3.7'!C44</f>
        <v>416</v>
      </c>
      <c r="D44" s="23">
        <f>'3.2.7'!D44+'3.3.7'!D44</f>
        <v>356</v>
      </c>
      <c r="E44" s="23">
        <f>'3.2.7'!E44+'3.3.7'!E44</f>
        <v>361</v>
      </c>
      <c r="F44" s="23">
        <f>'3.2.7'!F44+'3.3.7'!F44</f>
        <v>343</v>
      </c>
      <c r="G44" s="34">
        <f>'3.2.7'!G44+'3.3.7'!G44</f>
        <v>337</v>
      </c>
      <c r="H44" s="155">
        <f>IF('AW Schüler'!$D110=0,"x",C44/'AW Schüler'!$D110)</f>
        <v>6.7445970265406375E-3</v>
      </c>
      <c r="I44" s="155">
        <f>IF('AW Schüler'!$G110=0,"x",D44/'AW Schüler'!$G110)</f>
        <v>7.0483883741189511E-3</v>
      </c>
      <c r="J44" s="155">
        <f>IF('AW Schüler'!$J110=0,"x",E44/'AW Schüler'!$J110)</f>
        <v>7.3010415613307712E-3</v>
      </c>
      <c r="K44" s="155">
        <f>IF('AW Schüler'!$M110=0,"x",F44/'AW Schüler'!$M110)</f>
        <v>6.9115602393858182E-3</v>
      </c>
      <c r="L44" s="156">
        <f>IF('AW Schüler'!$P110=0,"x",G44/'AW Schüler'!$P110)</f>
        <v>6.7846429506150472E-3</v>
      </c>
      <c r="O44" s="209"/>
    </row>
    <row r="45" spans="1:15" ht="9" customHeight="1">
      <c r="A45" s="21" t="s">
        <v>95</v>
      </c>
      <c r="B45" s="120"/>
      <c r="C45" s="23">
        <f>'3.2.7'!C45+'3.3.7'!C45</f>
        <v>975</v>
      </c>
      <c r="D45" s="23">
        <f>'3.2.7'!D45+'3.3.7'!D45</f>
        <v>1216</v>
      </c>
      <c r="E45" s="23">
        <f>'3.2.7'!E45+'3.3.7'!E45</f>
        <v>1633</v>
      </c>
      <c r="F45" s="23">
        <f>'3.2.7'!F45+'3.3.7'!F45</f>
        <v>1636</v>
      </c>
      <c r="G45" s="34">
        <f>'3.2.7'!G45+'3.3.7'!G45</f>
        <v>1818</v>
      </c>
      <c r="H45" s="155">
        <f>IF('AW Schüler'!$D111=0,"x",C45/'AW Schüler'!$D111)</f>
        <v>2.7769075218592464E-2</v>
      </c>
      <c r="I45" s="155">
        <f>IF('AW Schüler'!$G111=0,"x",D45/'AW Schüler'!$G111)</f>
        <v>3.4887390618275713E-2</v>
      </c>
      <c r="J45" s="155">
        <f>IF('AW Schüler'!$J111=0,"x",E45/'AW Schüler'!$J111)</f>
        <v>4.7116189157217464E-2</v>
      </c>
      <c r="K45" s="155">
        <f>IF('AW Schüler'!$M111=0,"x",F45/'AW Schüler'!$M111)</f>
        <v>4.7947012103982882E-2</v>
      </c>
      <c r="L45" s="156">
        <f>IF('AW Schüler'!$P111=0,"x",G45/'AW Schüler'!$P111)</f>
        <v>5.5017552354436512E-2</v>
      </c>
      <c r="O45" s="209"/>
    </row>
    <row r="46" spans="1:15" ht="9" customHeight="1">
      <c r="A46" s="21" t="s">
        <v>96</v>
      </c>
      <c r="B46" s="120"/>
      <c r="C46" s="23">
        <f>'3.2.7'!C46+'3.3.7'!C46</f>
        <v>132354</v>
      </c>
      <c r="D46" s="23">
        <f>'3.2.7'!D46+'3.3.7'!D46</f>
        <v>145079</v>
      </c>
      <c r="E46" s="23">
        <f>'3.2.7'!E46+'3.3.7'!E46</f>
        <v>156595</v>
      </c>
      <c r="F46" s="23">
        <f>'3.2.7'!F46+'3.3.7'!F46</f>
        <v>159991</v>
      </c>
      <c r="G46" s="34">
        <f>'3.2.7'!G46+'3.3.7'!G46</f>
        <v>168260</v>
      </c>
      <c r="H46" s="155">
        <f>IF('AW Schüler'!$D112=0,"x",C46/'AW Schüler'!$D112)</f>
        <v>9.0554435014874146E-2</v>
      </c>
      <c r="I46" s="155">
        <f>IF('AW Schüler'!$G112=0,"x",D46/'AW Schüler'!$G112)</f>
        <v>0.10154253610321183</v>
      </c>
      <c r="J46" s="155">
        <f>IF('AW Schüler'!$J112=0,"x",E46/'AW Schüler'!$J112)</f>
        <v>0.1118178695802126</v>
      </c>
      <c r="K46" s="155">
        <f>IF('AW Schüler'!$M112=0,"x",F46/'AW Schüler'!$M112)</f>
        <v>0.11542820863379423</v>
      </c>
      <c r="L46" s="156">
        <f>IF('AW Schüler'!$P112=0,"x",G46/'AW Schüler'!$P112)</f>
        <v>0.12150613885466779</v>
      </c>
      <c r="M46" s="209"/>
      <c r="N46" s="209"/>
      <c r="O46" s="209"/>
    </row>
    <row r="47" spans="1:15" ht="12.75" customHeight="1">
      <c r="A47" s="391" t="s">
        <v>100</v>
      </c>
      <c r="B47" s="392"/>
      <c r="C47" s="392"/>
      <c r="D47" s="392"/>
      <c r="E47" s="392"/>
      <c r="F47" s="392"/>
      <c r="G47" s="392"/>
      <c r="H47" s="392"/>
      <c r="I47" s="392"/>
      <c r="J47" s="392"/>
      <c r="K47" s="392"/>
      <c r="L47" s="393"/>
      <c r="N47" s="209"/>
    </row>
    <row r="48" spans="1:15" ht="9" customHeight="1">
      <c r="A48" s="21" t="s">
        <v>80</v>
      </c>
      <c r="B48" s="120"/>
      <c r="C48" s="23">
        <f>'3.2.7'!C48+'3.3.7'!C48</f>
        <v>32425</v>
      </c>
      <c r="D48" s="23">
        <f>'3.2.7'!D48+'3.3.7'!D48</f>
        <v>33760</v>
      </c>
      <c r="E48" s="23">
        <f>'3.2.7'!E48+'3.3.7'!E48</f>
        <v>34698</v>
      </c>
      <c r="F48" s="23">
        <f>'3.2.7'!F48+'3.3.7'!F48</f>
        <v>35585</v>
      </c>
      <c r="G48" s="34">
        <f>'3.2.7'!G48+'3.3.7'!G48</f>
        <v>35451</v>
      </c>
      <c r="H48" s="155">
        <f>IF('AW Schüler'!$D96=0,"x",C48/'AW Schüler'!$D96)</f>
        <v>0.15501152128808957</v>
      </c>
      <c r="I48" s="155">
        <f>IF('AW Schüler'!$G96=0,"x",D48/'AW Schüler'!$G96)</f>
        <v>0.16312173249195505</v>
      </c>
      <c r="J48" s="155">
        <f>IF('AW Schüler'!$J96=0,"x",E48/'AW Schüler'!$J96)</f>
        <v>0.17128386383382038</v>
      </c>
      <c r="K48" s="155">
        <f>IF('AW Schüler'!$M96=0,"x",F48/'AW Schüler'!$M96)</f>
        <v>0.17902961271042331</v>
      </c>
      <c r="L48" s="156">
        <f>IF('AW Schüler'!$P96=0,"x",G48/'AW Schüler'!$P96)</f>
        <v>0.17951327702497419</v>
      </c>
    </row>
    <row r="49" spans="1:12" ht="9" customHeight="1">
      <c r="A49" s="21" t="s">
        <v>81</v>
      </c>
      <c r="B49" s="120"/>
      <c r="C49" s="23">
        <f>'3.2.7'!C49+'3.3.7'!C49</f>
        <v>15962</v>
      </c>
      <c r="D49" s="23">
        <f>'3.2.7'!D49+'3.3.7'!D49</f>
        <v>18941</v>
      </c>
      <c r="E49" s="23">
        <f>'3.2.7'!E49+'3.3.7'!E49</f>
        <v>18941</v>
      </c>
      <c r="F49" s="23">
        <f>'3.2.7'!F49+'3.3.7'!F49</f>
        <v>20144</v>
      </c>
      <c r="G49" s="34">
        <f>'3.2.7'!G49+'3.3.7'!G49</f>
        <v>24084</v>
      </c>
      <c r="H49" s="155">
        <f>IF('AW Schüler'!$D97=0,"x",C49/'AW Schüler'!$D97)</f>
        <v>6.9800594717509185E-2</v>
      </c>
      <c r="I49" s="155">
        <f>IF('AW Schüler'!$G97=0,"x",D49/'AW Schüler'!$G97)</f>
        <v>8.5201228920106703E-2</v>
      </c>
      <c r="J49" s="155">
        <f>IF('AW Schüler'!$J97=0,"x",E49/'AW Schüler'!$J97)</f>
        <v>8.8777753300867582E-2</v>
      </c>
      <c r="K49" s="155">
        <f>IF('AW Schüler'!$M97=0,"x",F49/'AW Schüler'!$M97)</f>
        <v>9.8029578225598449E-2</v>
      </c>
      <c r="L49" s="156">
        <f>IF('AW Schüler'!$P97=0,"x",G49/'AW Schüler'!$P97)</f>
        <v>0.12017004630368833</v>
      </c>
    </row>
    <row r="50" spans="1:12" ht="9" customHeight="1">
      <c r="A50" s="21" t="s">
        <v>82</v>
      </c>
      <c r="B50" s="120"/>
      <c r="C50" s="23">
        <f>'3.2.7'!C50+'3.3.7'!C50</f>
        <v>3792</v>
      </c>
      <c r="D50" s="23">
        <f>'3.2.7'!D50+'3.3.7'!D50</f>
        <v>7460</v>
      </c>
      <c r="E50" s="23">
        <f>'3.2.7'!E50+'3.3.7'!E50</f>
        <v>8043</v>
      </c>
      <c r="F50" s="23">
        <f>'3.2.7'!F50+'3.3.7'!F50</f>
        <v>11152</v>
      </c>
      <c r="G50" s="34">
        <f>'3.2.7'!G50+'3.3.7'!G50</f>
        <v>9920</v>
      </c>
      <c r="H50" s="155">
        <f>IF('AW Schüler'!$D98=0,"x",C50/'AW Schüler'!$D98)</f>
        <v>8.8614694335389793E-2</v>
      </c>
      <c r="I50" s="155">
        <f>IF('AW Schüler'!$G98=0,"x",D50/'AW Schüler'!$G98)</f>
        <v>0.18021500181181302</v>
      </c>
      <c r="J50" s="155">
        <f>IF('AW Schüler'!$J98=0,"x",E50/'AW Schüler'!$J98)</f>
        <v>0.20650611071171818</v>
      </c>
      <c r="K50" s="155">
        <f>IF('AW Schüler'!$M98=0,"x",F50/'AW Schüler'!$M98)</f>
        <v>0.28305286936216656</v>
      </c>
      <c r="L50" s="156">
        <f>IF('AW Schüler'!$P98=0,"x",G50/'AW Schüler'!$P98)</f>
        <v>0.23874849578820698</v>
      </c>
    </row>
    <row r="51" spans="1:12" ht="9" customHeight="1">
      <c r="A51" s="21" t="s">
        <v>83</v>
      </c>
      <c r="B51" s="120"/>
      <c r="C51" s="23">
        <f>'3.2.7'!C51+'3.3.7'!C51</f>
        <v>7904</v>
      </c>
      <c r="D51" s="23">
        <f>'3.2.7'!D51+'3.3.7'!D51</f>
        <v>8999</v>
      </c>
      <c r="E51" s="23">
        <f>'3.2.7'!E51+'3.3.7'!E51</f>
        <v>8413</v>
      </c>
      <c r="F51" s="23">
        <f>'3.2.7'!F51+'3.3.7'!F51</f>
        <v>8181</v>
      </c>
      <c r="G51" s="34">
        <f>'3.2.7'!G51+'3.3.7'!G51</f>
        <v>7973</v>
      </c>
      <c r="H51" s="155">
        <f>IF('AW Schüler'!$D99=0,"x",C51/'AW Schüler'!$D99)</f>
        <v>0.27045337895637295</v>
      </c>
      <c r="I51" s="155">
        <f>IF('AW Schüler'!$G99=0,"x",D51/'AW Schüler'!$G99)</f>
        <v>0.30627595126267781</v>
      </c>
      <c r="J51" s="155">
        <f>IF('AW Schüler'!$J99=0,"x",E51/'AW Schüler'!$J99)</f>
        <v>0.30027125419373257</v>
      </c>
      <c r="K51" s="155">
        <f>IF('AW Schüler'!$M99=0,"x",F51/'AW Schüler'!$M99)</f>
        <v>0.29482143500666691</v>
      </c>
      <c r="L51" s="156">
        <f>IF('AW Schüler'!$P99=0,"x",G51/'AW Schüler'!$P99)</f>
        <v>0.285310431204151</v>
      </c>
    </row>
    <row r="52" spans="1:12" ht="9" customHeight="1">
      <c r="A52" s="21" t="s">
        <v>84</v>
      </c>
      <c r="B52" s="120"/>
      <c r="C52" s="23">
        <f>'3.2.7'!C52+'3.3.7'!C52</f>
        <v>82</v>
      </c>
      <c r="D52" s="23">
        <f>'3.2.7'!D52+'3.3.7'!D52</f>
        <v>108</v>
      </c>
      <c r="E52" s="23">
        <f>'3.2.7'!E52+'3.3.7'!E52</f>
        <v>98</v>
      </c>
      <c r="F52" s="23">
        <f>'3.2.7'!F52+'3.3.7'!F52</f>
        <v>107</v>
      </c>
      <c r="G52" s="34">
        <f>'3.2.7'!G52+'3.3.7'!G52</f>
        <v>0</v>
      </c>
      <c r="H52" s="155">
        <f>IF('AW Schüler'!$D100=0,"x",C52/'AW Schüler'!$D100)</f>
        <v>8.2895268904164977E-3</v>
      </c>
      <c r="I52" s="155">
        <f>IF('AW Schüler'!$G100=0,"x",D52/'AW Schüler'!$G100)</f>
        <v>1.2574222843171499E-2</v>
      </c>
      <c r="J52" s="155">
        <f>IF('AW Schüler'!$J100=0,"x",E52/'AW Schüler'!$J100)</f>
        <v>1.2790394152962672E-2</v>
      </c>
      <c r="K52" s="155">
        <f>IF('AW Schüler'!$M100=0,"x",F52/'AW Schüler'!$M100)</f>
        <v>1.4510442093843234E-2</v>
      </c>
      <c r="L52" s="156">
        <f>IF('AW Schüler'!$P100=0,"x",G52/'AW Schüler'!$P100)</f>
        <v>0</v>
      </c>
    </row>
    <row r="53" spans="1:12" ht="9" customHeight="1">
      <c r="A53" s="21" t="s">
        <v>85</v>
      </c>
      <c r="B53" s="120"/>
      <c r="C53" s="23">
        <f>'3.2.7'!C53+'3.3.7'!C53</f>
        <v>32362</v>
      </c>
      <c r="D53" s="23">
        <f>'3.2.7'!D53+'3.3.7'!D53</f>
        <v>30625</v>
      </c>
      <c r="E53" s="23">
        <f>'3.2.7'!E53+'3.3.7'!E53</f>
        <v>31181</v>
      </c>
      <c r="F53" s="23">
        <f>'3.2.7'!F53+'3.3.7'!F53</f>
        <v>31601</v>
      </c>
      <c r="G53" s="34">
        <f>'3.2.7'!G53+'3.3.7'!G53</f>
        <v>30957</v>
      </c>
      <c r="H53" s="155">
        <f>IF('AW Schüler'!$D101=0,"x",C53/'AW Schüler'!$D101)</f>
        <v>0.92428526547282441</v>
      </c>
      <c r="I53" s="155">
        <f>IF('AW Schüler'!$G101=0,"x",D53/'AW Schüler'!$G101)</f>
        <v>0.89662138423703008</v>
      </c>
      <c r="J53" s="155">
        <f>IF('AW Schüler'!$J101=0,"x",E53/'AW Schüler'!$J101)</f>
        <v>0.9086961590021565</v>
      </c>
      <c r="K53" s="155">
        <f>IF('AW Schüler'!$M101=0,"x",F53/'AW Schüler'!$M101)</f>
        <v>0.90329865081179972</v>
      </c>
      <c r="L53" s="156">
        <f>IF('AW Schüler'!$P101=0,"x",G53/'AW Schüler'!$P101)</f>
        <v>0.86923681698208566</v>
      </c>
    </row>
    <row r="54" spans="1:12" ht="9" customHeight="1">
      <c r="A54" s="21" t="s">
        <v>114</v>
      </c>
      <c r="B54" s="120"/>
      <c r="C54" s="23">
        <f>'3.2.7'!C54+'3.3.7'!C54</f>
        <v>57571</v>
      </c>
      <c r="D54" s="23">
        <f>'3.2.7'!D54+'3.3.7'!D54</f>
        <v>57534</v>
      </c>
      <c r="E54" s="23">
        <f>'3.2.7'!E54+'3.3.7'!E54</f>
        <v>58762</v>
      </c>
      <c r="F54" s="23">
        <f>'3.2.7'!F54+'3.3.7'!F54</f>
        <v>59158</v>
      </c>
      <c r="G54" s="34">
        <f>'3.2.7'!G54+'3.3.7'!G54</f>
        <v>62679</v>
      </c>
      <c r="H54" s="183">
        <v>0</v>
      </c>
      <c r="I54" s="183">
        <v>0</v>
      </c>
      <c r="J54" s="183">
        <v>0</v>
      </c>
      <c r="K54" s="183">
        <v>0</v>
      </c>
      <c r="L54" s="197">
        <v>0</v>
      </c>
    </row>
    <row r="55" spans="1:12" ht="9" customHeight="1">
      <c r="A55" s="21" t="s">
        <v>174</v>
      </c>
      <c r="B55" s="120"/>
      <c r="C55" s="23">
        <f>'3.2.7'!C55+'3.3.7'!C55</f>
        <v>5238</v>
      </c>
      <c r="D55" s="23">
        <f>'3.2.7'!D55+'3.3.7'!D55</f>
        <v>4077</v>
      </c>
      <c r="E55" s="23">
        <f>'3.2.7'!E55+'3.3.7'!E55</f>
        <v>5162</v>
      </c>
      <c r="F55" s="23">
        <f>'3.2.7'!F55+'3.3.7'!F55</f>
        <v>5015</v>
      </c>
      <c r="G55" s="34">
        <f>'3.2.7'!G55+'3.3.7'!G55</f>
        <v>3144</v>
      </c>
      <c r="H55" s="155">
        <f>IF('AW Schüler'!$D103=0,"x",C55/'AW Schüler'!$D103)</f>
        <v>0.30186721991701243</v>
      </c>
      <c r="I55" s="155">
        <f>IF('AW Schüler'!$G103=0,"x",D55/'AW Schüler'!$G103)</f>
        <v>0.22796913442182956</v>
      </c>
      <c r="J55" s="155">
        <f>IF('AW Schüler'!$J103=0,"x",E55/'AW Schüler'!$J103)</f>
        <v>0.28886401790710686</v>
      </c>
      <c r="K55" s="155">
        <f>IF('AW Schüler'!$M103=0,"x",F55/'AW Schüler'!$M103)</f>
        <v>0.28152015268889635</v>
      </c>
      <c r="L55" s="156">
        <f>IF('AW Schüler'!$P103=0,"x",G55/'AW Schüler'!$P103)</f>
        <v>0.17478318879252835</v>
      </c>
    </row>
    <row r="56" spans="1:12" ht="9" customHeight="1">
      <c r="A56" s="21" t="s">
        <v>88</v>
      </c>
      <c r="B56" s="120"/>
      <c r="C56" s="23">
        <f>'3.2.7'!C56+'3.3.7'!C56</f>
        <v>57087</v>
      </c>
      <c r="D56" s="23">
        <f>'3.2.7'!D56+'3.3.7'!D56</f>
        <v>59526</v>
      </c>
      <c r="E56" s="23">
        <f>'3.2.7'!E56+'3.3.7'!E56</f>
        <v>64635</v>
      </c>
      <c r="F56" s="23">
        <f>'3.2.7'!F56+'3.3.7'!F56</f>
        <v>62476</v>
      </c>
      <c r="G56" s="34">
        <f>'3.2.7'!G56+'3.3.7'!G56</f>
        <v>65409</v>
      </c>
      <c r="H56" s="183">
        <v>0</v>
      </c>
      <c r="I56" s="183">
        <v>0</v>
      </c>
      <c r="J56" s="183">
        <v>0</v>
      </c>
      <c r="K56" s="183">
        <v>0</v>
      </c>
      <c r="L56" s="197">
        <v>0</v>
      </c>
    </row>
    <row r="57" spans="1:12" ht="9" customHeight="1">
      <c r="A57" s="21" t="s">
        <v>89</v>
      </c>
      <c r="B57" s="120"/>
      <c r="C57" s="23">
        <f>'3.2.7'!C57+'3.3.7'!C57</f>
        <v>0</v>
      </c>
      <c r="D57" s="23">
        <f>'3.2.7'!D57+'3.3.7'!D57</f>
        <v>0</v>
      </c>
      <c r="E57" s="23">
        <f>'3.2.7'!E57+'3.3.7'!E57</f>
        <v>0</v>
      </c>
      <c r="F57" s="23">
        <f>'3.2.7'!F57+'3.3.7'!F57</f>
        <v>0</v>
      </c>
      <c r="G57" s="34">
        <f>'3.2.7'!G57+'3.3.7'!G57</f>
        <v>0</v>
      </c>
      <c r="H57" s="155">
        <f>IF('AW Schüler'!$D105=0,"x",C57/'AW Schüler'!$D105)</f>
        <v>0</v>
      </c>
      <c r="I57" s="155">
        <f>IF('AW Schüler'!$G105=0,"x",D57/'AW Schüler'!$G105)</f>
        <v>0</v>
      </c>
      <c r="J57" s="155">
        <f>IF('AW Schüler'!$J105=0,"x",E57/'AW Schüler'!$J105)</f>
        <v>0</v>
      </c>
      <c r="K57" s="155">
        <f>IF('AW Schüler'!$M105=0,"x",F57/'AW Schüler'!$M105)</f>
        <v>0</v>
      </c>
      <c r="L57" s="156">
        <f>IF('AW Schüler'!$P105=0,"x",G57/'AW Schüler'!$P105)</f>
        <v>0</v>
      </c>
    </row>
    <row r="58" spans="1:12" ht="9" customHeight="1">
      <c r="A58" s="21" t="s">
        <v>90</v>
      </c>
      <c r="B58" s="120"/>
      <c r="C58" s="23">
        <f>'3.2.7'!C58+'3.3.7'!C58</f>
        <v>345</v>
      </c>
      <c r="D58" s="23">
        <f>'3.2.7'!D58+'3.3.7'!D58</f>
        <v>218</v>
      </c>
      <c r="E58" s="23">
        <f>'3.2.7'!E58+'3.3.7'!E58</f>
        <v>92</v>
      </c>
      <c r="F58" s="23">
        <f>'3.2.7'!F58+'3.3.7'!F58</f>
        <v>78</v>
      </c>
      <c r="G58" s="34">
        <f>'3.2.7'!G58+'3.3.7'!G58</f>
        <v>86</v>
      </c>
      <c r="H58" s="155">
        <f>IF('AW Schüler'!$D106=0,"x",C58/'AW Schüler'!$D106)</f>
        <v>3.6667410643114497E-3</v>
      </c>
      <c r="I58" s="155">
        <f>IF('AW Schüler'!$G106=0,"x",D58/'AW Schüler'!$G106)</f>
        <v>2.4008546161385889E-3</v>
      </c>
      <c r="J58" s="155">
        <f>IF('AW Schüler'!$J106=0,"x",E58/'AW Schüler'!$J106)</f>
        <v>1.0400651171203763E-3</v>
      </c>
      <c r="K58" s="155">
        <f>IF('AW Schüler'!$M106=0,"x",F58/'AW Schüler'!$M106)</f>
        <v>9.0137980446991929E-4</v>
      </c>
      <c r="L58" s="156">
        <f>IF('AW Schüler'!$P106=0,"x",G58/'AW Schüler'!$P106)</f>
        <v>1.0061774616248597E-3</v>
      </c>
    </row>
    <row r="59" spans="1:12" ht="9" customHeight="1">
      <c r="A59" s="21" t="s">
        <v>91</v>
      </c>
      <c r="B59" s="120"/>
      <c r="C59" s="23">
        <f>'3.2.7'!C59+'3.3.7'!C59</f>
        <v>2329</v>
      </c>
      <c r="D59" s="23">
        <f>'3.2.7'!D59+'3.3.7'!D59</f>
        <v>2031</v>
      </c>
      <c r="E59" s="23">
        <f>'3.2.7'!E59+'3.3.7'!E59</f>
        <v>1953</v>
      </c>
      <c r="F59" s="23">
        <f>'3.2.7'!F59+'3.3.7'!F59</f>
        <v>2476</v>
      </c>
      <c r="G59" s="34">
        <f>'3.2.7'!G59+'3.3.7'!G59</f>
        <v>2636</v>
      </c>
      <c r="H59" s="155">
        <f>IF('AW Schüler'!$D107=0,"x",C59/'AW Schüler'!$D107)</f>
        <v>0.14104039241809482</v>
      </c>
      <c r="I59" s="155">
        <f>IF('AW Schüler'!$G107=0,"x",D59/'AW Schüler'!$G107)</f>
        <v>0.12528530010486708</v>
      </c>
      <c r="J59" s="155">
        <f>IF('AW Schüler'!$J107=0,"x",E59/'AW Schüler'!$J107)</f>
        <v>0.1232798889029163</v>
      </c>
      <c r="K59" s="155">
        <f>IF('AW Schüler'!$M107=0,"x",F59/'AW Schüler'!$M107)</f>
        <v>0.15698706568602586</v>
      </c>
      <c r="L59" s="156">
        <f>IF('AW Schüler'!$P107=0,"x",G59/'AW Schüler'!$P107)</f>
        <v>0.16711043489286168</v>
      </c>
    </row>
    <row r="60" spans="1:12" ht="9" customHeight="1">
      <c r="A60" s="21" t="s">
        <v>92</v>
      </c>
      <c r="B60" s="120"/>
      <c r="C60" s="23">
        <f>'3.2.7'!C60+'3.3.7'!C60</f>
        <v>32160</v>
      </c>
      <c r="D60" s="23">
        <f>'3.2.7'!D60+'3.3.7'!D60</f>
        <v>36177</v>
      </c>
      <c r="E60" s="23">
        <f>'3.2.7'!E60+'3.3.7'!E60</f>
        <v>33406</v>
      </c>
      <c r="F60" s="23">
        <f>'3.2.7'!F60+'3.3.7'!F60</f>
        <v>29061</v>
      </c>
      <c r="G60" s="34">
        <f>'3.2.7'!G60+'3.3.7'!G60</f>
        <v>31416</v>
      </c>
      <c r="H60" s="155">
        <f>IF('AW Schüler'!$D108=0,"x",C60/'AW Schüler'!$D108)</f>
        <v>0.51880172288631854</v>
      </c>
      <c r="I60" s="155">
        <f>IF('AW Schüler'!$G108=0,"x",D60/'AW Schüler'!$G108)</f>
        <v>0.58211981270214175</v>
      </c>
      <c r="J60" s="155">
        <f>IF('AW Schüler'!$J108=0,"x",E60/'AW Schüler'!$J108)</f>
        <v>0.53635823579467912</v>
      </c>
      <c r="K60" s="155">
        <f>IF('AW Schüler'!$M108=0,"x",F60/'AW Schüler'!$M108)</f>
        <v>0.46699341153784346</v>
      </c>
      <c r="L60" s="156">
        <f>IF('AW Schüler'!$P108=0,"x",G60/'AW Schüler'!$P108)</f>
        <v>0.50243894637516595</v>
      </c>
    </row>
    <row r="61" spans="1:12" ht="9" customHeight="1">
      <c r="A61" s="21" t="s">
        <v>93</v>
      </c>
      <c r="B61" s="120"/>
      <c r="C61" s="23">
        <f>'3.2.7'!C61+'3.3.7'!C61</f>
        <v>4888</v>
      </c>
      <c r="D61" s="23">
        <f>'3.2.7'!D61+'3.3.7'!D61</f>
        <v>5353</v>
      </c>
      <c r="E61" s="23">
        <f>'3.2.7'!E61+'3.3.7'!E61</f>
        <v>5306</v>
      </c>
      <c r="F61" s="23">
        <f>'3.2.7'!F61+'3.3.7'!F61</f>
        <v>5469</v>
      </c>
      <c r="G61" s="34">
        <f>'3.2.7'!G61+'3.3.7'!G61</f>
        <v>5588</v>
      </c>
      <c r="H61" s="183">
        <v>0</v>
      </c>
      <c r="I61" s="183">
        <v>0</v>
      </c>
      <c r="J61" s="183">
        <v>0</v>
      </c>
      <c r="K61" s="183">
        <v>0</v>
      </c>
      <c r="L61" s="197">
        <v>0</v>
      </c>
    </row>
    <row r="62" spans="1:12" ht="9" customHeight="1">
      <c r="A62" s="21" t="s">
        <v>94</v>
      </c>
      <c r="B62" s="120"/>
      <c r="C62" s="23">
        <f>'3.2.7'!C62+'3.3.7'!C62</f>
        <v>12065</v>
      </c>
      <c r="D62" s="23">
        <f>'3.2.7'!D62+'3.3.7'!D62</f>
        <v>9966</v>
      </c>
      <c r="E62" s="23">
        <f>'3.2.7'!E62+'3.3.7'!E62</f>
        <v>9936</v>
      </c>
      <c r="F62" s="23">
        <f>'3.2.7'!F62+'3.3.7'!F62</f>
        <v>10159</v>
      </c>
      <c r="G62" s="34">
        <f>'3.2.7'!G62+'3.3.7'!G62</f>
        <v>10336</v>
      </c>
      <c r="H62" s="155">
        <f>IF('AW Schüler'!$D110=0,"x",C62/'AW Schüler'!$D110)</f>
        <v>0.19560952674329998</v>
      </c>
      <c r="I62" s="155">
        <f>IF('AW Schüler'!$G110=0,"x",D62/'AW Schüler'!$G110)</f>
        <v>0.19731527678783559</v>
      </c>
      <c r="J62" s="155">
        <f>IF('AW Schüler'!$J110=0,"x",E62/'AW Schüler'!$J110)</f>
        <v>0.20095055111740318</v>
      </c>
      <c r="K62" s="155">
        <f>IF('AW Schüler'!$M110=0,"x",F62/'AW Schüler'!$M110)</f>
        <v>0.20470711507848549</v>
      </c>
      <c r="L62" s="156">
        <f>IF('AW Schüler'!$P110=0,"x",G62/'AW Schüler'!$P110)</f>
        <v>0.20808922711441283</v>
      </c>
    </row>
    <row r="63" spans="1:12" ht="9" customHeight="1">
      <c r="A63" s="21" t="s">
        <v>95</v>
      </c>
      <c r="B63" s="120"/>
      <c r="C63" s="23">
        <f>'3.2.7'!C63+'3.3.7'!C63</f>
        <v>2138</v>
      </c>
      <c r="D63" s="23">
        <f>'3.2.7'!D63+'3.3.7'!D63</f>
        <v>1792</v>
      </c>
      <c r="E63" s="23">
        <f>'3.2.7'!E63+'3.3.7'!E63</f>
        <v>1700</v>
      </c>
      <c r="F63" s="23">
        <f>'3.2.7'!F63+'3.3.7'!F63</f>
        <v>1627</v>
      </c>
      <c r="G63" s="34">
        <f>'3.2.7'!G63+'3.3.7'!G63</f>
        <v>1623</v>
      </c>
      <c r="H63" s="155">
        <f>IF('AW Schüler'!$D111=0,"x",C63/'AW Schüler'!$D111)</f>
        <v>6.0892597761385323E-2</v>
      </c>
      <c r="I63" s="155">
        <f>IF('AW Schüler'!$G111=0,"x",D63/'AW Schüler'!$G111)</f>
        <v>5.1412996700616838E-2</v>
      </c>
      <c r="J63" s="155">
        <f>IF('AW Schüler'!$J111=0,"x",E63/'AW Schüler'!$J111)</f>
        <v>4.9049308981794049E-2</v>
      </c>
      <c r="K63" s="155">
        <f>IF('AW Schüler'!$M111=0,"x",F63/'AW Schüler'!$M111)</f>
        <v>4.7683244922481757E-2</v>
      </c>
      <c r="L63" s="156">
        <f>IF('AW Schüler'!$P111=0,"x",G63/'AW Schüler'!$P111)</f>
        <v>4.9116329742161964E-2</v>
      </c>
    </row>
    <row r="64" spans="1:12" ht="8.65" customHeight="1">
      <c r="A64" s="24" t="s">
        <v>96</v>
      </c>
      <c r="B64" s="121"/>
      <c r="C64" s="26">
        <f>'3.2.7'!C64+'3.3.7'!C64</f>
        <v>266348</v>
      </c>
      <c r="D64" s="26">
        <f>'3.2.7'!D64+'3.3.7'!D64</f>
        <v>276567</v>
      </c>
      <c r="E64" s="26">
        <f>'3.2.7'!E64+'3.3.7'!E64</f>
        <v>282326</v>
      </c>
      <c r="F64" s="26">
        <f>'3.2.7'!F64+'3.3.7'!F64</f>
        <v>282289</v>
      </c>
      <c r="G64" s="47">
        <f>'3.2.7'!G64+'3.3.7'!G64</f>
        <v>291302</v>
      </c>
      <c r="H64" s="157">
        <f>IF('AW Schüler'!$D112=0,"x",C64/'AW Schüler'!$D112)</f>
        <v>0.18223093111913277</v>
      </c>
      <c r="I64" s="157">
        <f>IF('AW Schüler'!$G112=0,"x",D64/'AW Schüler'!$G112)</f>
        <v>0.19357256792821143</v>
      </c>
      <c r="J64" s="157">
        <f>IF('AW Schüler'!$J112=0,"x",E64/'AW Schüler'!$J112)</f>
        <v>0.20159706150964657</v>
      </c>
      <c r="K64" s="157">
        <f>IF('AW Schüler'!$M112=0,"x",F64/'AW Schüler'!$M112)</f>
        <v>0.20366216591573988</v>
      </c>
      <c r="L64" s="158">
        <f>IF('AW Schüler'!$P112=0,"x",G64/'AW Schüler'!$P112)</f>
        <v>0.21035885689196743</v>
      </c>
    </row>
    <row r="65" spans="1:12" ht="18.75" customHeight="1">
      <c r="A65" s="396" t="s">
        <v>312</v>
      </c>
      <c r="B65" s="396"/>
      <c r="C65" s="396"/>
      <c r="D65" s="396"/>
      <c r="E65" s="396"/>
      <c r="F65" s="396"/>
      <c r="G65" s="396"/>
      <c r="H65" s="396"/>
      <c r="I65" s="396"/>
      <c r="J65" s="396"/>
      <c r="K65" s="396"/>
      <c r="L65" s="396"/>
    </row>
    <row r="66" spans="1:12" ht="10.15" customHeight="1">
      <c r="A66" s="405" t="s">
        <v>184</v>
      </c>
      <c r="B66" s="405"/>
      <c r="C66" s="405"/>
      <c r="D66" s="405"/>
      <c r="E66" s="405"/>
      <c r="F66" s="405"/>
      <c r="G66" s="405"/>
      <c r="H66" s="405"/>
      <c r="I66" s="405"/>
      <c r="J66" s="257"/>
      <c r="K66" s="325"/>
      <c r="L66" s="350"/>
    </row>
    <row r="67" spans="1:12" ht="18.600000000000001" customHeight="1">
      <c r="A67" s="381" t="s">
        <v>207</v>
      </c>
      <c r="B67" s="381"/>
      <c r="C67" s="381"/>
      <c r="D67" s="381"/>
      <c r="E67" s="381"/>
      <c r="F67" s="381"/>
      <c r="G67" s="381"/>
      <c r="H67" s="381"/>
      <c r="I67" s="381"/>
      <c r="J67" s="395"/>
      <c r="K67" s="395"/>
      <c r="L67" s="395"/>
    </row>
    <row r="68" spans="1:12" ht="10.15" customHeight="1">
      <c r="A68" s="306" t="s">
        <v>227</v>
      </c>
    </row>
    <row r="82" spans="1:1" ht="10.5" customHeight="1"/>
    <row r="83" spans="1:1" ht="10.15" customHeight="1">
      <c r="A83" s="214"/>
    </row>
  </sheetData>
  <mergeCells count="9">
    <mergeCell ref="A1:L1"/>
    <mergeCell ref="A67:L67"/>
    <mergeCell ref="A66:I66"/>
    <mergeCell ref="C9:G9"/>
    <mergeCell ref="H9:L9"/>
    <mergeCell ref="A11:L11"/>
    <mergeCell ref="A29:L29"/>
    <mergeCell ref="A47:L47"/>
    <mergeCell ref="A65:L65"/>
  </mergeCells>
  <phoneticPr fontId="18" type="noConversion"/>
  <conditionalFormatting sqref="N25">
    <cfRule type="cellIs" dxfId="29"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IT85"/>
  <sheetViews>
    <sheetView view="pageBreakPreview" topLeftCell="A40"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'3.1.7'!A1:E1+1</f>
        <v>42</v>
      </c>
      <c r="B1" s="383"/>
      <c r="C1" s="383"/>
      <c r="D1" s="383"/>
      <c r="E1" s="383"/>
      <c r="F1" s="383"/>
      <c r="G1" s="383"/>
      <c r="H1" s="383"/>
      <c r="I1" s="383"/>
      <c r="J1" s="383"/>
      <c r="K1" s="383"/>
      <c r="L1" s="383"/>
      <c r="M1" s="58"/>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4.1" customHeight="1">
      <c r="A5" s="13" t="s">
        <v>46</v>
      </c>
      <c r="B5" s="39" t="s">
        <v>134</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137</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42">
        <f t="shared" ref="C12:C28" si="0">SUM(C30+C48)</f>
        <v>7735</v>
      </c>
      <c r="D12" s="42">
        <f t="shared" ref="D12:E12" si="1">SUM(D30+D48)</f>
        <v>17303</v>
      </c>
      <c r="E12" s="42">
        <f t="shared" si="1"/>
        <v>33356</v>
      </c>
      <c r="F12" s="42">
        <f t="shared" ref="F12:G12" si="2">SUM(F30+F48)</f>
        <v>51864</v>
      </c>
      <c r="G12" s="44">
        <f t="shared" si="2"/>
        <v>68907</v>
      </c>
      <c r="H12" s="153">
        <f>IF('AW Schüler'!$D114=0,"x",C12/'AW Schüler'!$D114)</f>
        <v>0.62932226832641769</v>
      </c>
      <c r="I12" s="153">
        <f>IF('AW Schüler'!$G114=0,"x",D12/'AW Schüler'!$G114)</f>
        <v>0.52958099960211791</v>
      </c>
      <c r="J12" s="153">
        <f>IF('AW Schüler'!$J114=0,"x",E12/'AW Schüler'!$J114)</f>
        <v>0.55947668567594766</v>
      </c>
      <c r="K12" s="153">
        <f>IF('AW Schüler'!$M114=0,"x",F12/'AW Schüler'!$M114)</f>
        <v>0.61778158947970274</v>
      </c>
      <c r="L12" s="154">
        <f>IF('AW Schüler'!$P114=0,"x",G12/'AW Schüler'!$P114)</f>
        <v>0.66229347481329837</v>
      </c>
    </row>
    <row r="13" spans="1:13" ht="9" customHeight="1">
      <c r="A13" s="21" t="s">
        <v>81</v>
      </c>
      <c r="B13" s="120"/>
      <c r="C13" s="42">
        <f t="shared" si="0"/>
        <v>616</v>
      </c>
      <c r="D13" s="42">
        <f t="shared" ref="D13:E13" si="3">SUM(D31+D49)</f>
        <v>812</v>
      </c>
      <c r="E13" s="42">
        <f t="shared" si="3"/>
        <v>766</v>
      </c>
      <c r="F13" s="42" t="e">
        <f t="shared" ref="F13:G13" si="4">SUM(F31+F49)</f>
        <v>#VALUE!</v>
      </c>
      <c r="G13" s="44">
        <f t="shared" si="4"/>
        <v>1048</v>
      </c>
      <c r="H13" s="153">
        <f>IF('AW Schüler'!$D115=0,"x",C13/'AW Schüler'!$D115)</f>
        <v>0.31573552024602769</v>
      </c>
      <c r="I13" s="153">
        <f>IF('AW Schüler'!$G115=0,"x",D13/'AW Schüler'!$G115)</f>
        <v>0.41834106130860382</v>
      </c>
      <c r="J13" s="153">
        <f>IF('AW Schüler'!$J115=0,"x",E13/'AW Schüler'!$J115)</f>
        <v>0.4074468085106383</v>
      </c>
      <c r="K13" s="153" t="e">
        <f>IF('AW Schüler'!$M115=0,"x",F13/'AW Schüler'!$M115)</f>
        <v>#VALUE!</v>
      </c>
      <c r="L13" s="154">
        <f>IF('AW Schüler'!$P115=0,"x",G13/'AW Schüler'!$P115)</f>
        <v>0.59276018099547512</v>
      </c>
    </row>
    <row r="14" spans="1:13" ht="9" customHeight="1">
      <c r="A14" s="21" t="s">
        <v>82</v>
      </c>
      <c r="B14" s="120"/>
      <c r="C14" s="42">
        <f t="shared" si="0"/>
        <v>44459</v>
      </c>
      <c r="D14" s="42">
        <f t="shared" ref="D14:E14" si="5">SUM(D32+D50)</f>
        <v>64504</v>
      </c>
      <c r="E14" s="42">
        <f t="shared" si="5"/>
        <v>64668</v>
      </c>
      <c r="F14" s="42">
        <f t="shared" ref="F14:G14" si="6">SUM(F32+F50)</f>
        <v>66709</v>
      </c>
      <c r="G14" s="44">
        <f t="shared" si="6"/>
        <v>65715</v>
      </c>
      <c r="H14" s="153">
        <f>IF('AW Schüler'!$D116=0,"x",C14/'AW Schüler'!$D116)</f>
        <v>0.69935977096474811</v>
      </c>
      <c r="I14" s="153">
        <f>IF('AW Schüler'!$G116=0,"x",D14/'AW Schüler'!$G116)</f>
        <v>0.90702514202148599</v>
      </c>
      <c r="J14" s="153">
        <f>IF('AW Schüler'!$J116=0,"x",E14/'AW Schüler'!$J116)</f>
        <v>0.88579020902391581</v>
      </c>
      <c r="K14" s="153">
        <f>IF('AW Schüler'!$M116=0,"x",F14/'AW Schüler'!$M116)</f>
        <v>0.92263114946821012</v>
      </c>
      <c r="L14" s="154">
        <f>IF('AW Schüler'!$P116=0,"x",G14/'AW Schüler'!$P116)</f>
        <v>0.88033169006537348</v>
      </c>
    </row>
    <row r="15" spans="1:13" ht="9" customHeight="1">
      <c r="A15" s="21" t="s">
        <v>83</v>
      </c>
      <c r="B15" s="120"/>
      <c r="C15" s="42">
        <f t="shared" si="0"/>
        <v>7803</v>
      </c>
      <c r="D15" s="42">
        <f t="shared" ref="D15:E15" si="7">SUM(D33+D51)</f>
        <v>7918</v>
      </c>
      <c r="E15" s="42">
        <f t="shared" si="7"/>
        <v>8139</v>
      </c>
      <c r="F15" s="42">
        <f t="shared" ref="F15:G15" si="8">SUM(F33+F51)</f>
        <v>8571</v>
      </c>
      <c r="G15" s="44">
        <f t="shared" si="8"/>
        <v>9116</v>
      </c>
      <c r="H15" s="153">
        <f>IF('AW Schüler'!$D117=0,"x",C15/'AW Schüler'!$D117)</f>
        <v>0.73654898999433638</v>
      </c>
      <c r="I15" s="153">
        <f>IF('AW Schüler'!$G117=0,"x",D15/'AW Schüler'!$G117)</f>
        <v>0.73355567908097086</v>
      </c>
      <c r="J15" s="153">
        <f>IF('AW Schüler'!$J117=0,"x",E15/'AW Schüler'!$J117)</f>
        <v>0.72676131797481913</v>
      </c>
      <c r="K15" s="153">
        <f>IF('AW Schüler'!$M117=0,"x",F15/'AW Schüler'!$M117)</f>
        <v>0.74653775803501432</v>
      </c>
      <c r="L15" s="154">
        <f>IF('AW Schüler'!$P117=0,"x",G15/'AW Schüler'!$P117)</f>
        <v>0.74367759830314895</v>
      </c>
    </row>
    <row r="16" spans="1:13" ht="9" customHeight="1">
      <c r="A16" s="21" t="s">
        <v>84</v>
      </c>
      <c r="B16" s="120"/>
      <c r="C16" s="42">
        <f t="shared" si="0"/>
        <v>8379</v>
      </c>
      <c r="D16" s="42">
        <f t="shared" ref="D16:E16" si="9">SUM(D34+D52)</f>
        <v>8817</v>
      </c>
      <c r="E16" s="42">
        <f t="shared" si="9"/>
        <v>9517</v>
      </c>
      <c r="F16" s="42">
        <f t="shared" ref="F16:G16" si="10">SUM(F34+F52)</f>
        <v>10095</v>
      </c>
      <c r="G16" s="44">
        <f t="shared" si="10"/>
        <v>10592</v>
      </c>
      <c r="H16" s="153">
        <f>IF('AW Schüler'!$D118=0,"x",C16/'AW Schüler'!$D118)</f>
        <v>0.50233812949640289</v>
      </c>
      <c r="I16" s="153">
        <f>IF('AW Schüler'!$G118=0,"x",D16/'AW Schüler'!$G118)</f>
        <v>0.47049092849519741</v>
      </c>
      <c r="J16" s="153">
        <f>IF('AW Schüler'!$J118=0,"x",E16/'AW Schüler'!$J118)</f>
        <v>0.45757007548439826</v>
      </c>
      <c r="K16" s="153">
        <f>IF('AW Schüler'!$M118=0,"x",F16/'AW Schüler'!$M118)</f>
        <v>0.43933327530681521</v>
      </c>
      <c r="L16" s="154">
        <f>IF('AW Schüler'!$P118=0,"x",G16/'AW Schüler'!$P118)</f>
        <v>0.4335475420572224</v>
      </c>
    </row>
    <row r="17" spans="1:12" ht="9" customHeight="1">
      <c r="A17" s="21" t="s">
        <v>85</v>
      </c>
      <c r="B17" s="120"/>
      <c r="C17" s="42">
        <f t="shared" si="0"/>
        <v>27633</v>
      </c>
      <c r="D17" s="42">
        <f t="shared" ref="D17:E17" si="11">SUM(D35+D53)</f>
        <v>37167</v>
      </c>
      <c r="E17" s="42">
        <f t="shared" si="11"/>
        <v>38174</v>
      </c>
      <c r="F17" s="42">
        <f t="shared" ref="F17:G17" si="12">SUM(F35+F53)</f>
        <v>42197</v>
      </c>
      <c r="G17" s="44">
        <f t="shared" si="12"/>
        <v>44150</v>
      </c>
      <c r="H17" s="153">
        <f>IF('AW Schüler'!$D119=0,"x",C17/'AW Schüler'!$D119)</f>
        <v>0.59260132961612699</v>
      </c>
      <c r="I17" s="153">
        <f>IF('AW Schüler'!$G119=0,"x",D17/'AW Schüler'!$G119)</f>
        <v>0.73804086657797019</v>
      </c>
      <c r="J17" s="153">
        <f>IF('AW Schüler'!$J119=0,"x",E17/'AW Schüler'!$J119)</f>
        <v>0.75838366179275274</v>
      </c>
      <c r="K17" s="153">
        <f>IF('AW Schüler'!$M119=0,"x",F17/'AW Schüler'!$M119)</f>
        <v>0.83745807450334409</v>
      </c>
      <c r="L17" s="154">
        <f>IF('AW Schüler'!$P119=0,"x",G17/'AW Schüler'!$P119)</f>
        <v>0.86977935382190696</v>
      </c>
    </row>
    <row r="18" spans="1:12" ht="9" customHeight="1">
      <c r="A18" s="21" t="s">
        <v>86</v>
      </c>
      <c r="B18" s="120"/>
      <c r="C18" s="42">
        <f t="shared" si="0"/>
        <v>44986</v>
      </c>
      <c r="D18" s="42">
        <f t="shared" ref="D18:E18" si="13">SUM(D36+D54)</f>
        <v>46360</v>
      </c>
      <c r="E18" s="42">
        <f t="shared" si="13"/>
        <v>47166</v>
      </c>
      <c r="F18" s="42">
        <f t="shared" ref="F18:G18" si="14">SUM(F36+F54)</f>
        <v>47106</v>
      </c>
      <c r="G18" s="44">
        <f t="shared" si="14"/>
        <v>48972</v>
      </c>
      <c r="H18" s="182">
        <v>0</v>
      </c>
      <c r="I18" s="182">
        <v>0</v>
      </c>
      <c r="J18" s="182">
        <v>0</v>
      </c>
      <c r="K18" s="182">
        <v>0</v>
      </c>
      <c r="L18" s="196">
        <v>0</v>
      </c>
    </row>
    <row r="19" spans="1:12" ht="9" customHeight="1">
      <c r="A19" s="21" t="s">
        <v>223</v>
      </c>
      <c r="B19" s="120"/>
      <c r="C19" s="42">
        <f t="shared" si="0"/>
        <v>5253</v>
      </c>
      <c r="D19" s="42">
        <f t="shared" ref="D19:E19" si="15">SUM(D37+D55)</f>
        <v>5253</v>
      </c>
      <c r="E19" s="42">
        <f t="shared" si="15"/>
        <v>5532</v>
      </c>
      <c r="F19" s="42">
        <f t="shared" ref="F19:G19" si="16">SUM(F37+F55)</f>
        <v>5378</v>
      </c>
      <c r="G19" s="44">
        <f t="shared" si="16"/>
        <v>5894</v>
      </c>
      <c r="H19" s="153">
        <f>IF('AW Schüler'!$D121=0,"x",C19/'AW Schüler'!$D121)</f>
        <v>0.96244045437889336</v>
      </c>
      <c r="I19" s="153">
        <f>IF('AW Schüler'!$G121=0,"x",D19/'AW Schüler'!$G121)</f>
        <v>0.94853737811484296</v>
      </c>
      <c r="J19" s="153">
        <f>IF('AW Schüler'!$J121=0,"x",E19/'AW Schüler'!$J121)</f>
        <v>0.95891835673426939</v>
      </c>
      <c r="K19" s="153">
        <f>IF('AW Schüler'!$M121=0,"x",F19/'AW Schüler'!$M121)</f>
        <v>0.92041759370186549</v>
      </c>
      <c r="L19" s="154">
        <f>IF('AW Schüler'!$P121=0,"x",G19/'AW Schüler'!$P121)</f>
        <v>0.9443999359077071</v>
      </c>
    </row>
    <row r="20" spans="1:12" ht="9" customHeight="1">
      <c r="A20" s="21" t="s">
        <v>88</v>
      </c>
      <c r="B20" s="120"/>
      <c r="C20" s="42">
        <f t="shared" si="0"/>
        <v>38839</v>
      </c>
      <c r="D20" s="42">
        <f t="shared" ref="D20:E20" si="17">SUM(D38+D56)</f>
        <v>43502</v>
      </c>
      <c r="E20" s="42">
        <f t="shared" si="17"/>
        <v>51246</v>
      </c>
      <c r="F20" s="42">
        <f t="shared" ref="F20:G20" si="18">SUM(F38+F56)</f>
        <v>55784</v>
      </c>
      <c r="G20" s="44">
        <f t="shared" si="18"/>
        <v>59469</v>
      </c>
      <c r="H20" s="182">
        <v>0</v>
      </c>
      <c r="I20" s="182">
        <v>0</v>
      </c>
      <c r="J20" s="182">
        <v>0</v>
      </c>
      <c r="K20" s="182">
        <v>0</v>
      </c>
      <c r="L20" s="196">
        <v>0</v>
      </c>
    </row>
    <row r="21" spans="1:12" ht="9" customHeight="1">
      <c r="A21" s="21" t="s">
        <v>89</v>
      </c>
      <c r="B21" s="120"/>
      <c r="C21" s="42">
        <f t="shared" si="0"/>
        <v>193218</v>
      </c>
      <c r="D21" s="42">
        <f t="shared" ref="D21:E21" si="19">SUM(D39+D57)</f>
        <v>200725</v>
      </c>
      <c r="E21" s="42">
        <f t="shared" si="19"/>
        <v>212016</v>
      </c>
      <c r="F21" s="42">
        <f t="shared" ref="F21:G21" si="20">SUM(F39+F57)</f>
        <v>224759</v>
      </c>
      <c r="G21" s="44">
        <f t="shared" si="20"/>
        <v>240307</v>
      </c>
      <c r="H21" s="153">
        <f>IF('AW Schüler'!$D123=0,"x",C21/'AW Schüler'!$D123)</f>
        <v>0.98252768822398728</v>
      </c>
      <c r="I21" s="153">
        <f>IF('AW Schüler'!$G123=0,"x",D21/'AW Schüler'!$G123)</f>
        <v>0.98330018517248474</v>
      </c>
      <c r="J21" s="153">
        <f>IF('AW Schüler'!$J123=0,"x",E21/'AW Schüler'!$J123)</f>
        <v>0.98456394538868763</v>
      </c>
      <c r="K21" s="153">
        <f>IF('AW Schüler'!$M123=0,"x",F21/'AW Schüler'!$M123)</f>
        <v>0.98425689937553096</v>
      </c>
      <c r="L21" s="154">
        <f>IF('AW Schüler'!$P123=0,"x",G21/'AW Schüler'!$P123)</f>
        <v>0.98280649950308985</v>
      </c>
    </row>
    <row r="22" spans="1:12" ht="9" customHeight="1">
      <c r="A22" s="21" t="s">
        <v>90</v>
      </c>
      <c r="B22" s="120"/>
      <c r="C22" s="42">
        <f t="shared" si="0"/>
        <v>9438</v>
      </c>
      <c r="D22" s="42">
        <f t="shared" ref="D22:E22" si="21">SUM(D40+D58)</f>
        <v>10226</v>
      </c>
      <c r="E22" s="42">
        <f t="shared" si="21"/>
        <v>10352</v>
      </c>
      <c r="F22" s="42">
        <f t="shared" ref="F22:G22" si="22">SUM(F40+F58)</f>
        <v>10423</v>
      </c>
      <c r="G22" s="44">
        <f t="shared" si="22"/>
        <v>10665</v>
      </c>
      <c r="H22" s="153">
        <f>IF('AW Schüler'!$D124=0,"x",C22/'AW Schüler'!$D124)</f>
        <v>0.28706125676744326</v>
      </c>
      <c r="I22" s="153">
        <f>IF('AW Schüler'!$G124=0,"x",D22/'AW Schüler'!$G124)</f>
        <v>0.30029659648195461</v>
      </c>
      <c r="J22" s="153">
        <f>IF('AW Schüler'!$J124=0,"x",E22/'AW Schüler'!$J124)</f>
        <v>0.29787356487209737</v>
      </c>
      <c r="K22" s="153">
        <f>IF('AW Schüler'!$M124=0,"x",F22/'AW Schüler'!$M124)</f>
        <v>0.29231286984322852</v>
      </c>
      <c r="L22" s="154">
        <f>IF('AW Schüler'!$P124=0,"x",G22/'AW Schüler'!$P124)</f>
        <v>0.29432868773285498</v>
      </c>
    </row>
    <row r="23" spans="1:12" ht="9" customHeight="1">
      <c r="A23" s="21" t="s">
        <v>91</v>
      </c>
      <c r="B23" s="120"/>
      <c r="C23" s="42">
        <f t="shared" si="0"/>
        <v>1969</v>
      </c>
      <c r="D23" s="42">
        <f t="shared" ref="D23:E23" si="23">SUM(D41+D59)</f>
        <v>3726</v>
      </c>
      <c r="E23" s="42">
        <f t="shared" si="23"/>
        <v>5469</v>
      </c>
      <c r="F23" s="42">
        <f t="shared" ref="F23:G23" si="24">SUM(F41+F59)</f>
        <v>6367</v>
      </c>
      <c r="G23" s="44">
        <f t="shared" si="24"/>
        <v>6859</v>
      </c>
      <c r="H23" s="153">
        <f>IF('AW Schüler'!$D125=0,"x",C23/'AW Schüler'!$D125)</f>
        <v>0.1428675083442171</v>
      </c>
      <c r="I23" s="153">
        <f>IF('AW Schüler'!$G125=0,"x",D23/'AW Schüler'!$G125)</f>
        <v>0.23444283646888567</v>
      </c>
      <c r="J23" s="153">
        <f>IF('AW Schüler'!$J125=0,"x",E23/'AW Schüler'!$J125)</f>
        <v>0.29913033965979324</v>
      </c>
      <c r="K23" s="153">
        <f>IF('AW Schüler'!$M125=0,"x",F23/'AW Schüler'!$M125)</f>
        <v>0.29489138993098979</v>
      </c>
      <c r="L23" s="154">
        <f>IF('AW Schüler'!$P125=0,"x",G23/'AW Schüler'!$P125)</f>
        <v>0.25046558334854846</v>
      </c>
    </row>
    <row r="24" spans="1:12" ht="9" customHeight="1">
      <c r="A24" s="21" t="s">
        <v>92</v>
      </c>
      <c r="B24" s="120"/>
      <c r="C24" s="198">
        <f t="shared" si="0"/>
        <v>0</v>
      </c>
      <c r="D24" s="198">
        <f t="shared" ref="D24:E24" si="25">SUM(D42+D60)</f>
        <v>0</v>
      </c>
      <c r="E24" s="198">
        <f t="shared" si="25"/>
        <v>0</v>
      </c>
      <c r="F24" s="198">
        <f t="shared" ref="F24:G24" si="26">SUM(F42+F60)</f>
        <v>0</v>
      </c>
      <c r="G24" s="199">
        <f t="shared" si="26"/>
        <v>0</v>
      </c>
      <c r="H24" s="153" t="str">
        <f>IF('AW Schüler'!$D126=0,"x",C24/'AW Schüler'!$D126)</f>
        <v>x</v>
      </c>
      <c r="I24" s="153" t="str">
        <f>IF('AW Schüler'!$G126=0,"x",D24/'AW Schüler'!$G126)</f>
        <v>x</v>
      </c>
      <c r="J24" s="153" t="str">
        <f>IF('AW Schüler'!$J126=0,"x",E24/'AW Schüler'!$J126)</f>
        <v>x</v>
      </c>
      <c r="K24" s="153" t="str">
        <f>IF('AW Schüler'!$M126=0,"x",F24/'AW Schüler'!$M126)</f>
        <v>x</v>
      </c>
      <c r="L24" s="154" t="str">
        <f>IF('AW Schüler'!$P126=0,"x",G24/'AW Schüler'!$P126)</f>
        <v>x</v>
      </c>
    </row>
    <row r="25" spans="1:12" ht="9" customHeight="1">
      <c r="A25" s="21" t="s">
        <v>93</v>
      </c>
      <c r="B25" s="120"/>
      <c r="C25" s="42">
        <f t="shared" si="0"/>
        <v>2060</v>
      </c>
      <c r="D25" s="42">
        <f t="shared" ref="D25:E25" si="27">SUM(D43+D61)</f>
        <v>2093</v>
      </c>
      <c r="E25" s="42">
        <f t="shared" si="27"/>
        <v>2786</v>
      </c>
      <c r="F25" s="42">
        <f t="shared" ref="F25:G25" si="28">SUM(F43+F61)</f>
        <v>4107</v>
      </c>
      <c r="G25" s="44">
        <f t="shared" si="28"/>
        <v>4283</v>
      </c>
      <c r="H25" s="182">
        <v>0</v>
      </c>
      <c r="I25" s="182">
        <v>0</v>
      </c>
      <c r="J25" s="182">
        <v>0</v>
      </c>
      <c r="K25" s="182">
        <v>0</v>
      </c>
      <c r="L25" s="196">
        <v>0</v>
      </c>
    </row>
    <row r="26" spans="1:12" ht="9" customHeight="1">
      <c r="A26" s="21" t="s">
        <v>226</v>
      </c>
      <c r="B26" s="120"/>
      <c r="C26" s="42">
        <f t="shared" si="0"/>
        <v>24357</v>
      </c>
      <c r="D26" s="42">
        <f t="shared" ref="D26:E26" si="29">SUM(D44+D62)</f>
        <v>27492</v>
      </c>
      <c r="E26" s="42">
        <f t="shared" si="29"/>
        <v>29729</v>
      </c>
      <c r="F26" s="42">
        <f t="shared" ref="F26:G26" si="30">SUM(F44+F62)</f>
        <v>31083</v>
      </c>
      <c r="G26" s="44">
        <f t="shared" si="30"/>
        <v>31701</v>
      </c>
      <c r="H26" s="153">
        <f>IF('AW Schüler'!$D128=0,"x",C26/'AW Schüler'!$D128)</f>
        <v>0.37227181023415051</v>
      </c>
      <c r="I26" s="153">
        <f>IF('AW Schüler'!$G128=0,"x",D26/'AW Schüler'!$G128)</f>
        <v>0.36985914356056021</v>
      </c>
      <c r="J26" s="153">
        <f>IF('AW Schüler'!$J128=0,"x",E26/'AW Schüler'!$J128)</f>
        <v>0.36778295992973165</v>
      </c>
      <c r="K26" s="153">
        <f>IF('AW Schüler'!$M128=0,"x",F26/'AW Schüler'!$M128)</f>
        <v>0.37008417768993557</v>
      </c>
      <c r="L26" s="154">
        <f>IF('AW Schüler'!$P128=0,"x",G26/'AW Schüler'!$P128)</f>
        <v>0.3648490010127981</v>
      </c>
    </row>
    <row r="27" spans="1:12" ht="9" customHeight="1">
      <c r="A27" s="21" t="s">
        <v>95</v>
      </c>
      <c r="B27" s="120"/>
      <c r="C27" s="42">
        <f t="shared" si="0"/>
        <v>5204</v>
      </c>
      <c r="D27" s="42">
        <f t="shared" ref="D27:E27" si="31">SUM(D45+D63)</f>
        <v>6322</v>
      </c>
      <c r="E27" s="42">
        <f t="shared" si="31"/>
        <v>7949</v>
      </c>
      <c r="F27" s="42">
        <f t="shared" ref="F27:G27" si="32">SUM(F45+F63)</f>
        <v>9004</v>
      </c>
      <c r="G27" s="44">
        <f t="shared" si="32"/>
        <v>10678</v>
      </c>
      <c r="H27" s="153">
        <f>IF('AW Schüler'!$D129=0,"x",C27/'AW Schüler'!$D129)</f>
        <v>0.77822640945117394</v>
      </c>
      <c r="I27" s="153">
        <f>IF('AW Schüler'!$G129=0,"x",D27/'AW Schüler'!$G129)</f>
        <v>0.70291305314654218</v>
      </c>
      <c r="J27" s="153">
        <f>IF('AW Schüler'!$J129=0,"x",E27/'AW Schüler'!$J129)</f>
        <v>0.6876892464746085</v>
      </c>
      <c r="K27" s="153">
        <f>IF('AW Schüler'!$M129=0,"x",F27/'AW Schüler'!$M129)</f>
        <v>0.63830993903303557</v>
      </c>
      <c r="L27" s="154">
        <f>IF('AW Schüler'!$P129=0,"x",G27/'AW Schüler'!$P129)</f>
        <v>0.59810676076849834</v>
      </c>
    </row>
    <row r="28" spans="1:12" ht="9" customHeight="1">
      <c r="A28" s="21" t="s">
        <v>96</v>
      </c>
      <c r="B28" s="120"/>
      <c r="C28" s="42">
        <f t="shared" si="0"/>
        <v>421949</v>
      </c>
      <c r="D28" s="42">
        <f t="shared" ref="D28:E28" si="33">SUM(D46+D64)</f>
        <v>482220</v>
      </c>
      <c r="E28" s="42">
        <f t="shared" si="33"/>
        <v>526865</v>
      </c>
      <c r="F28" s="42">
        <f t="shared" ref="F28:G28" si="34">SUM(F46+F64)</f>
        <v>574398</v>
      </c>
      <c r="G28" s="44">
        <f t="shared" si="34"/>
        <v>618356</v>
      </c>
      <c r="H28" s="153">
        <f>IF('AW Schüler'!$D130=0,"x",C28/'AW Schüler'!$D130)</f>
        <v>0.72446053788253395</v>
      </c>
      <c r="I28" s="153">
        <f>IF('AW Schüler'!$G130=0,"x",D28/'AW Schüler'!$G130)</f>
        <v>0.74738225575469763</v>
      </c>
      <c r="J28" s="153">
        <f>IF('AW Schüler'!$J130=0,"x",E28/'AW Schüler'!$J130)</f>
        <v>0.74536186900339252</v>
      </c>
      <c r="K28" s="153">
        <f>IF('AW Schüler'!$M130=0,"x",F28/'AW Schüler'!$M130)</f>
        <v>0.75299086811864369</v>
      </c>
      <c r="L28" s="154">
        <f>IF('AW Schüler'!$P130=0,"x",G28/'AW Schüler'!$P130)</f>
        <v>0.75027815896982297</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23">
        <f>'3.2.8'!C30+'3.3.8'!C30</f>
        <v>6986</v>
      </c>
      <c r="D30" s="23">
        <f>'3.2.8'!D30+'3.3.8'!D30</f>
        <v>13769</v>
      </c>
      <c r="E30" s="23">
        <f>'3.2.8'!E30+'3.3.8'!E30</f>
        <v>27580</v>
      </c>
      <c r="F30" s="23">
        <f>'3.2.8'!F30+'3.3.8'!F30</f>
        <v>43640</v>
      </c>
      <c r="G30" s="34">
        <f>'3.2.8'!G30+'3.3.8'!G30</f>
        <v>60022</v>
      </c>
      <c r="H30" s="155">
        <f>IF('AW Schüler'!$D114=0,"x",C30/'AW Schüler'!$D114)</f>
        <v>0.56838336994548855</v>
      </c>
      <c r="I30" s="155">
        <f>IF('AW Schüler'!$G114=0,"x",D30/'AW Schüler'!$G114)</f>
        <v>0.42141829645272855</v>
      </c>
      <c r="J30" s="155">
        <f>IF('AW Schüler'!$J114=0,"x",E30/'AW Schüler'!$J114)</f>
        <v>0.46259644414625967</v>
      </c>
      <c r="K30" s="155">
        <f>IF('AW Schüler'!$M114=0,"x",F30/'AW Schüler'!$M114)</f>
        <v>0.51982085000952927</v>
      </c>
      <c r="L30" s="156">
        <f>IF('AW Schüler'!$P114=0,"x",G30/'AW Schüler'!$P114)</f>
        <v>0.57689609103928186</v>
      </c>
    </row>
    <row r="31" spans="1:12" ht="9" customHeight="1">
      <c r="A31" s="21" t="s">
        <v>81</v>
      </c>
      <c r="B31" s="120"/>
      <c r="C31" s="23">
        <f>'3.2.8'!C31+'3.3.8'!C31</f>
        <v>502</v>
      </c>
      <c r="D31" s="23">
        <f>'3.2.8'!D31+'3.3.8'!D31</f>
        <v>690</v>
      </c>
      <c r="E31" s="23">
        <f>'3.2.8'!E31+'3.3.8'!E31</f>
        <v>692</v>
      </c>
      <c r="F31" s="23" t="e">
        <f>'3.2.8'!F31+'3.3.8'!F31</f>
        <v>#VALUE!</v>
      </c>
      <c r="G31" s="34">
        <f>'3.2.8'!G31+'3.3.8'!G31</f>
        <v>948</v>
      </c>
      <c r="H31" s="155">
        <f>IF('AW Schüler'!$D115=0,"x",C31/'AW Schüler'!$D115)</f>
        <v>0.25730394669400308</v>
      </c>
      <c r="I31" s="155">
        <f>IF('AW Schüler'!$G115=0,"x",D31/'AW Schüler'!$G115)</f>
        <v>0.3554868624420402</v>
      </c>
      <c r="J31" s="155">
        <f>IF('AW Schüler'!$J115=0,"x",E31/'AW Schüler'!$J115)</f>
        <v>0.3680851063829787</v>
      </c>
      <c r="K31" s="155" t="e">
        <f>IF('AW Schüler'!$M115=0,"x",F31/'AW Schüler'!$M115)</f>
        <v>#VALUE!</v>
      </c>
      <c r="L31" s="156">
        <f>IF('AW Schüler'!$P115=0,"x",G31/'AW Schüler'!$P115)</f>
        <v>0.53619909502262442</v>
      </c>
    </row>
    <row r="32" spans="1:12" ht="9" customHeight="1">
      <c r="A32" s="21" t="s">
        <v>82</v>
      </c>
      <c r="B32" s="120"/>
      <c r="C32" s="23">
        <f>'3.2.8'!C32+'3.3.8'!C32</f>
        <v>36370</v>
      </c>
      <c r="D32" s="23">
        <f>'3.2.8'!D32+'3.3.8'!D32</f>
        <v>50826</v>
      </c>
      <c r="E32" s="23">
        <f>'3.2.8'!E32+'3.3.8'!E32</f>
        <v>54315</v>
      </c>
      <c r="F32" s="23">
        <f>'3.2.8'!F32+'3.3.8'!F32</f>
        <v>50632</v>
      </c>
      <c r="G32" s="34">
        <f>'3.2.8'!G32+'3.3.8'!G32</f>
        <v>48580</v>
      </c>
      <c r="H32" s="155">
        <f>IF('AW Schüler'!$D116=0,"x",C32/'AW Schüler'!$D116)</f>
        <v>0.57211621651381916</v>
      </c>
      <c r="I32" s="155">
        <f>IF('AW Schüler'!$G116=0,"x",D32/'AW Schüler'!$G116)</f>
        <v>0.71469148996006526</v>
      </c>
      <c r="J32" s="155">
        <f>IF('AW Schüler'!$J116=0,"x",E32/'AW Schüler'!$J116)</f>
        <v>0.74397994685368329</v>
      </c>
      <c r="K32" s="155">
        <f>IF('AW Schüler'!$M116=0,"x",F32/'AW Schüler'!$M116)</f>
        <v>0.7002752306266683</v>
      </c>
      <c r="L32" s="156">
        <f>IF('AW Schüler'!$P116=0,"x",G32/'AW Schüler'!$P116)</f>
        <v>0.65078769692423111</v>
      </c>
    </row>
    <row r="33" spans="1:12" ht="9" customHeight="1">
      <c r="A33" s="21" t="s">
        <v>83</v>
      </c>
      <c r="B33" s="120"/>
      <c r="C33" s="23">
        <f>'3.2.8'!C33+'3.3.8'!C33</f>
        <v>6222</v>
      </c>
      <c r="D33" s="23">
        <f>'3.2.8'!D33+'3.3.8'!D33</f>
        <v>6535</v>
      </c>
      <c r="E33" s="23">
        <f>'3.2.8'!E33+'3.3.8'!E33</f>
        <v>6707</v>
      </c>
      <c r="F33" s="23">
        <f>'3.2.8'!F33+'3.3.8'!F33</f>
        <v>7005</v>
      </c>
      <c r="G33" s="34">
        <f>'3.2.8'!G33+'3.3.8'!G33</f>
        <v>7427</v>
      </c>
      <c r="H33" s="155">
        <f>IF('AW Schüler'!$D117=0,"x",C33/'AW Schüler'!$D117)</f>
        <v>0.58731357372097415</v>
      </c>
      <c r="I33" s="155">
        <f>IF('AW Schüler'!$G117=0,"x",D33/'AW Schüler'!$G117)</f>
        <v>0.60542894200481745</v>
      </c>
      <c r="J33" s="155">
        <f>IF('AW Schüler'!$J117=0,"x",E33/'AW Schüler'!$J117)</f>
        <v>0.59889275828198951</v>
      </c>
      <c r="K33" s="155">
        <f>IF('AW Schüler'!$M117=0,"x",F33/'AW Schüler'!$M117)</f>
        <v>0.6101384896785994</v>
      </c>
      <c r="L33" s="156">
        <f>IF('AW Schüler'!$P117=0,"x",G33/'AW Schüler'!$P117)</f>
        <v>0.60589003100016314</v>
      </c>
    </row>
    <row r="34" spans="1:12" ht="9" customHeight="1">
      <c r="A34" s="21" t="s">
        <v>84</v>
      </c>
      <c r="B34" s="120"/>
      <c r="C34" s="23">
        <f>'3.2.8'!C34+'3.3.8'!C34</f>
        <v>7935</v>
      </c>
      <c r="D34" s="23">
        <f>'3.2.8'!D34+'3.3.8'!D34</f>
        <v>8318</v>
      </c>
      <c r="E34" s="23">
        <f>'3.2.8'!E34+'3.3.8'!E34</f>
        <v>9082</v>
      </c>
      <c r="F34" s="23">
        <f>'3.2.8'!F34+'3.3.8'!F34</f>
        <v>9619</v>
      </c>
      <c r="G34" s="34">
        <f>'3.2.8'!G34+'3.3.8'!G34</f>
        <v>10094</v>
      </c>
      <c r="H34" s="155">
        <f>IF('AW Schüler'!$D118=0,"x",C34/'AW Schüler'!$D118)</f>
        <v>0.47571942446043164</v>
      </c>
      <c r="I34" s="155">
        <f>IF('AW Schüler'!$G118=0,"x",D34/'AW Schüler'!$G118)</f>
        <v>0.44386339381003204</v>
      </c>
      <c r="J34" s="155">
        <f>IF('AW Schüler'!$J118=0,"x",E34/'AW Schüler'!$J118)</f>
        <v>0.43665560844271362</v>
      </c>
      <c r="K34" s="155">
        <f>IF('AW Schüler'!$M118=0,"x",F34/'AW Schüler'!$M118)</f>
        <v>0.41861780833841067</v>
      </c>
      <c r="L34" s="156">
        <f>IF('AW Schüler'!$P118=0,"x",G34/'AW Schüler'!$P118)</f>
        <v>0.41316360361835375</v>
      </c>
    </row>
    <row r="35" spans="1:12" ht="9" customHeight="1">
      <c r="A35" s="21" t="s">
        <v>85</v>
      </c>
      <c r="B35" s="120"/>
      <c r="C35" s="23">
        <f>'3.2.8'!C35+'3.3.8'!C35</f>
        <v>22062</v>
      </c>
      <c r="D35" s="23">
        <f>'3.2.8'!D35+'3.3.8'!D35</f>
        <v>29356</v>
      </c>
      <c r="E35" s="23">
        <f>'3.2.8'!E35+'3.3.8'!E35</f>
        <v>27940</v>
      </c>
      <c r="F35" s="23">
        <f>'3.2.8'!F35+'3.3.8'!F35</f>
        <v>27976</v>
      </c>
      <c r="G35" s="34">
        <f>'3.2.8'!G35+'3.3.8'!G35</f>
        <v>31647</v>
      </c>
      <c r="H35" s="155">
        <f>IF('AW Schüler'!$D119=0,"x",C35/'AW Schüler'!$D119)</f>
        <v>0.47312888698262923</v>
      </c>
      <c r="I35" s="155">
        <f>IF('AW Schüler'!$G119=0,"x",D35/'AW Schüler'!$G119)</f>
        <v>0.58293453007406815</v>
      </c>
      <c r="J35" s="155">
        <f>IF('AW Schüler'!$J119=0,"x",E35/'AW Schüler'!$J119)</f>
        <v>0.55506993006993011</v>
      </c>
      <c r="K35" s="155">
        <f>IF('AW Schüler'!$M119=0,"x",F35/'AW Schüler'!$M119)</f>
        <v>0.55522257725206903</v>
      </c>
      <c r="L35" s="156">
        <f>IF('AW Schüler'!$P119=0,"x",G35/'AW Schüler'!$P119)</f>
        <v>0.62346335697399524</v>
      </c>
    </row>
    <row r="36" spans="1:12" ht="9" customHeight="1">
      <c r="A36" s="21" t="s">
        <v>86</v>
      </c>
      <c r="B36" s="120"/>
      <c r="C36" s="23">
        <f>'3.2.8'!C36+'3.3.8'!C36</f>
        <v>6550</v>
      </c>
      <c r="D36" s="23">
        <f>'3.2.8'!D36+'3.3.8'!D36</f>
        <v>8196</v>
      </c>
      <c r="E36" s="23">
        <f>'3.2.8'!E36+'3.3.8'!E36</f>
        <v>8129</v>
      </c>
      <c r="F36" s="23">
        <f>'3.2.8'!F36+'3.3.8'!F36</f>
        <v>8455</v>
      </c>
      <c r="G36" s="34">
        <f>'3.2.8'!G36+'3.3.8'!G36</f>
        <v>9118</v>
      </c>
      <c r="H36" s="183">
        <v>0</v>
      </c>
      <c r="I36" s="183">
        <v>0</v>
      </c>
      <c r="J36" s="183">
        <v>0</v>
      </c>
      <c r="K36" s="183">
        <v>0</v>
      </c>
      <c r="L36" s="197">
        <v>0</v>
      </c>
    </row>
    <row r="37" spans="1:12" ht="9" customHeight="1">
      <c r="A37" s="21" t="s">
        <v>223</v>
      </c>
      <c r="B37" s="120"/>
      <c r="C37" s="23">
        <f>'3.2.8'!C37+'3.3.8'!C37</f>
        <v>4713</v>
      </c>
      <c r="D37" s="23">
        <f>'3.2.8'!D37+'3.3.8'!D37</f>
        <v>4659</v>
      </c>
      <c r="E37" s="23">
        <f>'3.2.8'!E37+'3.3.8'!E37</f>
        <v>4947</v>
      </c>
      <c r="F37" s="23">
        <f>'3.2.8'!F37+'3.3.8'!F37</f>
        <v>4790</v>
      </c>
      <c r="G37" s="34">
        <f>'3.2.8'!G37+'3.3.8'!G37</f>
        <v>5635</v>
      </c>
      <c r="H37" s="155">
        <f>IF('AW Schüler'!$D121=0,"x",C37/'AW Schüler'!$D121)</f>
        <v>0.86350311469402707</v>
      </c>
      <c r="I37" s="155">
        <f>IF('AW Schüler'!$G121=0,"x",D37/'AW Schüler'!$G121)</f>
        <v>0.84127843986998918</v>
      </c>
      <c r="J37" s="155">
        <f>IF('AW Schüler'!$J121=0,"x",E37/'AW Schüler'!$J121)</f>
        <v>0.85751430057202294</v>
      </c>
      <c r="K37" s="155">
        <f>IF('AW Schüler'!$M121=0,"x",F37/'AW Schüler'!$M121)</f>
        <v>0.81978435735067601</v>
      </c>
      <c r="L37" s="156">
        <f>IF('AW Schüler'!$P121=0,"x",G37/'AW Schüler'!$P121)</f>
        <v>0.90290017625380548</v>
      </c>
    </row>
    <row r="38" spans="1:12" ht="9" customHeight="1">
      <c r="A38" s="21" t="s">
        <v>88</v>
      </c>
      <c r="B38" s="120"/>
      <c r="C38" s="23">
        <f>'3.2.8'!C38+'3.3.8'!C38</f>
        <v>26125</v>
      </c>
      <c r="D38" s="23">
        <f>'3.2.8'!D38+'3.3.8'!D38</f>
        <v>26144</v>
      </c>
      <c r="E38" s="23">
        <f>'3.2.8'!E38+'3.3.8'!E38</f>
        <v>38023</v>
      </c>
      <c r="F38" s="23">
        <f>'3.2.8'!F38+'3.3.8'!F38</f>
        <v>53581</v>
      </c>
      <c r="G38" s="34">
        <f>'3.2.8'!G38+'3.3.8'!G38</f>
        <v>57963</v>
      </c>
      <c r="H38" s="183">
        <v>0</v>
      </c>
      <c r="I38" s="183">
        <v>0</v>
      </c>
      <c r="J38" s="183">
        <v>0</v>
      </c>
      <c r="K38" s="183">
        <v>0</v>
      </c>
      <c r="L38" s="197">
        <v>0</v>
      </c>
    </row>
    <row r="39" spans="1:12" ht="9" customHeight="1">
      <c r="A39" s="21" t="s">
        <v>89</v>
      </c>
      <c r="B39" s="120"/>
      <c r="C39" s="23">
        <f>'3.2.8'!C39+'3.3.8'!C39</f>
        <v>193218</v>
      </c>
      <c r="D39" s="23">
        <f>'3.2.8'!D39+'3.3.8'!D39</f>
        <v>200657</v>
      </c>
      <c r="E39" s="23">
        <f>'3.2.8'!E39+'3.3.8'!E39</f>
        <v>211727</v>
      </c>
      <c r="F39" s="23">
        <f>'3.2.8'!F39+'3.3.8'!F39</f>
        <v>224346</v>
      </c>
      <c r="G39" s="34">
        <f>'3.2.8'!G39+'3.3.8'!G39</f>
        <v>239773</v>
      </c>
      <c r="H39" s="155">
        <f>IF('AW Schüler'!$D123=0,"x",C39/'AW Schüler'!$D123)</f>
        <v>0.98252768822398728</v>
      </c>
      <c r="I39" s="155">
        <f>IF('AW Schüler'!$G123=0,"x",D39/'AW Schüler'!$G123)</f>
        <v>0.98296707064967126</v>
      </c>
      <c r="J39" s="155">
        <f>IF('AW Schüler'!$J123=0,"x",E39/'AW Schüler'!$J123)</f>
        <v>0.98322188167548996</v>
      </c>
      <c r="K39" s="155">
        <f>IF('AW Schüler'!$M123=0,"x",F39/'AW Schüler'!$M123)</f>
        <v>0.98244830394913163</v>
      </c>
      <c r="L39" s="156">
        <f>IF('AW Schüler'!$P123=0,"x",G39/'AW Schüler'!$P123)</f>
        <v>0.98062254867879151</v>
      </c>
    </row>
    <row r="40" spans="1:12" ht="9" customHeight="1">
      <c r="A40" s="21" t="s">
        <v>90</v>
      </c>
      <c r="B40" s="120"/>
      <c r="C40" s="23">
        <f>'3.2.8'!C40+'3.3.8'!C40</f>
        <v>9438</v>
      </c>
      <c r="D40" s="23">
        <f>'3.2.8'!D40+'3.3.8'!D40</f>
        <v>10226</v>
      </c>
      <c r="E40" s="23">
        <f>'3.2.8'!E40+'3.3.8'!E40</f>
        <v>10352</v>
      </c>
      <c r="F40" s="23">
        <f>'3.2.8'!F40+'3.3.8'!F40</f>
        <v>10423</v>
      </c>
      <c r="G40" s="34">
        <f>'3.2.8'!G40+'3.3.8'!G40</f>
        <v>10665</v>
      </c>
      <c r="H40" s="155">
        <f>IF('AW Schüler'!$D124=0,"x",C40/'AW Schüler'!$D124)</f>
        <v>0.28706125676744326</v>
      </c>
      <c r="I40" s="155">
        <f>IF('AW Schüler'!$G124=0,"x",D40/'AW Schüler'!$G124)</f>
        <v>0.30029659648195461</v>
      </c>
      <c r="J40" s="155">
        <f>IF('AW Schüler'!$J124=0,"x",E40/'AW Schüler'!$J124)</f>
        <v>0.29787356487209737</v>
      </c>
      <c r="K40" s="155">
        <f>IF('AW Schüler'!$M124=0,"x",F40/'AW Schüler'!$M124)</f>
        <v>0.29231286984322852</v>
      </c>
      <c r="L40" s="156">
        <f>IF('AW Schüler'!$P124=0,"x",G40/'AW Schüler'!$P124)</f>
        <v>0.29432868773285498</v>
      </c>
    </row>
    <row r="41" spans="1:12" ht="9" customHeight="1">
      <c r="A41" s="21" t="s">
        <v>91</v>
      </c>
      <c r="B41" s="120"/>
      <c r="C41" s="23">
        <f>'3.2.8'!C41+'3.3.8'!C41</f>
        <v>1234</v>
      </c>
      <c r="D41" s="23">
        <f>'3.2.8'!D41+'3.3.8'!D41</f>
        <v>1967</v>
      </c>
      <c r="E41" s="23">
        <f>'3.2.8'!E41+'3.3.8'!E41</f>
        <v>2895</v>
      </c>
      <c r="F41" s="23">
        <f>'3.2.8'!F41+'3.3.8'!F41</f>
        <v>3601</v>
      </c>
      <c r="G41" s="34">
        <f>'3.2.8'!G41+'3.3.8'!G41</f>
        <v>4055</v>
      </c>
      <c r="H41" s="155">
        <f>IF('AW Schüler'!$D125=0,"x",C41/'AW Schüler'!$D125)</f>
        <v>8.9537077347264543E-2</v>
      </c>
      <c r="I41" s="155">
        <f>IF('AW Schüler'!$G125=0,"x",D41/'AW Schüler'!$G125)</f>
        <v>0.12376517963883471</v>
      </c>
      <c r="J41" s="155">
        <f>IF('AW Schüler'!$J125=0,"x",E41/'AW Schüler'!$J125)</f>
        <v>0.15834381666028552</v>
      </c>
      <c r="K41" s="155">
        <f>IF('AW Schüler'!$M125=0,"x",F41/'AW Schüler'!$M125)</f>
        <v>0.1667824556528183</v>
      </c>
      <c r="L41" s="156">
        <f>IF('AW Schüler'!$P125=0,"x",G41/'AW Schüler'!$P125)</f>
        <v>0.14807376300894651</v>
      </c>
    </row>
    <row r="42" spans="1:12" ht="9" customHeight="1">
      <c r="A42" s="21" t="s">
        <v>92</v>
      </c>
      <c r="B42" s="120"/>
      <c r="C42" s="193">
        <f>'3.2.8'!C42+'3.3.8'!C42</f>
        <v>0</v>
      </c>
      <c r="D42" s="193">
        <f>'3.2.8'!D42+'3.3.8'!D42</f>
        <v>0</v>
      </c>
      <c r="E42" s="193">
        <f>'3.2.8'!E42+'3.3.8'!E42</f>
        <v>0</v>
      </c>
      <c r="F42" s="193">
        <f>'3.2.8'!F42+'3.3.8'!F42</f>
        <v>0</v>
      </c>
      <c r="G42" s="194">
        <f>'3.2.8'!G42+'3.3.8'!G42</f>
        <v>0</v>
      </c>
      <c r="H42" s="155" t="str">
        <f>IF('AW Schüler'!$D126=0,"x",C42/'AW Schüler'!$D126)</f>
        <v>x</v>
      </c>
      <c r="I42" s="155" t="str">
        <f>IF('AW Schüler'!$G126=0,"x",D42/'AW Schüler'!$G126)</f>
        <v>x</v>
      </c>
      <c r="J42" s="155" t="str">
        <f>IF('AW Schüler'!$J126=0,"x",E42/'AW Schüler'!$J126)</f>
        <v>x</v>
      </c>
      <c r="K42" s="155" t="str">
        <f>IF('AW Schüler'!$M126=0,"x",F42/'AW Schüler'!$M126)</f>
        <v>x</v>
      </c>
      <c r="L42" s="156" t="str">
        <f>IF('AW Schüler'!$P126=0,"x",G42/'AW Schüler'!$P126)</f>
        <v>x</v>
      </c>
    </row>
    <row r="43" spans="1:12" ht="9" customHeight="1">
      <c r="A43" s="21" t="s">
        <v>93</v>
      </c>
      <c r="B43" s="120"/>
      <c r="C43" s="23">
        <f>'3.2.8'!C43+'3.3.8'!C43</f>
        <v>676</v>
      </c>
      <c r="D43" s="23">
        <f>'3.2.8'!D43+'3.3.8'!D43</f>
        <v>637</v>
      </c>
      <c r="E43" s="23">
        <f>'3.2.8'!E43+'3.3.8'!E43</f>
        <v>1151</v>
      </c>
      <c r="F43" s="23">
        <f>'3.2.8'!F43+'3.3.8'!F43</f>
        <v>2092</v>
      </c>
      <c r="G43" s="34">
        <f>'3.2.8'!G43+'3.3.8'!G43</f>
        <v>2493</v>
      </c>
      <c r="H43" s="183">
        <v>0</v>
      </c>
      <c r="I43" s="183">
        <v>0</v>
      </c>
      <c r="J43" s="183">
        <v>0</v>
      </c>
      <c r="K43" s="183">
        <v>0</v>
      </c>
      <c r="L43" s="197">
        <v>0</v>
      </c>
    </row>
    <row r="44" spans="1:12" ht="9" customHeight="1">
      <c r="A44" s="21" t="s">
        <v>226</v>
      </c>
      <c r="B44" s="120"/>
      <c r="C44" s="23">
        <f>'3.2.8'!C44+'3.3.8'!C44</f>
        <v>9579</v>
      </c>
      <c r="D44" s="23">
        <f>'3.2.8'!D44+'3.3.8'!D44</f>
        <v>10240</v>
      </c>
      <c r="E44" s="23">
        <f>'3.2.8'!E44+'3.3.8'!E44</f>
        <v>10597</v>
      </c>
      <c r="F44" s="23">
        <f>'3.2.8'!F44+'3.3.8'!F44</f>
        <v>10723</v>
      </c>
      <c r="G44" s="34">
        <f>'3.2.8'!G44+'3.3.8'!G44</f>
        <v>10885</v>
      </c>
      <c r="H44" s="155">
        <f>IF('AW Schüler'!$D128=0,"x",C44/'AW Schüler'!$D128)</f>
        <v>0.14640520877911598</v>
      </c>
      <c r="I44" s="155">
        <f>IF('AW Schüler'!$G128=0,"x",D44/'AW Schüler'!$G128)</f>
        <v>0.13776217190674148</v>
      </c>
      <c r="J44" s="155">
        <f>IF('AW Schüler'!$J128=0,"x",E44/'AW Schüler'!$J128)</f>
        <v>0.13109744782452712</v>
      </c>
      <c r="K44" s="155">
        <f>IF('AW Schüler'!$M128=0,"x",F44/'AW Schüler'!$M128)</f>
        <v>0.12767148078915097</v>
      </c>
      <c r="L44" s="156">
        <f>IF('AW Schüler'!$P128=0,"x",G44/'AW Schüler'!$P128)</f>
        <v>0.12527621765951569</v>
      </c>
    </row>
    <row r="45" spans="1:12" ht="9" customHeight="1">
      <c r="A45" s="21" t="s">
        <v>95</v>
      </c>
      <c r="B45" s="120"/>
      <c r="C45" s="23">
        <f>'3.2.8'!C45+'3.3.8'!C45</f>
        <v>3584</v>
      </c>
      <c r="D45" s="23">
        <f>'3.2.8'!D45+'3.3.8'!D45</f>
        <v>4577</v>
      </c>
      <c r="E45" s="23">
        <f>'3.2.8'!E45+'3.3.8'!E45</f>
        <v>4827</v>
      </c>
      <c r="F45" s="23">
        <f>'3.2.8'!F45+'3.3.8'!F45</f>
        <v>6472</v>
      </c>
      <c r="G45" s="34">
        <f>'3.2.8'!G45+'3.3.8'!G45</f>
        <v>8145</v>
      </c>
      <c r="H45" s="155">
        <f>IF('AW Schüler'!$D129=0,"x",C45/'AW Schüler'!$D129)</f>
        <v>0.53596530581725732</v>
      </c>
      <c r="I45" s="155">
        <f>IF('AW Schüler'!$G129=0,"x",D45/'AW Schüler'!$G129)</f>
        <v>0.50889481876806764</v>
      </c>
      <c r="J45" s="155">
        <f>IF('AW Schüler'!$J129=0,"x",E45/'AW Schüler'!$J129)</f>
        <v>0.41759667791331428</v>
      </c>
      <c r="K45" s="155">
        <f>IF('AW Schüler'!$M129=0,"x",F45/'AW Schüler'!$M129)</f>
        <v>0.45881185311215084</v>
      </c>
      <c r="L45" s="156">
        <f>IF('AW Schüler'!$P129=0,"x",G45/'AW Schüler'!$P129)</f>
        <v>0.45622584439589986</v>
      </c>
    </row>
    <row r="46" spans="1:12" ht="9" customHeight="1">
      <c r="A46" s="21" t="s">
        <v>96</v>
      </c>
      <c r="B46" s="120"/>
      <c r="C46" s="23">
        <f>'3.2.8'!C46+'3.3.8'!C46</f>
        <v>335194</v>
      </c>
      <c r="D46" s="23">
        <f>'3.2.8'!D46+'3.3.8'!D46</f>
        <v>376797</v>
      </c>
      <c r="E46" s="23">
        <f>'3.2.8'!E46+'3.3.8'!E46</f>
        <v>418964</v>
      </c>
      <c r="F46" s="23">
        <f>'3.2.8'!F46+'3.3.8'!F46</f>
        <v>464211</v>
      </c>
      <c r="G46" s="34">
        <f>'3.2.8'!G46+'3.3.8'!G46</f>
        <v>507450</v>
      </c>
      <c r="H46" s="155">
        <f>IF('AW Schüler'!$D130=0,"x",C46/'AW Schüler'!$D130)</f>
        <v>0.57550752705895281</v>
      </c>
      <c r="I46" s="155">
        <f>IF('AW Schüler'!$G130=0,"x",D46/'AW Schüler'!$G130)</f>
        <v>0.58398944842935341</v>
      </c>
      <c r="J46" s="155">
        <f>IF('AW Schüler'!$J130=0,"x",E46/'AW Schüler'!$J130)</f>
        <v>0.5927131050366552</v>
      </c>
      <c r="K46" s="155">
        <f>IF('AW Schüler'!$M130=0,"x",F46/'AW Schüler'!$M130)</f>
        <v>0.60854432619929677</v>
      </c>
      <c r="L46" s="156">
        <f>IF('AW Schüler'!$P130=0,"x",G46/'AW Schüler'!$P130)</f>
        <v>0.61571109808789215</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'3.2.8'!C48+'3.3.8'!C48</f>
        <v>749</v>
      </c>
      <c r="D48" s="23">
        <f>'3.2.8'!D48+'3.3.8'!D48</f>
        <v>3534</v>
      </c>
      <c r="E48" s="23">
        <f>'3.2.8'!E48+'3.3.8'!E48</f>
        <v>5776</v>
      </c>
      <c r="F48" s="23">
        <f>'3.2.8'!F48+'3.3.8'!F48</f>
        <v>8224</v>
      </c>
      <c r="G48" s="34">
        <f>'3.2.8'!G48+'3.3.8'!G48</f>
        <v>8885</v>
      </c>
      <c r="H48" s="155">
        <f>IF('AW Schüler'!$D114=0,"x",C48/'AW Schüler'!$D114)</f>
        <v>6.0938898380929134E-2</v>
      </c>
      <c r="I48" s="155">
        <f>IF('AW Schüler'!$G114=0,"x",D48/'AW Schüler'!$G114)</f>
        <v>0.1081627031493894</v>
      </c>
      <c r="J48" s="155">
        <f>IF('AW Schüler'!$J114=0,"x",E48/'AW Schüler'!$J114)</f>
        <v>9.6880241529688021E-2</v>
      </c>
      <c r="K48" s="155">
        <f>IF('AW Schüler'!$M114=0,"x",F48/'AW Schüler'!$M114)</f>
        <v>9.7960739470173433E-2</v>
      </c>
      <c r="L48" s="156">
        <f>IF('AW Schüler'!$P114=0,"x",G48/'AW Schüler'!$P114)</f>
        <v>8.5397383774016511E-2</v>
      </c>
    </row>
    <row r="49" spans="1:12" ht="9" customHeight="1">
      <c r="A49" s="21" t="s">
        <v>81</v>
      </c>
      <c r="B49" s="120"/>
      <c r="C49" s="23">
        <f>'3.2.8'!C49+'3.3.8'!C49</f>
        <v>114</v>
      </c>
      <c r="D49" s="23">
        <f>'3.2.8'!D49+'3.3.8'!D49</f>
        <v>122</v>
      </c>
      <c r="E49" s="23">
        <f>'3.2.8'!E49+'3.3.8'!E49</f>
        <v>74</v>
      </c>
      <c r="F49" s="23" t="e">
        <f>'3.2.8'!F49+'3.3.8'!F49</f>
        <v>#VALUE!</v>
      </c>
      <c r="G49" s="34">
        <f>'3.2.8'!G49+'3.3.8'!G49</f>
        <v>100</v>
      </c>
      <c r="H49" s="155">
        <f>IF('AW Schüler'!$D115=0,"x",C49/'AW Schüler'!$D115)</f>
        <v>5.84315735520246E-2</v>
      </c>
      <c r="I49" s="155">
        <f>IF('AW Schüler'!$G115=0,"x",D49/'AW Schüler'!$G115)</f>
        <v>6.2854198866563626E-2</v>
      </c>
      <c r="J49" s="155">
        <f>IF('AW Schüler'!$J115=0,"x",E49/'AW Schüler'!$J115)</f>
        <v>3.9361702127659576E-2</v>
      </c>
      <c r="K49" s="155" t="e">
        <f>IF('AW Schüler'!$M115=0,"x",F49/'AW Schüler'!$M115)</f>
        <v>#VALUE!</v>
      </c>
      <c r="L49" s="156">
        <f>IF('AW Schüler'!$P115=0,"x",G49/'AW Schüler'!$P115)</f>
        <v>5.6561085972850679E-2</v>
      </c>
    </row>
    <row r="50" spans="1:12" ht="9" customHeight="1">
      <c r="A50" s="21" t="s">
        <v>82</v>
      </c>
      <c r="B50" s="120"/>
      <c r="C50" s="23">
        <f>'3.2.8'!C50+'3.3.8'!C50</f>
        <v>8089</v>
      </c>
      <c r="D50" s="23">
        <f>'3.2.8'!D50+'3.3.8'!D50</f>
        <v>13678</v>
      </c>
      <c r="E50" s="23">
        <f>'3.2.8'!E50+'3.3.8'!E50</f>
        <v>10353</v>
      </c>
      <c r="F50" s="23">
        <f>'3.2.8'!F50+'3.3.8'!F50</f>
        <v>16077</v>
      </c>
      <c r="G50" s="34">
        <f>'3.2.8'!G50+'3.3.8'!G50</f>
        <v>17135</v>
      </c>
      <c r="H50" s="155">
        <f>IF('AW Schüler'!$D116=0,"x",C50/'AW Schüler'!$D116)</f>
        <v>0.12724355445092889</v>
      </c>
      <c r="I50" s="155">
        <f>IF('AW Schüler'!$G116=0,"x",D50/'AW Schüler'!$G116)</f>
        <v>0.19233365206142078</v>
      </c>
      <c r="J50" s="155">
        <f>IF('AW Schüler'!$J116=0,"x",E50/'AW Schüler'!$J116)</f>
        <v>0.14181026217023257</v>
      </c>
      <c r="K50" s="155">
        <f>IF('AW Schüler'!$M116=0,"x",F50/'AW Schüler'!$M116)</f>
        <v>0.22235591884154185</v>
      </c>
      <c r="L50" s="156">
        <f>IF('AW Schüler'!$P116=0,"x",G50/'AW Schüler'!$P116)</f>
        <v>0.22954399314114243</v>
      </c>
    </row>
    <row r="51" spans="1:12" ht="9" customHeight="1">
      <c r="A51" s="21" t="s">
        <v>83</v>
      </c>
      <c r="B51" s="120"/>
      <c r="C51" s="23">
        <f>'3.2.8'!C51+'3.3.8'!C51</f>
        <v>1581</v>
      </c>
      <c r="D51" s="23">
        <f>'3.2.8'!D51+'3.3.8'!D51</f>
        <v>1383</v>
      </c>
      <c r="E51" s="23">
        <f>'3.2.8'!E51+'3.3.8'!E51</f>
        <v>1432</v>
      </c>
      <c r="F51" s="23">
        <f>'3.2.8'!F51+'3.3.8'!F51</f>
        <v>1566</v>
      </c>
      <c r="G51" s="34">
        <f>'3.2.8'!G51+'3.3.8'!G51</f>
        <v>1689</v>
      </c>
      <c r="H51" s="155">
        <f>IF('AW Schüler'!$D117=0,"x",C51/'AW Schüler'!$D117)</f>
        <v>0.14923541627336229</v>
      </c>
      <c r="I51" s="155">
        <f>IF('AW Schüler'!$G117=0,"x",D51/'AW Schüler'!$G117)</f>
        <v>0.12812673707615341</v>
      </c>
      <c r="J51" s="155">
        <f>IF('AW Schüler'!$J117=0,"x",E51/'AW Schüler'!$J117)</f>
        <v>0.12786855969282973</v>
      </c>
      <c r="K51" s="155">
        <f>IF('AW Schüler'!$M117=0,"x",F51/'AW Schüler'!$M117)</f>
        <v>0.13639926835641494</v>
      </c>
      <c r="L51" s="156">
        <f>IF('AW Schüler'!$P117=0,"x",G51/'AW Schüler'!$P117)</f>
        <v>0.1377875673029858</v>
      </c>
    </row>
    <row r="52" spans="1:12" ht="9" customHeight="1">
      <c r="A52" s="21" t="s">
        <v>84</v>
      </c>
      <c r="B52" s="120"/>
      <c r="C52" s="23">
        <f>'3.2.8'!C52+'3.3.8'!C52</f>
        <v>444</v>
      </c>
      <c r="D52" s="23">
        <f>'3.2.8'!D52+'3.3.8'!D52</f>
        <v>499</v>
      </c>
      <c r="E52" s="23">
        <f>'3.2.8'!E52+'3.3.8'!E52</f>
        <v>435</v>
      </c>
      <c r="F52" s="23">
        <f>'3.2.8'!F52+'3.3.8'!F52</f>
        <v>476</v>
      </c>
      <c r="G52" s="34">
        <f>'3.2.8'!G52+'3.3.8'!G52</f>
        <v>498</v>
      </c>
      <c r="H52" s="155">
        <f>IF('AW Schüler'!$D118=0,"x",C52/'AW Schüler'!$D118)</f>
        <v>2.6618705035971222E-2</v>
      </c>
      <c r="I52" s="155">
        <f>IF('AW Schüler'!$G118=0,"x",D52/'AW Schüler'!$G118)</f>
        <v>2.6627534685165422E-2</v>
      </c>
      <c r="J52" s="155">
        <f>IF('AW Schüler'!$J118=0,"x",E52/'AW Schüler'!$J118)</f>
        <v>2.0914467041684696E-2</v>
      </c>
      <c r="K52" s="155">
        <f>IF('AW Schüler'!$M118=0,"x",F52/'AW Schüler'!$M118)</f>
        <v>2.071546696840456E-2</v>
      </c>
      <c r="L52" s="156">
        <f>IF('AW Schüler'!$P118=0,"x",G52/'AW Schüler'!$P118)</f>
        <v>2.0383938438868651E-2</v>
      </c>
    </row>
    <row r="53" spans="1:12" ht="9" customHeight="1">
      <c r="A53" s="21" t="s">
        <v>85</v>
      </c>
      <c r="B53" s="120"/>
      <c r="C53" s="23">
        <f>'3.2.8'!C53+'3.3.8'!C53</f>
        <v>5571</v>
      </c>
      <c r="D53" s="23">
        <f>'3.2.8'!D53+'3.3.8'!D53</f>
        <v>7811</v>
      </c>
      <c r="E53" s="23">
        <f>'3.2.8'!E53+'3.3.8'!E53</f>
        <v>10234</v>
      </c>
      <c r="F53" s="23">
        <f>'3.2.8'!F53+'3.3.8'!F53</f>
        <v>14221</v>
      </c>
      <c r="G53" s="34">
        <f>'3.2.8'!G53+'3.3.8'!G53</f>
        <v>12503</v>
      </c>
      <c r="H53" s="155">
        <f>IF('AW Schüler'!$D119=0,"x",C53/'AW Schüler'!$D119)</f>
        <v>0.11947244263349775</v>
      </c>
      <c r="I53" s="155">
        <f>IF('AW Schüler'!$G119=0,"x",D53/'AW Schüler'!$G119)</f>
        <v>0.15510633650390199</v>
      </c>
      <c r="J53" s="155">
        <f>IF('AW Schüler'!$J119=0,"x",E53/'AW Schüler'!$J119)</f>
        <v>0.20331373172282263</v>
      </c>
      <c r="K53" s="155">
        <f>IF('AW Schüler'!$M119=0,"x",F53/'AW Schüler'!$M119)</f>
        <v>0.28223549725127511</v>
      </c>
      <c r="L53" s="156">
        <f>IF('AW Schüler'!$P119=0,"x",G53/'AW Schüler'!$P119)</f>
        <v>0.24631599684791175</v>
      </c>
    </row>
    <row r="54" spans="1:12" ht="9" customHeight="1">
      <c r="A54" s="21" t="s">
        <v>114</v>
      </c>
      <c r="B54" s="120"/>
      <c r="C54" s="23">
        <f>'3.2.8'!C54+'3.3.8'!C54</f>
        <v>38436</v>
      </c>
      <c r="D54" s="23">
        <f>'3.2.8'!D54+'3.3.8'!D54</f>
        <v>38164</v>
      </c>
      <c r="E54" s="23">
        <f>'3.2.8'!E54+'3.3.8'!E54</f>
        <v>39037</v>
      </c>
      <c r="F54" s="23">
        <f>'3.2.8'!F54+'3.3.8'!F54</f>
        <v>38651</v>
      </c>
      <c r="G54" s="34">
        <f>'3.2.8'!G54+'3.3.8'!G54</f>
        <v>39854</v>
      </c>
      <c r="H54" s="183">
        <v>0</v>
      </c>
      <c r="I54" s="183">
        <v>0</v>
      </c>
      <c r="J54" s="183">
        <v>0</v>
      </c>
      <c r="K54" s="183">
        <v>0</v>
      </c>
      <c r="L54" s="197">
        <v>0</v>
      </c>
    </row>
    <row r="55" spans="1:12" ht="9" customHeight="1">
      <c r="A55" s="21" t="s">
        <v>223</v>
      </c>
      <c r="B55" s="120"/>
      <c r="C55" s="23">
        <f>'3.2.8'!C55+'3.3.8'!C55</f>
        <v>540</v>
      </c>
      <c r="D55" s="23">
        <f>'3.2.8'!D55+'3.3.8'!D55</f>
        <v>594</v>
      </c>
      <c r="E55" s="23">
        <f>'3.2.8'!E55+'3.3.8'!E55</f>
        <v>585</v>
      </c>
      <c r="F55" s="23">
        <f>'3.2.8'!F55+'3.3.8'!F55</f>
        <v>588</v>
      </c>
      <c r="G55" s="34">
        <f>'3.2.8'!G55+'3.3.8'!G55</f>
        <v>259</v>
      </c>
      <c r="H55" s="155">
        <f>IF('AW Schüler'!$D121=0,"x",C55/'AW Schüler'!$D121)</f>
        <v>9.8937339684866246E-2</v>
      </c>
      <c r="I55" s="155">
        <f>IF('AW Schüler'!$G121=0,"x",D55/'AW Schüler'!$G121)</f>
        <v>0.10725893824485373</v>
      </c>
      <c r="J55" s="155">
        <f>IF('AW Schüler'!$J121=0,"x",E55/'AW Schüler'!$J121)</f>
        <v>0.10140405616224649</v>
      </c>
      <c r="K55" s="155">
        <f>IF('AW Schüler'!$M121=0,"x",F55/'AW Schüler'!$M121)</f>
        <v>0.10063323635118945</v>
      </c>
      <c r="L55" s="156">
        <f>IF('AW Schüler'!$P121=0,"x",G55/'AW Schüler'!$P121)</f>
        <v>4.1499759653901618E-2</v>
      </c>
    </row>
    <row r="56" spans="1:12" ht="9" customHeight="1">
      <c r="A56" s="21" t="s">
        <v>88</v>
      </c>
      <c r="B56" s="120"/>
      <c r="C56" s="23">
        <f>'3.2.8'!C56+'3.3.8'!C56</f>
        <v>12714</v>
      </c>
      <c r="D56" s="23">
        <f>'3.2.8'!D56+'3.3.8'!D56</f>
        <v>17358</v>
      </c>
      <c r="E56" s="23">
        <f>'3.2.8'!E56+'3.3.8'!E56</f>
        <v>13223</v>
      </c>
      <c r="F56" s="23">
        <f>'3.2.8'!F56+'3.3.8'!F56</f>
        <v>2203</v>
      </c>
      <c r="G56" s="34">
        <f>'3.2.8'!G56+'3.3.8'!G56</f>
        <v>1506</v>
      </c>
      <c r="H56" s="183">
        <v>0</v>
      </c>
      <c r="I56" s="183">
        <v>0</v>
      </c>
      <c r="J56" s="183">
        <v>0</v>
      </c>
      <c r="K56" s="183">
        <v>0</v>
      </c>
      <c r="L56" s="197">
        <v>0</v>
      </c>
    </row>
    <row r="57" spans="1:12" ht="9" customHeight="1">
      <c r="A57" s="21" t="s">
        <v>89</v>
      </c>
      <c r="B57" s="120"/>
      <c r="C57" s="23">
        <f>'3.2.8'!C57+'3.3.8'!C57</f>
        <v>0</v>
      </c>
      <c r="D57" s="23">
        <f>'3.2.8'!D57+'3.3.8'!D57</f>
        <v>68</v>
      </c>
      <c r="E57" s="23">
        <f>'3.2.8'!E57+'3.3.8'!E57</f>
        <v>289</v>
      </c>
      <c r="F57" s="23">
        <f>'3.2.8'!F57+'3.3.8'!F57</f>
        <v>413</v>
      </c>
      <c r="G57" s="34">
        <f>'3.2.8'!G57+'3.3.8'!G57</f>
        <v>534</v>
      </c>
      <c r="H57" s="155">
        <f>IF('AW Schüler'!$D123=0,"x",C57/'AW Schüler'!$D123)</f>
        <v>0</v>
      </c>
      <c r="I57" s="155">
        <f>IF('AW Schüler'!$G123=0,"x",D57/'AW Schüler'!$G123)</f>
        <v>3.331145228134461E-4</v>
      </c>
      <c r="J57" s="155">
        <f>IF('AW Schüler'!$J123=0,"x",E57/'AW Schüler'!$J123)</f>
        <v>1.3420637131977338E-3</v>
      </c>
      <c r="K57" s="155">
        <f>IF('AW Schüler'!$M123=0,"x",F57/'AW Schüler'!$M123)</f>
        <v>1.8085954263993623E-3</v>
      </c>
      <c r="L57" s="156">
        <f>IF('AW Schüler'!$P123=0,"x",G57/'AW Schüler'!$P123)</f>
        <v>2.1839508242982933E-3</v>
      </c>
    </row>
    <row r="58" spans="1:12" ht="9" customHeight="1">
      <c r="A58" s="21" t="s">
        <v>90</v>
      </c>
      <c r="B58" s="120"/>
      <c r="C58" s="23">
        <f>'3.2.8'!C58+'3.3.8'!C58</f>
        <v>0</v>
      </c>
      <c r="D58" s="23">
        <f>'3.2.8'!D58+'3.3.8'!D58</f>
        <v>0</v>
      </c>
      <c r="E58" s="23">
        <f>'3.2.8'!E58+'3.3.8'!E58</f>
        <v>0</v>
      </c>
      <c r="F58" s="23">
        <f>'3.2.8'!F58+'3.3.8'!F58</f>
        <v>0</v>
      </c>
      <c r="G58" s="34">
        <f>'3.2.8'!G58+'3.3.8'!G58</f>
        <v>0</v>
      </c>
      <c r="H58" s="155">
        <f>IF('AW Schüler'!$D124=0,"x",C58/'AW Schüler'!$D124)</f>
        <v>0</v>
      </c>
      <c r="I58" s="155">
        <f>IF('AW Schüler'!$G124=0,"x",D58/'AW Schüler'!$G124)</f>
        <v>0</v>
      </c>
      <c r="J58" s="155">
        <f>IF('AW Schüler'!$J124=0,"x",E58/'AW Schüler'!$J124)</f>
        <v>0</v>
      </c>
      <c r="K58" s="155">
        <f>IF('AW Schüler'!$M124=0,"x",F58/'AW Schüler'!$M124)</f>
        <v>0</v>
      </c>
      <c r="L58" s="156">
        <f>IF('AW Schüler'!$P124=0,"x",G58/'AW Schüler'!$P124)</f>
        <v>0</v>
      </c>
    </row>
    <row r="59" spans="1:12" ht="9" customHeight="1">
      <c r="A59" s="21" t="s">
        <v>91</v>
      </c>
      <c r="B59" s="120"/>
      <c r="C59" s="23">
        <f>'3.2.8'!C59+'3.3.8'!C59</f>
        <v>735</v>
      </c>
      <c r="D59" s="23">
        <f>'3.2.8'!D59+'3.3.8'!D59</f>
        <v>1759</v>
      </c>
      <c r="E59" s="23">
        <f>'3.2.8'!E59+'3.3.8'!E59</f>
        <v>2574</v>
      </c>
      <c r="F59" s="23">
        <f>'3.2.8'!F59+'3.3.8'!F59</f>
        <v>2766</v>
      </c>
      <c r="G59" s="34">
        <f>'3.2.8'!G59+'3.3.8'!G59</f>
        <v>2804</v>
      </c>
      <c r="H59" s="155">
        <f>IF('AW Schüler'!$D125=0,"x",C59/'AW Schüler'!$D125)</f>
        <v>5.3330430996952546E-2</v>
      </c>
      <c r="I59" s="155">
        <f>IF('AW Schüler'!$G125=0,"x",D59/'AW Schüler'!$G125)</f>
        <v>0.11067765683005097</v>
      </c>
      <c r="J59" s="155">
        <f>IF('AW Schüler'!$J125=0,"x",E59/'AW Schüler'!$J125)</f>
        <v>0.14078652299950775</v>
      </c>
      <c r="K59" s="155">
        <f>IF('AW Schüler'!$M125=0,"x",F59/'AW Schüler'!$M125)</f>
        <v>0.12810893427817147</v>
      </c>
      <c r="L59" s="156">
        <f>IF('AW Schüler'!$P125=0,"x",G59/'AW Schüler'!$P125)</f>
        <v>0.10239182033960197</v>
      </c>
    </row>
    <row r="60" spans="1:12" ht="9" customHeight="1">
      <c r="A60" s="21" t="s">
        <v>92</v>
      </c>
      <c r="B60" s="120"/>
      <c r="C60" s="193">
        <f>'3.2.8'!C60+'3.3.8'!C60</f>
        <v>0</v>
      </c>
      <c r="D60" s="193">
        <f>'3.2.8'!D60+'3.3.8'!D60</f>
        <v>0</v>
      </c>
      <c r="E60" s="193">
        <f>'3.2.8'!E60+'3.3.8'!E60</f>
        <v>0</v>
      </c>
      <c r="F60" s="193">
        <f>'3.2.8'!F60+'3.3.8'!F60</f>
        <v>0</v>
      </c>
      <c r="G60" s="194">
        <f>'3.2.8'!G60+'3.3.8'!G60</f>
        <v>0</v>
      </c>
      <c r="H60" s="155" t="str">
        <f>IF('AW Schüler'!$D126=0,"x",C60/'AW Schüler'!$D126)</f>
        <v>x</v>
      </c>
      <c r="I60" s="155" t="str">
        <f>IF('AW Schüler'!$G126=0,"x",D60/'AW Schüler'!$G126)</f>
        <v>x</v>
      </c>
      <c r="J60" s="155" t="str">
        <f>IF('AW Schüler'!$J126=0,"x",E60/'AW Schüler'!$J126)</f>
        <v>x</v>
      </c>
      <c r="K60" s="155" t="str">
        <f>IF('AW Schüler'!$M126=0,"x",F60/'AW Schüler'!$M126)</f>
        <v>x</v>
      </c>
      <c r="L60" s="156" t="str">
        <f>IF('AW Schüler'!$P126=0,"x",G60/'AW Schüler'!$P126)</f>
        <v>x</v>
      </c>
    </row>
    <row r="61" spans="1:12" ht="9" customHeight="1">
      <c r="A61" s="21" t="s">
        <v>93</v>
      </c>
      <c r="B61" s="120"/>
      <c r="C61" s="23">
        <f>'3.2.8'!C61+'3.3.8'!C61</f>
        <v>1384</v>
      </c>
      <c r="D61" s="23">
        <f>'3.2.8'!D61+'3.3.8'!D61</f>
        <v>1456</v>
      </c>
      <c r="E61" s="23">
        <f>'3.2.8'!E61+'3.3.8'!E61</f>
        <v>1635</v>
      </c>
      <c r="F61" s="23">
        <f>'3.2.8'!F61+'3.3.8'!F61</f>
        <v>2015</v>
      </c>
      <c r="G61" s="34">
        <f>'3.2.8'!G61+'3.3.8'!G61</f>
        <v>1790</v>
      </c>
      <c r="H61" s="183">
        <v>0</v>
      </c>
      <c r="I61" s="183">
        <v>0</v>
      </c>
      <c r="J61" s="183">
        <v>0</v>
      </c>
      <c r="K61" s="183">
        <v>0</v>
      </c>
      <c r="L61" s="197">
        <v>0</v>
      </c>
    </row>
    <row r="62" spans="1:12" ht="9" customHeight="1">
      <c r="A62" s="21" t="s">
        <v>226</v>
      </c>
      <c r="B62" s="120"/>
      <c r="C62" s="23">
        <f>'3.2.8'!C62+'3.3.8'!C62</f>
        <v>14778</v>
      </c>
      <c r="D62" s="23">
        <f>'3.2.8'!D62+'3.3.8'!D62</f>
        <v>17252</v>
      </c>
      <c r="E62" s="23">
        <f>'3.2.8'!E62+'3.3.8'!E62</f>
        <v>19132</v>
      </c>
      <c r="F62" s="23">
        <f>'3.2.8'!F62+'3.3.8'!F62</f>
        <v>20360</v>
      </c>
      <c r="G62" s="34">
        <f>'3.2.8'!G62+'3.3.8'!G62</f>
        <v>20816</v>
      </c>
      <c r="H62" s="155">
        <f>IF('AW Schüler'!$D128=0,"x",C62/'AW Schüler'!$D128)</f>
        <v>0.22586660145503454</v>
      </c>
      <c r="I62" s="155">
        <f>IF('AW Schüler'!$G128=0,"x",D62/'AW Schüler'!$G128)</f>
        <v>0.23209697165381873</v>
      </c>
      <c r="J62" s="155">
        <f>IF('AW Schüler'!$J128=0,"x",E62/'AW Schüler'!$J128)</f>
        <v>0.23668551210520455</v>
      </c>
      <c r="K62" s="155">
        <f>IF('AW Schüler'!$M128=0,"x",F62/'AW Schüler'!$M128)</f>
        <v>0.24241269690078462</v>
      </c>
      <c r="L62" s="156">
        <f>IF('AW Schüler'!$P128=0,"x",G62/'AW Schüler'!$P128)</f>
        <v>0.23957278335328239</v>
      </c>
    </row>
    <row r="63" spans="1:12" ht="9" customHeight="1">
      <c r="A63" s="21" t="s">
        <v>95</v>
      </c>
      <c r="B63" s="120"/>
      <c r="C63" s="23">
        <f>'3.2.8'!C63+'3.3.8'!C63</f>
        <v>1620</v>
      </c>
      <c r="D63" s="23">
        <f>'3.2.8'!D63+'3.3.8'!D63</f>
        <v>1745</v>
      </c>
      <c r="E63" s="23">
        <f>'3.2.8'!E63+'3.3.8'!E63</f>
        <v>3122</v>
      </c>
      <c r="F63" s="23">
        <f>'3.2.8'!F63+'3.3.8'!F63</f>
        <v>2532</v>
      </c>
      <c r="G63" s="34">
        <f>'3.2.8'!G63+'3.3.8'!G63</f>
        <v>2533</v>
      </c>
      <c r="H63" s="155">
        <f>IF('AW Schüler'!$D129=0,"x",C63/'AW Schüler'!$D129)</f>
        <v>0.24226110363391656</v>
      </c>
      <c r="I63" s="155">
        <f>IF('AW Schüler'!$G129=0,"x",D63/'AW Schüler'!$G129)</f>
        <v>0.19401823437847454</v>
      </c>
      <c r="J63" s="155">
        <f>IF('AW Schüler'!$J129=0,"x",E63/'AW Schüler'!$J129)</f>
        <v>0.27009256856129421</v>
      </c>
      <c r="K63" s="155">
        <f>IF('AW Schüler'!$M129=0,"x",F63/'AW Schüler'!$M129)</f>
        <v>0.17949808592088473</v>
      </c>
      <c r="L63" s="156">
        <f>IF('AW Schüler'!$P129=0,"x",G63/'AW Schüler'!$P129)</f>
        <v>0.14188091637259845</v>
      </c>
    </row>
    <row r="64" spans="1:12" ht="8.65" customHeight="1">
      <c r="A64" s="24" t="s">
        <v>96</v>
      </c>
      <c r="B64" s="121"/>
      <c r="C64" s="26">
        <f>'3.2.8'!C64+'3.3.8'!C64</f>
        <v>86755</v>
      </c>
      <c r="D64" s="26">
        <f>'3.2.8'!D64+'3.3.8'!D64</f>
        <v>105423</v>
      </c>
      <c r="E64" s="26">
        <f>'3.2.8'!E64+'3.3.8'!E64</f>
        <v>107901</v>
      </c>
      <c r="F64" s="26">
        <f>'3.2.8'!F64+'3.3.8'!F64</f>
        <v>110187</v>
      </c>
      <c r="G64" s="47">
        <f>'3.2.8'!G64+'3.3.8'!G64</f>
        <v>110906</v>
      </c>
      <c r="H64" s="157">
        <f>IF('AW Schüler'!$D130=0,"x",C64/'AW Schüler'!$D130)</f>
        <v>0.14895301082358112</v>
      </c>
      <c r="I64" s="157">
        <f>IF('AW Schüler'!$G130=0,"x",D64/'AW Schüler'!$G130)</f>
        <v>0.16339280732534422</v>
      </c>
      <c r="J64" s="157">
        <f>IF('AW Schüler'!$J130=0,"x",E64/'AW Schüler'!$J130)</f>
        <v>0.15264876396673729</v>
      </c>
      <c r="K64" s="157">
        <f>IF('AW Schüler'!$M130=0,"x",F64/'AW Schüler'!$M130)</f>
        <v>0.14444654191934683</v>
      </c>
      <c r="L64" s="158">
        <f>IF('AW Schüler'!$P130=0,"x",G64/'AW Schüler'!$P130)</f>
        <v>0.13456706088193077</v>
      </c>
    </row>
    <row r="65" spans="1:254" ht="18.75" customHeight="1">
      <c r="A65" s="396" t="s">
        <v>312</v>
      </c>
      <c r="B65" s="396"/>
      <c r="C65" s="396"/>
      <c r="D65" s="396"/>
      <c r="E65" s="396"/>
      <c r="F65" s="396"/>
      <c r="G65" s="396"/>
      <c r="H65" s="396"/>
      <c r="I65" s="396"/>
      <c r="J65" s="396"/>
      <c r="K65" s="396"/>
      <c r="L65" s="396"/>
    </row>
    <row r="66" spans="1:254" ht="10.15" customHeight="1">
      <c r="A66" s="399" t="s">
        <v>184</v>
      </c>
      <c r="B66" s="399"/>
      <c r="C66" s="399"/>
      <c r="D66" s="399"/>
      <c r="E66" s="399"/>
      <c r="F66" s="399"/>
      <c r="G66" s="399"/>
      <c r="H66" s="399"/>
      <c r="I66" s="399"/>
      <c r="J66" s="257"/>
      <c r="K66" s="325"/>
      <c r="L66" s="350"/>
    </row>
    <row r="67" spans="1:254" ht="18.600000000000001" customHeight="1">
      <c r="A67" s="381" t="s">
        <v>207</v>
      </c>
      <c r="B67" s="381"/>
      <c r="C67" s="381"/>
      <c r="D67" s="381"/>
      <c r="E67" s="381"/>
      <c r="F67" s="381"/>
      <c r="G67" s="381"/>
      <c r="H67" s="381"/>
      <c r="I67" s="381"/>
      <c r="J67" s="395"/>
      <c r="K67" s="395"/>
      <c r="L67" s="395"/>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row>
    <row r="68" spans="1:254" ht="19.5" customHeight="1">
      <c r="A68" s="387" t="s">
        <v>295</v>
      </c>
      <c r="B68" s="387"/>
      <c r="C68" s="387"/>
      <c r="D68" s="387"/>
      <c r="E68" s="387"/>
      <c r="F68" s="387"/>
      <c r="G68" s="387"/>
      <c r="H68" s="387"/>
      <c r="I68" s="394"/>
      <c r="J68" s="395"/>
      <c r="K68" s="395"/>
      <c r="L68" s="395"/>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row>
    <row r="69" spans="1:254" ht="9.75" customHeight="1">
      <c r="A69" s="306" t="s">
        <v>222</v>
      </c>
      <c r="B69" s="270"/>
      <c r="C69" s="270"/>
      <c r="D69" s="270"/>
      <c r="E69" s="270"/>
      <c r="F69" s="284"/>
      <c r="G69" s="351"/>
      <c r="H69" s="270"/>
      <c r="I69" s="265"/>
      <c r="J69" s="265"/>
      <c r="K69" s="322"/>
      <c r="L69" s="322"/>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row>
    <row r="70" spans="1:254" ht="10.15" customHeight="1">
      <c r="A70" s="305" t="s">
        <v>225</v>
      </c>
      <c r="B70" s="33"/>
      <c r="C70" s="214"/>
      <c r="D70" s="236"/>
      <c r="E70" s="255"/>
      <c r="F70" s="323"/>
      <c r="G70" s="348"/>
      <c r="H70" s="214"/>
      <c r="I70" s="236"/>
      <c r="J70" s="255"/>
      <c r="K70" s="323"/>
      <c r="L70" s="348"/>
    </row>
    <row r="71" spans="1:254" ht="10.15" customHeight="1">
      <c r="A71" s="305" t="s">
        <v>101</v>
      </c>
      <c r="C71" s="214"/>
      <c r="D71" s="236"/>
      <c r="E71" s="255"/>
      <c r="F71" s="323"/>
      <c r="G71" s="348"/>
      <c r="H71" s="214"/>
      <c r="I71" s="236"/>
      <c r="J71" s="255"/>
      <c r="K71" s="323"/>
      <c r="L71" s="348"/>
    </row>
    <row r="84" spans="1:1" ht="10.5" customHeight="1"/>
    <row r="85" spans="1:1" ht="10.15" customHeight="1">
      <c r="A85" s="214"/>
    </row>
  </sheetData>
  <mergeCells count="10">
    <mergeCell ref="A1:L1"/>
    <mergeCell ref="A67:L67"/>
    <mergeCell ref="A68:L68"/>
    <mergeCell ref="A66:I66"/>
    <mergeCell ref="C9:G9"/>
    <mergeCell ref="H9:L9"/>
    <mergeCell ref="A11:L11"/>
    <mergeCell ref="A29:L29"/>
    <mergeCell ref="A47:L47"/>
    <mergeCell ref="A65:L65"/>
  </mergeCells>
  <phoneticPr fontId="18" type="noConversion"/>
  <conditionalFormatting sqref="N25">
    <cfRule type="cellIs" dxfId="28" priority="1" stopIfTrue="1" operator="greaterThan">
      <formula>1</formula>
    </cfRule>
  </conditionalFormatting>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85"/>
  <sheetViews>
    <sheetView view="pageBreakPreview" topLeftCell="A40"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'3.1.8'!A1:J1+1</f>
        <v>43</v>
      </c>
      <c r="B1" s="383"/>
      <c r="C1" s="383"/>
      <c r="D1" s="383"/>
      <c r="E1" s="383"/>
      <c r="F1" s="383"/>
      <c r="G1" s="383"/>
      <c r="H1" s="383"/>
      <c r="I1" s="383"/>
      <c r="J1" s="383"/>
      <c r="K1" s="383"/>
      <c r="L1" s="383"/>
      <c r="M1" s="58"/>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4.1" customHeight="1">
      <c r="A5" s="13" t="s">
        <v>46</v>
      </c>
      <c r="B5" s="39" t="s">
        <v>74</v>
      </c>
      <c r="C5" s="14"/>
      <c r="D5" s="14"/>
      <c r="E5" s="14"/>
      <c r="F5" s="14"/>
      <c r="G5" s="14"/>
      <c r="H5" s="14"/>
      <c r="I5" s="14"/>
      <c r="J5" s="14"/>
      <c r="K5" s="14"/>
      <c r="L5" s="14"/>
    </row>
    <row r="6" spans="1:13" s="3" customFormat="1" ht="14.25" customHeight="1">
      <c r="A6" s="13" t="s">
        <v>238</v>
      </c>
      <c r="B6" s="39" t="s">
        <v>279</v>
      </c>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137</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42">
        <f t="shared" ref="C12:E27" si="0">SUM(C30+C48)</f>
        <v>2075</v>
      </c>
      <c r="D12" s="42">
        <f t="shared" si="0"/>
        <v>5108</v>
      </c>
      <c r="E12" s="42">
        <f t="shared" si="0"/>
        <v>9507</v>
      </c>
      <c r="F12" s="42">
        <f t="shared" ref="F12:G12" si="1">SUM(F30+F48)</f>
        <v>13103</v>
      </c>
      <c r="G12" s="44">
        <f t="shared" si="1"/>
        <v>14242</v>
      </c>
      <c r="H12" s="153">
        <f>IF('AW Schüler'!$D114=0,"x",(IF('AW Schüler'!$D132=0,"-",C12/'AW Schüler'!$D132)))</f>
        <v>0.31722978137899405</v>
      </c>
      <c r="I12" s="153">
        <f>IF('AW Schüler'!$G114=0,"x",(IF('AW Schüler'!$G132=0,"-",D12/'AW Schüler'!$G132)))</f>
        <v>0.24948715443977729</v>
      </c>
      <c r="J12" s="153">
        <f>IF('AW Schüler'!$J114=0,"x",(IF('AW Schüler'!$J132=0,"-",E12/'AW Schüler'!$J132)))</f>
        <v>0.2657739509658662</v>
      </c>
      <c r="K12" s="153">
        <f>IF('AW Schüler'!$M114=0,"x",(IF('AW Schüler'!$M132=0,"-",F12/'AW Schüler'!$M132)))</f>
        <v>0.29233412163669625</v>
      </c>
      <c r="L12" s="154">
        <f>IF('AW Schüler'!$P114=0,"x",(IF('AW Schüler'!$P132=0,"-",G12/'AW Schüler'!$P132)))</f>
        <v>0.28862678339818415</v>
      </c>
    </row>
    <row r="13" spans="1:13" ht="9" customHeight="1">
      <c r="A13" s="21" t="s">
        <v>81</v>
      </c>
      <c r="B13" s="120"/>
      <c r="C13" s="42">
        <f t="shared" si="0"/>
        <v>0</v>
      </c>
      <c r="D13" s="42">
        <f t="shared" ref="D13:E18" si="2">SUM(D31+D49)</f>
        <v>0</v>
      </c>
      <c r="E13" s="42">
        <f t="shared" si="2"/>
        <v>0</v>
      </c>
      <c r="F13" s="42" t="e">
        <f t="shared" ref="F13:G13" si="3">SUM(F31+F49)</f>
        <v>#VALUE!</v>
      </c>
      <c r="G13" s="44">
        <f t="shared" si="3"/>
        <v>0</v>
      </c>
      <c r="H13" s="153" t="str">
        <f>IF('AW Schüler'!$D115=0,"x",(IF('AW Schüler'!$D133=0,"-",C13/'AW Schüler'!$D133)))</f>
        <v>-</v>
      </c>
      <c r="I13" s="153" t="str">
        <f>IF('AW Schüler'!$G115=0,"x",(IF('AW Schüler'!$G133=0,"-",D13/'AW Schüler'!$G133)))</f>
        <v>-</v>
      </c>
      <c r="J13" s="153" t="str">
        <f>IF('AW Schüler'!$J115=0,"x",(IF('AW Schüler'!$J133=0,"-",E13/'AW Schüler'!$J133)))</f>
        <v>-</v>
      </c>
      <c r="K13" s="153" t="str">
        <f>IF('AW Schüler'!$M115=0,"x",(IF('AW Schüler'!$M133=0,"-",F13/'AW Schüler'!$M133)))</f>
        <v>-</v>
      </c>
      <c r="L13" s="154" t="str">
        <f>IF('AW Schüler'!$P115=0,"x",(IF('AW Schüler'!$P133=0,"-",G13/'AW Schüler'!$P133)))</f>
        <v>-</v>
      </c>
    </row>
    <row r="14" spans="1:13" ht="9" customHeight="1">
      <c r="A14" s="21" t="s">
        <v>82</v>
      </c>
      <c r="B14" s="120"/>
      <c r="C14" s="42">
        <f t="shared" si="0"/>
        <v>5293</v>
      </c>
      <c r="D14" s="42">
        <f t="shared" si="2"/>
        <v>5340</v>
      </c>
      <c r="E14" s="42">
        <f t="shared" si="2"/>
        <v>5932</v>
      </c>
      <c r="F14" s="42">
        <f t="shared" ref="F14:G14" si="4">SUM(F32+F50)</f>
        <v>6840</v>
      </c>
      <c r="G14" s="44">
        <f t="shared" si="4"/>
        <v>7264</v>
      </c>
      <c r="H14" s="153">
        <f>IF('AW Schüler'!$D116=0,"x",(IF('AW Schüler'!$D134=0,"-",C14/'AW Schüler'!$D134)))</f>
        <v>0.83354330708661417</v>
      </c>
      <c r="I14" s="153">
        <f>IF('AW Schüler'!$G116=0,"x",(IF('AW Schüler'!$G134=0,"-",D14/'AW Schüler'!$G134)))</f>
        <v>0.84640989063242988</v>
      </c>
      <c r="J14" s="153">
        <f>IF('AW Schüler'!$J116=0,"x",(IF('AW Schüler'!$J134=0,"-",E14/'AW Schüler'!$J134)))</f>
        <v>0.90015174506828532</v>
      </c>
      <c r="K14" s="153">
        <f>IF('AW Schüler'!$M116=0,"x",(IF('AW Schüler'!$M134=0,"-",F14/'AW Schüler'!$M134)))</f>
        <v>0.90596026490066228</v>
      </c>
      <c r="L14" s="154">
        <f>IF('AW Schüler'!$P116=0,"x",(IF('AW Schüler'!$P134=0,"-",G14/'AW Schüler'!$P134)))</f>
        <v>0.89945517582961865</v>
      </c>
    </row>
    <row r="15" spans="1:13" ht="9" customHeight="1">
      <c r="A15" s="21" t="s">
        <v>83</v>
      </c>
      <c r="B15" s="120"/>
      <c r="C15" s="42">
        <f t="shared" si="0"/>
        <v>103</v>
      </c>
      <c r="D15" s="42">
        <f t="shared" si="2"/>
        <v>108</v>
      </c>
      <c r="E15" s="42">
        <f t="shared" si="2"/>
        <v>122</v>
      </c>
      <c r="F15" s="42">
        <f t="shared" ref="F15:G15" si="5">SUM(F33+F51)</f>
        <v>136</v>
      </c>
      <c r="G15" s="44">
        <f t="shared" si="5"/>
        <v>265</v>
      </c>
      <c r="H15" s="153">
        <f>IF('AW Schüler'!$D117=0,"x",(IF('AW Schüler'!$D135=0,"-",C15/'AW Schüler'!$D135)))</f>
        <v>0.43829787234042555</v>
      </c>
      <c r="I15" s="153">
        <f>IF('AW Schüler'!$G117=0,"x",(IF('AW Schüler'!$G135=0,"-",D15/'AW Schüler'!$G135)))</f>
        <v>0.45</v>
      </c>
      <c r="J15" s="153">
        <f>IF('AW Schüler'!$J117=0,"x",(IF('AW Schüler'!$J135=0,"-",E15/'AW Schüler'!$J135)))</f>
        <v>0.46923076923076923</v>
      </c>
      <c r="K15" s="153">
        <f>IF('AW Schüler'!$M117=0,"x",(IF('AW Schüler'!$M135=0,"-",F15/'AW Schüler'!$M135)))</f>
        <v>0.49816849816849818</v>
      </c>
      <c r="L15" s="154">
        <f>IF('AW Schüler'!$P117=0,"x",(IF('AW Schüler'!$P135=0,"-",G15/'AW Schüler'!$P135)))</f>
        <v>0.59284116331096193</v>
      </c>
    </row>
    <row r="16" spans="1:13" ht="9" customHeight="1">
      <c r="A16" s="21" t="s">
        <v>84</v>
      </c>
      <c r="B16" s="120"/>
      <c r="C16" s="42">
        <f t="shared" si="0"/>
        <v>0</v>
      </c>
      <c r="D16" s="42">
        <f t="shared" si="2"/>
        <v>0</v>
      </c>
      <c r="E16" s="42">
        <f t="shared" si="2"/>
        <v>0</v>
      </c>
      <c r="F16" s="42">
        <f t="shared" ref="F16:G16" si="6">SUM(F34+F52)</f>
        <v>0</v>
      </c>
      <c r="G16" s="44">
        <f t="shared" si="6"/>
        <v>0</v>
      </c>
      <c r="H16" s="153" t="str">
        <f>IF('AW Schüler'!$D118=0,"x",(IF('AW Schüler'!$D136=0,"-",C16/'AW Schüler'!$D136)))</f>
        <v>-</v>
      </c>
      <c r="I16" s="153" t="str">
        <f>IF('AW Schüler'!$G118=0,"x",(IF('AW Schüler'!$G136=0,"-",D16/'AW Schüler'!$G136)))</f>
        <v>-</v>
      </c>
      <c r="J16" s="153" t="str">
        <f>IF('AW Schüler'!$J118=0,"x",(IF('AW Schüler'!$J136=0,"-",E16/'AW Schüler'!$J136)))</f>
        <v>-</v>
      </c>
      <c r="K16" s="153" t="str">
        <f>IF('AW Schüler'!$M118=0,"x",(IF('AW Schüler'!$M136=0,"-",F16/'AW Schüler'!$M136)))</f>
        <v>-</v>
      </c>
      <c r="L16" s="154" t="str">
        <f>IF('AW Schüler'!$P118=0,"x",(IF('AW Schüler'!$P136=0,"-",G16/'AW Schüler'!$P136)))</f>
        <v>-</v>
      </c>
    </row>
    <row r="17" spans="1:12" ht="9" customHeight="1">
      <c r="A17" s="21" t="s">
        <v>85</v>
      </c>
      <c r="B17" s="120"/>
      <c r="C17" s="42">
        <f t="shared" si="0"/>
        <v>2039</v>
      </c>
      <c r="D17" s="42">
        <f t="shared" si="2"/>
        <v>4105</v>
      </c>
      <c r="E17" s="42">
        <f t="shared" si="2"/>
        <v>4003</v>
      </c>
      <c r="F17" s="42">
        <f t="shared" ref="F17:G17" si="7">SUM(F35+F53)</f>
        <v>4387</v>
      </c>
      <c r="G17" s="44">
        <f t="shared" si="7"/>
        <v>4417</v>
      </c>
      <c r="H17" s="153">
        <f>IF('AW Schüler'!$D119=0,"x",(IF('AW Schüler'!$D137=0,"-",C17/'AW Schüler'!$D137)))</f>
        <v>0.4869835204203487</v>
      </c>
      <c r="I17" s="153">
        <f>IF('AW Schüler'!$G119=0,"x",(IF('AW Schüler'!$G137=0,"-",D17/'AW Schüler'!$G137)))</f>
        <v>0.92122980251346498</v>
      </c>
      <c r="J17" s="153">
        <f>IF('AW Schüler'!$J119=0,"x",(IF('AW Schüler'!$J137=0,"-",E17/'AW Schüler'!$J137)))</f>
        <v>0.91184510250569473</v>
      </c>
      <c r="K17" s="153">
        <f>IF('AW Schüler'!$M119=0,"x",(IF('AW Schüler'!$M137=0,"-",F17/'AW Schüler'!$M137)))</f>
        <v>1</v>
      </c>
      <c r="L17" s="154">
        <f>IF('AW Schüler'!$P119=0,"x",(IF('AW Schüler'!$P137=0,"-",G17/'AW Schüler'!$P137)))</f>
        <v>1</v>
      </c>
    </row>
    <row r="18" spans="1:12" ht="9" customHeight="1">
      <c r="A18" s="21" t="s">
        <v>86</v>
      </c>
      <c r="B18" s="120"/>
      <c r="C18" s="42">
        <f t="shared" si="0"/>
        <v>1551</v>
      </c>
      <c r="D18" s="42">
        <f t="shared" si="2"/>
        <v>1329</v>
      </c>
      <c r="E18" s="42">
        <f t="shared" si="2"/>
        <v>1445</v>
      </c>
      <c r="F18" s="42">
        <f t="shared" ref="F18:G18" si="8">SUM(F36+F54)</f>
        <v>1551</v>
      </c>
      <c r="G18" s="44">
        <f t="shared" si="8"/>
        <v>1734</v>
      </c>
      <c r="H18" s="182">
        <v>0</v>
      </c>
      <c r="I18" s="182">
        <v>0</v>
      </c>
      <c r="J18" s="182">
        <v>0</v>
      </c>
      <c r="K18" s="182">
        <v>0</v>
      </c>
      <c r="L18" s="196">
        <v>0</v>
      </c>
    </row>
    <row r="19" spans="1:12" ht="9" customHeight="1">
      <c r="A19" s="21" t="s">
        <v>223</v>
      </c>
      <c r="B19" s="120"/>
      <c r="C19" s="42">
        <f t="shared" si="0"/>
        <v>0</v>
      </c>
      <c r="D19" s="42">
        <f t="shared" si="0"/>
        <v>0</v>
      </c>
      <c r="E19" s="42">
        <f t="shared" si="0"/>
        <v>0</v>
      </c>
      <c r="F19" s="42">
        <f t="shared" ref="F19:G19" si="9">SUM(F37+F55)</f>
        <v>0</v>
      </c>
      <c r="G19" s="44">
        <f t="shared" si="9"/>
        <v>0</v>
      </c>
      <c r="H19" s="153" t="str">
        <f>IF('AW Schüler'!$D121=0,"x",(IF('AW Schüler'!$D139=0,"-",C19/'AW Schüler'!$D139)))</f>
        <v>-</v>
      </c>
      <c r="I19" s="153" t="str">
        <f>IF('AW Schüler'!$G121=0,"x",(IF('AW Schüler'!$G139=0,"-",D19/'AW Schüler'!$G139)))</f>
        <v>-</v>
      </c>
      <c r="J19" s="153" t="str">
        <f>IF('AW Schüler'!$J121=0,"x",(IF('AW Schüler'!$J139=0,"-",E19/'AW Schüler'!$J139)))</f>
        <v>-</v>
      </c>
      <c r="K19" s="153" t="str">
        <f>IF('AW Schüler'!$M121=0,"x",(IF('AW Schüler'!$M139=0,"-",F19/'AW Schüler'!$M139)))</f>
        <v>-</v>
      </c>
      <c r="L19" s="154" t="str">
        <f>IF('AW Schüler'!$P121=0,"x",(IF('AW Schüler'!$P139=0,"-",G19/'AW Schüler'!$P139)))</f>
        <v>-</v>
      </c>
    </row>
    <row r="20" spans="1:12" ht="9" customHeight="1">
      <c r="A20" s="21" t="s">
        <v>88</v>
      </c>
      <c r="B20" s="120"/>
      <c r="C20" s="42">
        <f t="shared" si="0"/>
        <v>388</v>
      </c>
      <c r="D20" s="42">
        <f t="shared" ref="D20:E20" si="10">SUM(D38+D56)</f>
        <v>367</v>
      </c>
      <c r="E20" s="42">
        <f t="shared" si="10"/>
        <v>394</v>
      </c>
      <c r="F20" s="42">
        <f t="shared" ref="F20:G20" si="11">SUM(F38+F56)</f>
        <v>395</v>
      </c>
      <c r="G20" s="44">
        <f t="shared" si="11"/>
        <v>363</v>
      </c>
      <c r="H20" s="182">
        <v>0</v>
      </c>
      <c r="I20" s="182">
        <v>0</v>
      </c>
      <c r="J20" s="182">
        <v>0</v>
      </c>
      <c r="K20" s="182">
        <v>0</v>
      </c>
      <c r="L20" s="196">
        <v>0</v>
      </c>
    </row>
    <row r="21" spans="1:12" ht="9" customHeight="1">
      <c r="A21" s="21" t="s">
        <v>89</v>
      </c>
      <c r="B21" s="120"/>
      <c r="C21" s="42">
        <f t="shared" si="0"/>
        <v>0</v>
      </c>
      <c r="D21" s="42">
        <f t="shared" si="0"/>
        <v>68</v>
      </c>
      <c r="E21" s="42">
        <f t="shared" si="0"/>
        <v>290</v>
      </c>
      <c r="F21" s="42">
        <f t="shared" ref="F21:G21" si="12">SUM(F39+F57)</f>
        <v>523</v>
      </c>
      <c r="G21" s="44">
        <f t="shared" si="12"/>
        <v>763</v>
      </c>
      <c r="H21" s="153" t="str">
        <f>IF('AW Schüler'!$D123=0,"x",(IF('AW Schüler'!$D141=0,"-",C21/'AW Schüler'!$D141)))</f>
        <v>-</v>
      </c>
      <c r="I21" s="153">
        <f>IF('AW Schüler'!$G123=0,"x",(IF('AW Schüler'!$G141=0,"-",D21/'AW Schüler'!$G141)))</f>
        <v>1</v>
      </c>
      <c r="J21" s="153">
        <f>IF('AW Schüler'!$J123=0,"x",(IF('AW Schüler'!$J141=0,"-",E21/'AW Schüler'!$J141)))</f>
        <v>0.79670329670329665</v>
      </c>
      <c r="K21" s="153">
        <f>IF('AW Schüler'!$M123=0,"x",(IF('AW Schüler'!$M141=0,"-",F21/'AW Schüler'!$M141)))</f>
        <v>0.78646616541353387</v>
      </c>
      <c r="L21" s="154">
        <f>IF('AW Schüler'!$P123=0,"x",(IF('AW Schüler'!$P141=0,"-",G21/'AW Schüler'!$P141)))</f>
        <v>0.78740970072239425</v>
      </c>
    </row>
    <row r="22" spans="1:12" ht="9" customHeight="1">
      <c r="A22" s="21" t="s">
        <v>90</v>
      </c>
      <c r="B22" s="120"/>
      <c r="C22" s="42">
        <f t="shared" si="0"/>
        <v>0</v>
      </c>
      <c r="D22" s="42">
        <f t="shared" ref="D22:E25" si="13">SUM(D40+D58)</f>
        <v>0</v>
      </c>
      <c r="E22" s="42">
        <f t="shared" si="13"/>
        <v>0</v>
      </c>
      <c r="F22" s="42">
        <f t="shared" ref="F22:G22" si="14">SUM(F40+F58)</f>
        <v>0</v>
      </c>
      <c r="G22" s="44">
        <f t="shared" si="14"/>
        <v>0</v>
      </c>
      <c r="H22" s="153" t="str">
        <f>IF('AW Schüler'!$D124=0,"x",(IF('AW Schüler'!$D142=0,"-",C22/'AW Schüler'!$D142)))</f>
        <v>-</v>
      </c>
      <c r="I22" s="153" t="str">
        <f>IF('AW Schüler'!$G124=0,"x",(IF('AW Schüler'!$G142=0,"-",D22/'AW Schüler'!$G142)))</f>
        <v>-</v>
      </c>
      <c r="J22" s="153" t="str">
        <f>IF('AW Schüler'!$J124=0,"x",(IF('AW Schüler'!$J142=0,"-",E22/'AW Schüler'!$J142)))</f>
        <v>-</v>
      </c>
      <c r="K22" s="153" t="str">
        <f>IF('AW Schüler'!$M124=0,"x",(IF('AW Schüler'!$M142=0,"-",F22/'AW Schüler'!$M142)))</f>
        <v>-</v>
      </c>
      <c r="L22" s="154" t="str">
        <f>IF('AW Schüler'!$P124=0,"x",(IF('AW Schüler'!$P142=0,"-",G22/'AW Schüler'!$P142)))</f>
        <v>-</v>
      </c>
    </row>
    <row r="23" spans="1:12" ht="9" customHeight="1">
      <c r="A23" s="21" t="s">
        <v>91</v>
      </c>
      <c r="B23" s="120"/>
      <c r="C23" s="42">
        <f t="shared" si="0"/>
        <v>0</v>
      </c>
      <c r="D23" s="42">
        <f t="shared" si="13"/>
        <v>0</v>
      </c>
      <c r="E23" s="42">
        <f t="shared" si="13"/>
        <v>0</v>
      </c>
      <c r="F23" s="42">
        <f t="shared" ref="F23:G23" si="15">SUM(F41+F59)</f>
        <v>0</v>
      </c>
      <c r="G23" s="44">
        <f t="shared" si="15"/>
        <v>0</v>
      </c>
      <c r="H23" s="153" t="str">
        <f>IF('AW Schüler'!$D125=0,"x",(IF('AW Schüler'!$D143=0,"-",C23/'AW Schüler'!$D143)))</f>
        <v>-</v>
      </c>
      <c r="I23" s="153" t="str">
        <f>IF('AW Schüler'!$G125=0,"x",(IF('AW Schüler'!$G143=0,"-",D23/'AW Schüler'!$G143)))</f>
        <v>-</v>
      </c>
      <c r="J23" s="153" t="str">
        <f>IF('AW Schüler'!$J125=0,"x",(IF('AW Schüler'!$J143=0,"-",E23/'AW Schüler'!$J143)))</f>
        <v>-</v>
      </c>
      <c r="K23" s="153" t="str">
        <f>IF('AW Schüler'!$M125=0,"x",(IF('AW Schüler'!$M143=0,"-",F23/'AW Schüler'!$M143)))</f>
        <v>-</v>
      </c>
      <c r="L23" s="154" t="str">
        <f>IF('AW Schüler'!$P125=0,"x",(IF('AW Schüler'!$P143=0,"-",G23/'AW Schüler'!$P143)))</f>
        <v>-</v>
      </c>
    </row>
    <row r="24" spans="1:12" ht="9" customHeight="1">
      <c r="A24" s="21" t="s">
        <v>92</v>
      </c>
      <c r="B24" s="120"/>
      <c r="C24" s="198">
        <f t="shared" si="0"/>
        <v>0</v>
      </c>
      <c r="D24" s="198">
        <f t="shared" si="13"/>
        <v>0</v>
      </c>
      <c r="E24" s="198">
        <f t="shared" si="13"/>
        <v>0</v>
      </c>
      <c r="F24" s="198">
        <f t="shared" ref="F24:G24" si="16">SUM(F42+F60)</f>
        <v>0</v>
      </c>
      <c r="G24" s="199">
        <f t="shared" si="16"/>
        <v>0</v>
      </c>
      <c r="H24" s="153" t="str">
        <f>IF('AW Schüler'!$D126=0,"x",(IF('AW Schüler'!$D144=0,"-",C24/'AW Schüler'!$D144)))</f>
        <v>x</v>
      </c>
      <c r="I24" s="153" t="str">
        <f>IF('AW Schüler'!$G126=0,"x",(IF('AW Schüler'!$G144=0,"-",D24/'AW Schüler'!$G144)))</f>
        <v>x</v>
      </c>
      <c r="J24" s="153" t="str">
        <f>IF('AW Schüler'!$J126=0,"x",(IF('AW Schüler'!$J144=0,"-",E24/'AW Schüler'!$J144)))</f>
        <v>x</v>
      </c>
      <c r="K24" s="153" t="str">
        <f>IF('AW Schüler'!$M126=0,"x",(IF('AW Schüler'!$M144=0,"-",F24/'AW Schüler'!$M144)))</f>
        <v>x</v>
      </c>
      <c r="L24" s="154" t="str">
        <f>IF('AW Schüler'!$P126=0,"x",(IF('AW Schüler'!$P144=0,"-",G24/'AW Schüler'!$P144)))</f>
        <v>x</v>
      </c>
    </row>
    <row r="25" spans="1:12" ht="9" customHeight="1">
      <c r="A25" s="21" t="s">
        <v>93</v>
      </c>
      <c r="B25" s="120"/>
      <c r="C25" s="42">
        <f t="shared" si="0"/>
        <v>0</v>
      </c>
      <c r="D25" s="42">
        <f t="shared" si="13"/>
        <v>0</v>
      </c>
      <c r="E25" s="42">
        <f t="shared" si="13"/>
        <v>0</v>
      </c>
      <c r="F25" s="42">
        <f t="shared" ref="F25:G25" si="17">SUM(F43+F61)</f>
        <v>0</v>
      </c>
      <c r="G25" s="44">
        <f t="shared" si="17"/>
        <v>0</v>
      </c>
      <c r="H25" s="182">
        <v>0</v>
      </c>
      <c r="I25" s="182">
        <v>0</v>
      </c>
      <c r="J25" s="182">
        <v>0</v>
      </c>
      <c r="K25" s="182">
        <v>0</v>
      </c>
      <c r="L25" s="196">
        <v>0</v>
      </c>
    </row>
    <row r="26" spans="1:12" ht="9" customHeight="1">
      <c r="A26" s="21" t="s">
        <v>226</v>
      </c>
      <c r="B26" s="120"/>
      <c r="C26" s="42">
        <f t="shared" si="0"/>
        <v>0</v>
      </c>
      <c r="D26" s="42">
        <f t="shared" si="0"/>
        <v>0</v>
      </c>
      <c r="E26" s="42">
        <f t="shared" si="0"/>
        <v>0</v>
      </c>
      <c r="F26" s="42">
        <f t="shared" ref="F26:G26" si="18">SUM(F44+F62)</f>
        <v>0</v>
      </c>
      <c r="G26" s="44">
        <f t="shared" si="18"/>
        <v>0</v>
      </c>
      <c r="H26" s="153" t="str">
        <f>IF('AW Schüler'!$D128=0,"x",(IF('AW Schüler'!$D146=0,"-",C26/'AW Schüler'!$D146)))</f>
        <v>-</v>
      </c>
      <c r="I26" s="153" t="str">
        <f>IF('AW Schüler'!$G128=0,"x",(IF('AW Schüler'!$G146=0,"-",D26/'AW Schüler'!$G146)))</f>
        <v>-</v>
      </c>
      <c r="J26" s="153" t="str">
        <f>IF('AW Schüler'!$J128=0,"x",(IF('AW Schüler'!$J146=0,"-",E26/'AW Schüler'!$J146)))</f>
        <v>-</v>
      </c>
      <c r="K26" s="153" t="str">
        <f>IF('AW Schüler'!$M128=0,"x",(IF('AW Schüler'!$M146=0,"-",F26/'AW Schüler'!$M146)))</f>
        <v>-</v>
      </c>
      <c r="L26" s="154" t="str">
        <f>IF('AW Schüler'!$P128=0,"x",(IF('AW Schüler'!$P146=0,"-",G26/'AW Schüler'!$P146)))</f>
        <v>-</v>
      </c>
    </row>
    <row r="27" spans="1:12" ht="9" customHeight="1">
      <c r="A27" s="21" t="s">
        <v>95</v>
      </c>
      <c r="B27" s="120"/>
      <c r="C27" s="42">
        <f t="shared" si="0"/>
        <v>1851</v>
      </c>
      <c r="D27" s="42">
        <f t="shared" si="0"/>
        <v>2235</v>
      </c>
      <c r="E27" s="42">
        <f t="shared" si="0"/>
        <v>2723</v>
      </c>
      <c r="F27" s="42">
        <f t="shared" ref="F27:G27" si="19">SUM(F45+F63)</f>
        <v>3270</v>
      </c>
      <c r="G27" s="44">
        <f t="shared" si="19"/>
        <v>4172</v>
      </c>
      <c r="H27" s="153">
        <f>IF('AW Schüler'!$D129=0,"x",(IF('AW Schüler'!$D147=0,"-",C27/'AW Schüler'!$D147)))</f>
        <v>0.96910994764397906</v>
      </c>
      <c r="I27" s="153">
        <f>IF('AW Schüler'!$G129=0,"x",(IF('AW Schüler'!$G147=0,"-",D27/'AW Schüler'!$G147)))</f>
        <v>0.97258485639686687</v>
      </c>
      <c r="J27" s="153">
        <f>IF('AW Schüler'!$J129=0,"x",(IF('AW Schüler'!$J147=0,"-",E27/'AW Schüler'!$J147)))</f>
        <v>0.94944211994421202</v>
      </c>
      <c r="K27" s="153">
        <f>IF('AW Schüler'!$M129=0,"x",(IF('AW Schüler'!$M147=0,"-",F27/'AW Schüler'!$M147)))</f>
        <v>0.934819897084048</v>
      </c>
      <c r="L27" s="154">
        <f>IF('AW Schüler'!$P129=0,"x",(IF('AW Schüler'!$P147=0,"-",G27/'AW Schüler'!$P147)))</f>
        <v>0.91692307692307695</v>
      </c>
    </row>
    <row r="28" spans="1:12" ht="9" customHeight="1">
      <c r="A28" s="21" t="s">
        <v>96</v>
      </c>
      <c r="B28" s="120"/>
      <c r="C28" s="42">
        <f t="shared" ref="C28" si="20">SUM(C46+C64)</f>
        <v>13300</v>
      </c>
      <c r="D28" s="42">
        <f t="shared" ref="D28:E28" si="21">SUM(D46+D64)</f>
        <v>18660</v>
      </c>
      <c r="E28" s="42">
        <f t="shared" si="21"/>
        <v>24416</v>
      </c>
      <c r="F28" s="42">
        <f t="shared" ref="F28:G28" si="22">SUM(F46+F64)</f>
        <v>30205</v>
      </c>
      <c r="G28" s="44">
        <f t="shared" si="22"/>
        <v>33220</v>
      </c>
      <c r="H28" s="153">
        <f>IF('AW Schüler'!$D130=0,"x",(IF('AW Schüler'!$D148=0,"-",C28/'AW Schüler'!$D148)))</f>
        <v>0.60805559365427697</v>
      </c>
      <c r="I28" s="153">
        <f>IF('AW Schüler'!$G130=0,"x",(IF('AW Schüler'!$G148=0,"-",D28/'AW Schüler'!$G148)))</f>
        <v>0.51180778408623384</v>
      </c>
      <c r="J28" s="153">
        <f>IF('AW Schüler'!$J130=0,"x",(IF('AW Schüler'!$J148=0,"-",E28/'AW Schüler'!$J148)))</f>
        <v>0.46039258574849623</v>
      </c>
      <c r="K28" s="153">
        <f>IF('AW Schüler'!$M130=0,"x",(IF('AW Schüler'!$M148=0,"-",F28/'AW Schüler'!$M148)))</f>
        <v>0.47084223160979566</v>
      </c>
      <c r="L28" s="154">
        <f>IF('AW Schüler'!$P130=0,"x",(IF('AW Schüler'!$P148=0,"-",G28/'AW Schüler'!$P148)))</f>
        <v>0.46758438194972274</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23">
        <f>'3.2.8.1'!C30+'3.3.8.1'!C30</f>
        <v>1326</v>
      </c>
      <c r="D30" s="23">
        <f>'3.2.8.1'!D30+'3.3.8.1'!D30</f>
        <v>1574</v>
      </c>
      <c r="E30" s="23">
        <f>'3.2.8.1'!E30+'3.3.8.1'!E30</f>
        <v>3731</v>
      </c>
      <c r="F30" s="23">
        <f>'3.2.8.1'!F30+'3.3.8.1'!F30</f>
        <v>4879</v>
      </c>
      <c r="G30" s="34">
        <f>'3.2.8.1'!G30+'3.3.8.1'!G30</f>
        <v>5357</v>
      </c>
      <c r="H30" s="155">
        <f>IF('AW Schüler'!$D114=0,"x",(IF('AW Schüler'!$D132=0,"-",C30/'AW Schüler'!$D132)))</f>
        <v>0.20272129643785353</v>
      </c>
      <c r="I30" s="155">
        <f>IF('AW Schüler'!$G114=0,"x",(IF('AW Schüler'!$G132=0,"-",D30/'AW Schüler'!$G132)))</f>
        <v>7.6877991599101303E-2</v>
      </c>
      <c r="J30" s="155">
        <f>IF('AW Schüler'!$J114=0,"x",(IF('AW Schüler'!$J132=0,"-",E30/'AW Schüler'!$J132)))</f>
        <v>0.10430236783987029</v>
      </c>
      <c r="K30" s="155">
        <f>IF('AW Schüler'!$M114=0,"x",(IF('AW Schüler'!$M132=0,"-",F30/'AW Schüler'!$M132)))</f>
        <v>0.10885279550220874</v>
      </c>
      <c r="L30" s="156">
        <f>IF('AW Schüler'!$P114=0,"x",(IF('AW Schüler'!$P132=0,"-",G30/'AW Schüler'!$P132)))</f>
        <v>0.10856436446173801</v>
      </c>
    </row>
    <row r="31" spans="1:12" ht="9" customHeight="1">
      <c r="A31" s="21" t="s">
        <v>81</v>
      </c>
      <c r="B31" s="120"/>
      <c r="C31" s="23">
        <f>'3.2.8.1'!C31+'3.3.8.1'!C31</f>
        <v>0</v>
      </c>
      <c r="D31" s="23">
        <f>'3.2.8.1'!D31+'3.3.8.1'!D31</f>
        <v>0</v>
      </c>
      <c r="E31" s="23">
        <f>'3.2.8.1'!E31+'3.3.8.1'!E31</f>
        <v>0</v>
      </c>
      <c r="F31" s="23" t="e">
        <f>'3.2.8.1'!F31+'3.3.8.1'!F31</f>
        <v>#VALUE!</v>
      </c>
      <c r="G31" s="34">
        <f>'3.2.8.1'!G31+'3.3.8.1'!G31</f>
        <v>0</v>
      </c>
      <c r="H31" s="155" t="str">
        <f>IF('AW Schüler'!$D115=0,"x",(IF('AW Schüler'!$D133=0,"-",C31/'AW Schüler'!$D133)))</f>
        <v>-</v>
      </c>
      <c r="I31" s="155" t="str">
        <f>IF('AW Schüler'!$G115=0,"x",(IF('AW Schüler'!$G133=0,"-",D31/'AW Schüler'!$G133)))</f>
        <v>-</v>
      </c>
      <c r="J31" s="155" t="str">
        <f>IF('AW Schüler'!$J115=0,"x",(IF('AW Schüler'!$J133=0,"-",E31/'AW Schüler'!$J133)))</f>
        <v>-</v>
      </c>
      <c r="K31" s="155" t="str">
        <f>IF('AW Schüler'!$M115=0,"x",(IF('AW Schüler'!$M133=0,"-",F31/'AW Schüler'!$M133)))</f>
        <v>-</v>
      </c>
      <c r="L31" s="156" t="str">
        <f>IF('AW Schüler'!$P115=0,"x",(IF('AW Schüler'!$P133=0,"-",G31/'AW Schüler'!$P133)))</f>
        <v>-</v>
      </c>
    </row>
    <row r="32" spans="1:12" ht="9" customHeight="1">
      <c r="A32" s="21" t="s">
        <v>82</v>
      </c>
      <c r="B32" s="120"/>
      <c r="C32" s="23">
        <f>'3.2.8.1'!C32+'3.3.8.1'!C32</f>
        <v>1709</v>
      </c>
      <c r="D32" s="23">
        <f>'3.2.8.1'!D32+'3.3.8.1'!D32</f>
        <v>2098</v>
      </c>
      <c r="E32" s="23">
        <f>'3.2.8.1'!E32+'3.3.8.1'!E32</f>
        <v>1829</v>
      </c>
      <c r="F32" s="23">
        <f>'3.2.8.1'!F32+'3.3.8.1'!F32</f>
        <v>2387</v>
      </c>
      <c r="G32" s="34">
        <f>'3.2.8.1'!G32+'3.3.8.1'!G32</f>
        <v>2240</v>
      </c>
      <c r="H32" s="155">
        <f>IF('AW Schüler'!$D116=0,"x",(IF('AW Schüler'!$D134=0,"-",C32/'AW Schüler'!$D134)))</f>
        <v>0.26913385826771652</v>
      </c>
      <c r="I32" s="155">
        <f>IF('AW Schüler'!$G116=0,"x",(IF('AW Schüler'!$G134=0,"-",D32/'AW Schüler'!$G134)))</f>
        <v>0.33254081470914565</v>
      </c>
      <c r="J32" s="155">
        <f>IF('AW Schüler'!$J116=0,"x",(IF('AW Schüler'!$J134=0,"-",E32/'AW Schüler'!$J134)))</f>
        <v>0.27754172989377845</v>
      </c>
      <c r="K32" s="155">
        <f>IF('AW Schüler'!$M116=0,"x",(IF('AW Schüler'!$M134=0,"-",F32/'AW Schüler'!$M134)))</f>
        <v>0.31615894039735098</v>
      </c>
      <c r="L32" s="156">
        <f>IF('AW Schüler'!$P116=0,"x",(IF('AW Schüler'!$P134=0,"-",G32/'AW Schüler'!$P134)))</f>
        <v>0.27736503219415554</v>
      </c>
    </row>
    <row r="33" spans="1:12" ht="9" customHeight="1">
      <c r="A33" s="21" t="s">
        <v>83</v>
      </c>
      <c r="B33" s="120"/>
      <c r="C33" s="23">
        <f>'3.2.8.1'!C33+'3.3.8.1'!C33</f>
        <v>0</v>
      </c>
      <c r="D33" s="23">
        <f>'3.2.8.1'!D33+'3.3.8.1'!D33</f>
        <v>0</v>
      </c>
      <c r="E33" s="23">
        <f>'3.2.8.1'!E33+'3.3.8.1'!E33</f>
        <v>0</v>
      </c>
      <c r="F33" s="23">
        <f>'3.2.8.1'!F33+'3.3.8.1'!F33</f>
        <v>0</v>
      </c>
      <c r="G33" s="34">
        <f>'3.2.8.1'!G33+'3.3.8.1'!G33</f>
        <v>0</v>
      </c>
      <c r="H33" s="155">
        <f>IF('AW Schüler'!$D117=0,"x",(IF('AW Schüler'!$D135=0,"-",C33/'AW Schüler'!$D135)))</f>
        <v>0</v>
      </c>
      <c r="I33" s="155">
        <f>IF('AW Schüler'!$G117=0,"x",(IF('AW Schüler'!$G135=0,"-",D33/'AW Schüler'!$G135)))</f>
        <v>0</v>
      </c>
      <c r="J33" s="155">
        <f>IF('AW Schüler'!$J117=0,"x",(IF('AW Schüler'!$J135=0,"-",E33/'AW Schüler'!$J135)))</f>
        <v>0</v>
      </c>
      <c r="K33" s="155">
        <f>IF('AW Schüler'!$M117=0,"x",(IF('AW Schüler'!$M135=0,"-",F33/'AW Schüler'!$M135)))</f>
        <v>0</v>
      </c>
      <c r="L33" s="156">
        <f>IF('AW Schüler'!$P117=0,"x",(IF('AW Schüler'!$P135=0,"-",G33/'AW Schüler'!$P135)))</f>
        <v>0</v>
      </c>
    </row>
    <row r="34" spans="1:12" ht="9" customHeight="1">
      <c r="A34" s="21" t="s">
        <v>84</v>
      </c>
      <c r="B34" s="120"/>
      <c r="C34" s="23">
        <f>'3.2.8.1'!C34+'3.3.8.1'!C34</f>
        <v>0</v>
      </c>
      <c r="D34" s="23">
        <f>'3.2.8.1'!D34+'3.3.8.1'!D34</f>
        <v>0</v>
      </c>
      <c r="E34" s="23">
        <f>'3.2.8.1'!E34+'3.3.8.1'!E34</f>
        <v>0</v>
      </c>
      <c r="F34" s="23">
        <f>'3.2.8.1'!F34+'3.3.8.1'!F34</f>
        <v>0</v>
      </c>
      <c r="G34" s="34">
        <f>'3.2.8.1'!G34+'3.3.8.1'!G34</f>
        <v>0</v>
      </c>
      <c r="H34" s="155" t="str">
        <f>IF('AW Schüler'!$D118=0,"x",(IF('AW Schüler'!$D136=0,"-",C34/'AW Schüler'!$D136)))</f>
        <v>-</v>
      </c>
      <c r="I34" s="155" t="str">
        <f>IF('AW Schüler'!$G118=0,"x",(IF('AW Schüler'!$G136=0,"-",D34/'AW Schüler'!$G136)))</f>
        <v>-</v>
      </c>
      <c r="J34" s="155" t="str">
        <f>IF('AW Schüler'!$J118=0,"x",(IF('AW Schüler'!$J136=0,"-",E34/'AW Schüler'!$J136)))</f>
        <v>-</v>
      </c>
      <c r="K34" s="155" t="str">
        <f>IF('AW Schüler'!$M118=0,"x",(IF('AW Schüler'!$M136=0,"-",F34/'AW Schüler'!$M136)))</f>
        <v>-</v>
      </c>
      <c r="L34" s="156" t="str">
        <f>IF('AW Schüler'!$P118=0,"x",(IF('AW Schüler'!$P136=0,"-",G34/'AW Schüler'!$P136)))</f>
        <v>-</v>
      </c>
    </row>
    <row r="35" spans="1:12" ht="9" customHeight="1">
      <c r="A35" s="21" t="s">
        <v>85</v>
      </c>
      <c r="B35" s="120"/>
      <c r="C35" s="23">
        <f>'3.2.8.1'!C35+'3.3.8.1'!C35</f>
        <v>1228</v>
      </c>
      <c r="D35" s="23">
        <f>'3.2.8.1'!D35+'3.3.8.1'!D35</f>
        <v>2201</v>
      </c>
      <c r="E35" s="23">
        <f>'3.2.8.1'!E35+'3.3.8.1'!E35</f>
        <v>1984</v>
      </c>
      <c r="F35" s="23">
        <f>'3.2.8.1'!F35+'3.3.8.1'!F35</f>
        <v>1957</v>
      </c>
      <c r="G35" s="34">
        <f>'3.2.8.1'!G35+'3.3.8.1'!G35</f>
        <v>2006</v>
      </c>
      <c r="H35" s="155">
        <f>IF('AW Schüler'!$D119=0,"x",(IF('AW Schüler'!$D137=0,"-",C35/'AW Schüler'!$D137)))</f>
        <v>0.29328875089562934</v>
      </c>
      <c r="I35" s="155">
        <f>IF('AW Schüler'!$G119=0,"x",(IF('AW Schüler'!$G137=0,"-",D35/'AW Schüler'!$G137)))</f>
        <v>0.49394075403949733</v>
      </c>
      <c r="J35" s="155">
        <f>IF('AW Schüler'!$J119=0,"x",(IF('AW Schüler'!$J137=0,"-",E35/'AW Schüler'!$J137)))</f>
        <v>0.4519362186788155</v>
      </c>
      <c r="K35" s="155">
        <f>IF('AW Schüler'!$M119=0,"x",(IF('AW Schüler'!$M137=0,"-",F35/'AW Schüler'!$M137)))</f>
        <v>0.44609072258946886</v>
      </c>
      <c r="L35" s="156">
        <f>IF('AW Schüler'!$P119=0,"x",(IF('AW Schüler'!$P137=0,"-",G35/'AW Schüler'!$P137)))</f>
        <v>0.45415440344124974</v>
      </c>
    </row>
    <row r="36" spans="1:12" ht="9" customHeight="1">
      <c r="A36" s="21" t="s">
        <v>86</v>
      </c>
      <c r="B36" s="120"/>
      <c r="C36" s="23">
        <f>'3.2.8.1'!C36+'3.3.8.1'!C36</f>
        <v>420</v>
      </c>
      <c r="D36" s="23">
        <f>'3.2.8.1'!D36+'3.3.8.1'!D36</f>
        <v>407</v>
      </c>
      <c r="E36" s="23">
        <f>'3.2.8.1'!E36+'3.3.8.1'!E36</f>
        <v>191</v>
      </c>
      <c r="F36" s="23">
        <f>'3.2.8.1'!F36+'3.3.8.1'!F36</f>
        <v>192</v>
      </c>
      <c r="G36" s="34">
        <f>'3.2.8.1'!G36+'3.3.8.1'!G36</f>
        <v>190</v>
      </c>
      <c r="H36" s="183">
        <v>0</v>
      </c>
      <c r="I36" s="183">
        <v>0</v>
      </c>
      <c r="J36" s="183">
        <v>0</v>
      </c>
      <c r="K36" s="183">
        <v>0</v>
      </c>
      <c r="L36" s="197">
        <v>0</v>
      </c>
    </row>
    <row r="37" spans="1:12" ht="9" customHeight="1">
      <c r="A37" s="21" t="s">
        <v>223</v>
      </c>
      <c r="B37" s="120"/>
      <c r="C37" s="23">
        <f>'3.2.8.1'!C37+'3.3.8.1'!C37</f>
        <v>0</v>
      </c>
      <c r="D37" s="23">
        <f>'3.2.8.1'!D37+'3.3.8.1'!D37</f>
        <v>0</v>
      </c>
      <c r="E37" s="23">
        <f>'3.2.8.1'!E37+'3.3.8.1'!E37</f>
        <v>0</v>
      </c>
      <c r="F37" s="23">
        <f>'3.2.8.1'!F37+'3.3.8.1'!F37</f>
        <v>0</v>
      </c>
      <c r="G37" s="34">
        <f>'3.2.8.1'!G37+'3.3.8.1'!G37</f>
        <v>0</v>
      </c>
      <c r="H37" s="155" t="str">
        <f>IF('AW Schüler'!$D121=0,"x",(IF('AW Schüler'!$D139=0,"-",C37/'AW Schüler'!$D139)))</f>
        <v>-</v>
      </c>
      <c r="I37" s="155" t="str">
        <f>IF('AW Schüler'!$G121=0,"x",(IF('AW Schüler'!$G139=0,"-",D37/'AW Schüler'!$G139)))</f>
        <v>-</v>
      </c>
      <c r="J37" s="155" t="str">
        <f>IF('AW Schüler'!$J121=0,"x",(IF('AW Schüler'!$J139=0,"-",E37/'AW Schüler'!$J139)))</f>
        <v>-</v>
      </c>
      <c r="K37" s="155" t="str">
        <f>IF('AW Schüler'!$M121=0,"x",(IF('AW Schüler'!$M139=0,"-",F37/'AW Schüler'!$M139)))</f>
        <v>-</v>
      </c>
      <c r="L37" s="156" t="str">
        <f>IF('AW Schüler'!$P121=0,"x",(IF('AW Schüler'!$P139=0,"-",G37/'AW Schüler'!$P139)))</f>
        <v>-</v>
      </c>
    </row>
    <row r="38" spans="1:12" ht="9" customHeight="1">
      <c r="A38" s="21" t="s">
        <v>88</v>
      </c>
      <c r="B38" s="120"/>
      <c r="C38" s="23">
        <f>'3.2.8.1'!C38+'3.3.8.1'!C38</f>
        <v>388</v>
      </c>
      <c r="D38" s="23">
        <f>'3.2.8.1'!D38+'3.3.8.1'!D38</f>
        <v>367</v>
      </c>
      <c r="E38" s="23">
        <f>'3.2.8.1'!E38+'3.3.8.1'!E38</f>
        <v>394</v>
      </c>
      <c r="F38" s="23">
        <f>'3.2.8.1'!F38+'3.3.8.1'!F38</f>
        <v>395</v>
      </c>
      <c r="G38" s="34">
        <f>'3.2.8.1'!G38+'3.3.8.1'!G38</f>
        <v>363</v>
      </c>
      <c r="H38" s="183">
        <v>0</v>
      </c>
      <c r="I38" s="183">
        <v>0</v>
      </c>
      <c r="J38" s="183">
        <v>0</v>
      </c>
      <c r="K38" s="183">
        <v>0</v>
      </c>
      <c r="L38" s="197">
        <v>0</v>
      </c>
    </row>
    <row r="39" spans="1:12" ht="9" customHeight="1">
      <c r="A39" s="21" t="s">
        <v>89</v>
      </c>
      <c r="B39" s="120"/>
      <c r="C39" s="23">
        <f>'3.2.8.1'!C39+'3.3.8.1'!C39</f>
        <v>0</v>
      </c>
      <c r="D39" s="23">
        <f>'3.2.8.1'!D39+'3.3.8.1'!D39</f>
        <v>0</v>
      </c>
      <c r="E39" s="23">
        <f>'3.2.8.1'!E39+'3.3.8.1'!E39</f>
        <v>1</v>
      </c>
      <c r="F39" s="23">
        <f>'3.2.8.1'!F39+'3.3.8.1'!F39</f>
        <v>110</v>
      </c>
      <c r="G39" s="34">
        <f>'3.2.8.1'!G39+'3.3.8.1'!G39</f>
        <v>229</v>
      </c>
      <c r="H39" s="155" t="str">
        <f>IF('AW Schüler'!$D123=0,"x",(IF('AW Schüler'!$D141=0,"-",C39/'AW Schüler'!$D141)))</f>
        <v>-</v>
      </c>
      <c r="I39" s="155">
        <f>IF('AW Schüler'!$G123=0,"x",(IF('AW Schüler'!$G141=0,"-",D39/'AW Schüler'!$G141)))</f>
        <v>0</v>
      </c>
      <c r="J39" s="155">
        <f>IF('AW Schüler'!$J123=0,"x",(IF('AW Schüler'!$J141=0,"-",E39/'AW Schüler'!$J141)))</f>
        <v>2.7472527472527475E-3</v>
      </c>
      <c r="K39" s="155">
        <f>IF('AW Schüler'!$M123=0,"x",(IF('AW Schüler'!$M141=0,"-",F39/'AW Schüler'!$M141)))</f>
        <v>0.16541353383458646</v>
      </c>
      <c r="L39" s="156">
        <f>IF('AW Schüler'!$P123=0,"x",(IF('AW Schüler'!$P141=0,"-",G39/'AW Schüler'!$P141)))</f>
        <v>0.23632610939112486</v>
      </c>
    </row>
    <row r="40" spans="1:12" ht="9" customHeight="1">
      <c r="A40" s="21" t="s">
        <v>90</v>
      </c>
      <c r="B40" s="120"/>
      <c r="C40" s="23">
        <f>'3.2.8.1'!C40+'3.3.8.1'!C40</f>
        <v>0</v>
      </c>
      <c r="D40" s="23">
        <f>'3.2.8.1'!D40+'3.3.8.1'!D40</f>
        <v>0</v>
      </c>
      <c r="E40" s="23">
        <f>'3.2.8.1'!E40+'3.3.8.1'!E40</f>
        <v>0</v>
      </c>
      <c r="F40" s="23">
        <f>'3.2.8.1'!F40+'3.3.8.1'!F40</f>
        <v>0</v>
      </c>
      <c r="G40" s="34">
        <f>'3.2.8.1'!G40+'3.3.8.1'!G40</f>
        <v>0</v>
      </c>
      <c r="H40" s="155" t="str">
        <f>IF('AW Schüler'!$D124=0,"x",(IF('AW Schüler'!$D142=0,"-",C40/'AW Schüler'!$D142)))</f>
        <v>-</v>
      </c>
      <c r="I40" s="155" t="str">
        <f>IF('AW Schüler'!$G124=0,"x",(IF('AW Schüler'!$G142=0,"-",D40/'AW Schüler'!$G142)))</f>
        <v>-</v>
      </c>
      <c r="J40" s="155" t="str">
        <f>IF('AW Schüler'!$J124=0,"x",(IF('AW Schüler'!$J142=0,"-",E40/'AW Schüler'!$J142)))</f>
        <v>-</v>
      </c>
      <c r="K40" s="155" t="str">
        <f>IF('AW Schüler'!$M124=0,"x",(IF('AW Schüler'!$M142=0,"-",F40/'AW Schüler'!$M142)))</f>
        <v>-</v>
      </c>
      <c r="L40" s="156" t="str">
        <f>IF('AW Schüler'!$P124=0,"x",(IF('AW Schüler'!$P142=0,"-",G40/'AW Schüler'!$P142)))</f>
        <v>-</v>
      </c>
    </row>
    <row r="41" spans="1:12" ht="9" customHeight="1">
      <c r="A41" s="21" t="s">
        <v>91</v>
      </c>
      <c r="B41" s="120"/>
      <c r="C41" s="23">
        <f>'3.2.8.1'!C41+'3.3.8.1'!C41</f>
        <v>0</v>
      </c>
      <c r="D41" s="23">
        <f>'3.2.8.1'!D41+'3.3.8.1'!D41</f>
        <v>0</v>
      </c>
      <c r="E41" s="23">
        <f>'3.2.8.1'!E41+'3.3.8.1'!E41</f>
        <v>0</v>
      </c>
      <c r="F41" s="23">
        <f>'3.2.8.1'!F41+'3.3.8.1'!F41</f>
        <v>0</v>
      </c>
      <c r="G41" s="34">
        <f>'3.2.8.1'!G41+'3.3.8.1'!G41</f>
        <v>0</v>
      </c>
      <c r="H41" s="155" t="str">
        <f>IF('AW Schüler'!$D125=0,"x",(IF('AW Schüler'!$D143=0,"-",C41/'AW Schüler'!$D143)))</f>
        <v>-</v>
      </c>
      <c r="I41" s="155" t="str">
        <f>IF('AW Schüler'!$G125=0,"x",(IF('AW Schüler'!$G143=0,"-",D41/'AW Schüler'!$G143)))</f>
        <v>-</v>
      </c>
      <c r="J41" s="155" t="str">
        <f>IF('AW Schüler'!$J125=0,"x",(IF('AW Schüler'!$J143=0,"-",E41/'AW Schüler'!$J143)))</f>
        <v>-</v>
      </c>
      <c r="K41" s="155" t="str">
        <f>IF('AW Schüler'!$M125=0,"x",(IF('AW Schüler'!$M143=0,"-",F41/'AW Schüler'!$M143)))</f>
        <v>-</v>
      </c>
      <c r="L41" s="156" t="str">
        <f>IF('AW Schüler'!$P125=0,"x",(IF('AW Schüler'!$P143=0,"-",G41/'AW Schüler'!$P143)))</f>
        <v>-</v>
      </c>
    </row>
    <row r="42" spans="1:12" ht="9" customHeight="1">
      <c r="A42" s="21" t="s">
        <v>92</v>
      </c>
      <c r="B42" s="120"/>
      <c r="C42" s="151">
        <f>'3.2.8.1'!C42+'3.3.8.1'!C42</f>
        <v>0</v>
      </c>
      <c r="D42" s="151">
        <f>'3.2.8.1'!D42+'3.3.8.1'!D42</f>
        <v>0</v>
      </c>
      <c r="E42" s="151">
        <f>'3.2.8.1'!E42+'3.3.8.1'!E42</f>
        <v>0</v>
      </c>
      <c r="F42" s="151">
        <f>'3.2.8.1'!F42+'3.3.8.1'!F42</f>
        <v>0</v>
      </c>
      <c r="G42" s="152">
        <f>'3.2.8.1'!G42+'3.3.8.1'!G42</f>
        <v>0</v>
      </c>
      <c r="H42" s="155" t="str">
        <f>IF('AW Schüler'!$D126=0,"x",(IF('AW Schüler'!$D144=0,"-",C42/'AW Schüler'!$D144)))</f>
        <v>x</v>
      </c>
      <c r="I42" s="155" t="str">
        <f>IF('AW Schüler'!$G126=0,"x",(IF('AW Schüler'!$G144=0,"-",D42/'AW Schüler'!$G144)))</f>
        <v>x</v>
      </c>
      <c r="J42" s="155" t="str">
        <f>IF('AW Schüler'!$J126=0,"x",(IF('AW Schüler'!$J144=0,"-",E42/'AW Schüler'!$J144)))</f>
        <v>x</v>
      </c>
      <c r="K42" s="155" t="str">
        <f>IF('AW Schüler'!$M126=0,"x",(IF('AW Schüler'!$M144=0,"-",F42/'AW Schüler'!$M144)))</f>
        <v>x</v>
      </c>
      <c r="L42" s="156" t="str">
        <f>IF('AW Schüler'!$P126=0,"x",(IF('AW Schüler'!$P144=0,"-",G42/'AW Schüler'!$P144)))</f>
        <v>x</v>
      </c>
    </row>
    <row r="43" spans="1:12" ht="9" customHeight="1">
      <c r="A43" s="21" t="s">
        <v>93</v>
      </c>
      <c r="B43" s="120"/>
      <c r="C43" s="23">
        <f>'3.2.8.1'!C43+'3.3.8.1'!C43</f>
        <v>0</v>
      </c>
      <c r="D43" s="23">
        <f>'3.2.8.1'!D43+'3.3.8.1'!D43</f>
        <v>0</v>
      </c>
      <c r="E43" s="23">
        <f>'3.2.8.1'!E43+'3.3.8.1'!E43</f>
        <v>0</v>
      </c>
      <c r="F43" s="23">
        <f>'3.2.8.1'!F43+'3.3.8.1'!F43</f>
        <v>0</v>
      </c>
      <c r="G43" s="34">
        <f>'3.2.8.1'!G43+'3.3.8.1'!G43</f>
        <v>0</v>
      </c>
      <c r="H43" s="183">
        <v>0</v>
      </c>
      <c r="I43" s="183">
        <v>0</v>
      </c>
      <c r="J43" s="183">
        <v>0</v>
      </c>
      <c r="K43" s="183">
        <v>0</v>
      </c>
      <c r="L43" s="197">
        <v>0</v>
      </c>
    </row>
    <row r="44" spans="1:12" ht="9" customHeight="1">
      <c r="A44" s="21" t="s">
        <v>226</v>
      </c>
      <c r="B44" s="120"/>
      <c r="C44" s="23">
        <f>'3.2.8.1'!C44+'3.3.8.1'!C44</f>
        <v>0</v>
      </c>
      <c r="D44" s="23">
        <f>'3.2.8.1'!D44+'3.3.8.1'!D44</f>
        <v>0</v>
      </c>
      <c r="E44" s="23">
        <f>'3.2.8.1'!E44+'3.3.8.1'!E44</f>
        <v>0</v>
      </c>
      <c r="F44" s="23">
        <f>'3.2.8.1'!F44+'3.3.8.1'!F44</f>
        <v>0</v>
      </c>
      <c r="G44" s="34">
        <f>'3.2.8.1'!G44+'3.3.8.1'!G44</f>
        <v>0</v>
      </c>
      <c r="H44" s="155" t="str">
        <f>IF('AW Schüler'!$D128=0,"x",(IF('AW Schüler'!$D146=0,"-",C44/'AW Schüler'!$D146)))</f>
        <v>-</v>
      </c>
      <c r="I44" s="155" t="str">
        <f>IF('AW Schüler'!$G128=0,"x",(IF('AW Schüler'!$G146=0,"-",D44/'AW Schüler'!$G146)))</f>
        <v>-</v>
      </c>
      <c r="J44" s="155" t="str">
        <f>IF('AW Schüler'!$J128=0,"x",(IF('AW Schüler'!$J146=0,"-",E44/'AW Schüler'!$J146)))</f>
        <v>-</v>
      </c>
      <c r="K44" s="155" t="str">
        <f>IF('AW Schüler'!$M128=0,"x",(IF('AW Schüler'!$M146=0,"-",F44/'AW Schüler'!$M146)))</f>
        <v>-</v>
      </c>
      <c r="L44" s="156" t="str">
        <f>IF('AW Schüler'!$P128=0,"x",(IF('AW Schüler'!$P146=0,"-",G44/'AW Schüler'!$P146)))</f>
        <v>-</v>
      </c>
    </row>
    <row r="45" spans="1:12" ht="9" customHeight="1">
      <c r="A45" s="21" t="s">
        <v>95</v>
      </c>
      <c r="B45" s="120"/>
      <c r="C45" s="23">
        <f>'3.2.8.1'!C45+'3.3.8.1'!C45</f>
        <v>1110</v>
      </c>
      <c r="D45" s="23">
        <f>'3.2.8.1'!D45+'3.3.8.1'!D45</f>
        <v>1369</v>
      </c>
      <c r="E45" s="23">
        <f>'3.2.8.1'!E45+'3.3.8.1'!E45</f>
        <v>1560</v>
      </c>
      <c r="F45" s="23">
        <f>'3.2.8.1'!F45+'3.3.8.1'!F45</f>
        <v>2134</v>
      </c>
      <c r="G45" s="34">
        <f>'3.2.8.1'!G45+'3.3.8.1'!G45</f>
        <v>2321</v>
      </c>
      <c r="H45" s="155">
        <f>IF('AW Schüler'!$D129=0,"x",(IF('AW Schüler'!$D147=0,"-",C45/'AW Schüler'!$D147)))</f>
        <v>0.58115183246073299</v>
      </c>
      <c r="I45" s="155">
        <f>IF('AW Schüler'!$G129=0,"x",(IF('AW Schüler'!$G147=0,"-",D45/'AW Schüler'!$G147)))</f>
        <v>0.59573542210617925</v>
      </c>
      <c r="J45" s="155">
        <f>IF('AW Schüler'!$J129=0,"x",(IF('AW Schüler'!$J147=0,"-",E45/'AW Schüler'!$J147)))</f>
        <v>0.54393305439330542</v>
      </c>
      <c r="K45" s="155">
        <f>IF('AW Schüler'!$M129=0,"x",(IF('AW Schüler'!$M147=0,"-",F45/'AW Schüler'!$M147)))</f>
        <v>0.61006289308176098</v>
      </c>
      <c r="L45" s="156">
        <f>IF('AW Schüler'!$P129=0,"x",(IF('AW Schüler'!$P147=0,"-",G45/'AW Schüler'!$P147)))</f>
        <v>0.51010989010989016</v>
      </c>
    </row>
    <row r="46" spans="1:12" ht="9" customHeight="1">
      <c r="A46" s="21" t="s">
        <v>96</v>
      </c>
      <c r="B46" s="120"/>
      <c r="C46" s="23">
        <f>'3.2.8.1'!C46+'3.3.8.1'!C46</f>
        <v>6181</v>
      </c>
      <c r="D46" s="23">
        <f>'3.2.8.1'!D46+'3.3.8.1'!D46</f>
        <v>8016</v>
      </c>
      <c r="E46" s="23">
        <f>'3.2.8.1'!E46+'3.3.8.1'!E46</f>
        <v>9690</v>
      </c>
      <c r="F46" s="23">
        <f>'3.2.8.1'!F46+'3.3.8.1'!F46</f>
        <v>12054</v>
      </c>
      <c r="G46" s="34">
        <f>'3.2.8.1'!G46+'3.3.8.1'!G46</f>
        <v>12706</v>
      </c>
      <c r="H46" s="155">
        <f>IF('AW Schüler'!$D130=0,"x",(IF('AW Schüler'!$D148=0,"-",C46/'AW Schüler'!$D148)))</f>
        <v>0.28258583641932977</v>
      </c>
      <c r="I46" s="155">
        <f>IF('AW Schüler'!$G130=0,"x",(IF('AW Schüler'!$G148=0,"-",D46/'AW Schüler'!$G148)))</f>
        <v>0.21986340821196412</v>
      </c>
      <c r="J46" s="155">
        <f>IF('AW Schüler'!$J130=0,"x",(IF('AW Schüler'!$J148=0,"-",E46/'AW Schüler'!$J148)))</f>
        <v>0.18271642185054587</v>
      </c>
      <c r="K46" s="155">
        <f>IF('AW Schüler'!$M130=0,"x",(IF('AW Schüler'!$M148=0,"-",F46/'AW Schüler'!$M148)))</f>
        <v>0.18790042244080374</v>
      </c>
      <c r="L46" s="156">
        <f>IF('AW Schüler'!$P130=0,"x",(IF('AW Schüler'!$P148=0,"-",G46/'AW Schüler'!$P148)))</f>
        <v>0.17884187709371394</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'3.2.8.1'!C48+'3.3.8.1'!C48</f>
        <v>749</v>
      </c>
      <c r="D48" s="23">
        <f>'3.2.8.1'!D48+'3.3.8.1'!D48</f>
        <v>3534</v>
      </c>
      <c r="E48" s="23">
        <f>'3.2.8.1'!E48+'3.3.8.1'!E48</f>
        <v>5776</v>
      </c>
      <c r="F48" s="23">
        <f>'3.2.8.1'!F48+'3.3.8.1'!F48</f>
        <v>8224</v>
      </c>
      <c r="G48" s="34">
        <f>'3.2.8.1'!G48+'3.3.8.1'!G48</f>
        <v>8885</v>
      </c>
      <c r="H48" s="155">
        <f>IF('AW Schüler'!$D114=0,"x",(IF('AW Schüler'!$D132=0,"-",C48/'AW Schüler'!$D132)))</f>
        <v>0.11450848494114049</v>
      </c>
      <c r="I48" s="155">
        <f>IF('AW Schüler'!$G114=0,"x",(IF('AW Schüler'!$G132=0,"-",D48/'AW Schüler'!$G132)))</f>
        <v>0.17260916284067598</v>
      </c>
      <c r="J48" s="155">
        <f>IF('AW Schüler'!$J114=0,"x",(IF('AW Schüler'!$J132=0,"-",E48/'AW Schüler'!$J132)))</f>
        <v>0.16147158312599591</v>
      </c>
      <c r="K48" s="155">
        <f>IF('AW Schüler'!$M114=0,"x",(IF('AW Schüler'!$M132=0,"-",F48/'AW Schüler'!$M132)))</f>
        <v>0.18348132613448753</v>
      </c>
      <c r="L48" s="156">
        <f>IF('AW Schüler'!$P114=0,"x",(IF('AW Schüler'!$P132=0,"-",G48/'AW Schüler'!$P132)))</f>
        <v>0.18006241893644617</v>
      </c>
    </row>
    <row r="49" spans="1:12" ht="9" customHeight="1">
      <c r="A49" s="21" t="s">
        <v>81</v>
      </c>
      <c r="B49" s="120"/>
      <c r="C49" s="23">
        <f>'3.2.8.1'!C49+'3.3.8.1'!C49</f>
        <v>0</v>
      </c>
      <c r="D49" s="23">
        <f>'3.2.8.1'!D49+'3.3.8.1'!D49</f>
        <v>0</v>
      </c>
      <c r="E49" s="23">
        <f>'3.2.8.1'!E49+'3.3.8.1'!E49</f>
        <v>0</v>
      </c>
      <c r="F49" s="23" t="e">
        <f>'3.2.8.1'!F49+'3.3.8.1'!F49</f>
        <v>#VALUE!</v>
      </c>
      <c r="G49" s="34">
        <f>'3.2.8.1'!G49+'3.3.8.1'!G49</f>
        <v>0</v>
      </c>
      <c r="H49" s="155" t="str">
        <f>IF('AW Schüler'!$D115=0,"x",(IF('AW Schüler'!$D133=0,"-",C49/'AW Schüler'!$D133)))</f>
        <v>-</v>
      </c>
      <c r="I49" s="155" t="str">
        <f>IF('AW Schüler'!$G115=0,"x",(IF('AW Schüler'!$G133=0,"-",D49/'AW Schüler'!$G133)))</f>
        <v>-</v>
      </c>
      <c r="J49" s="155" t="str">
        <f>IF('AW Schüler'!$J115=0,"x",(IF('AW Schüler'!$J133=0,"-",E49/'AW Schüler'!$J133)))</f>
        <v>-</v>
      </c>
      <c r="K49" s="155" t="str">
        <f>IF('AW Schüler'!$M115=0,"x",(IF('AW Schüler'!$M133=0,"-",F49/'AW Schüler'!$M133)))</f>
        <v>-</v>
      </c>
      <c r="L49" s="156" t="str">
        <f>IF('AW Schüler'!$P115=0,"x",(IF('AW Schüler'!$P133=0,"-",G49/'AW Schüler'!$P133)))</f>
        <v>-</v>
      </c>
    </row>
    <row r="50" spans="1:12" ht="9" customHeight="1">
      <c r="A50" s="21" t="s">
        <v>82</v>
      </c>
      <c r="B50" s="120"/>
      <c r="C50" s="23">
        <f>'3.2.8.1'!C50+'3.3.8.1'!C50</f>
        <v>3584</v>
      </c>
      <c r="D50" s="23">
        <f>'3.2.8.1'!D50+'3.3.8.1'!D50</f>
        <v>3242</v>
      </c>
      <c r="E50" s="23">
        <f>'3.2.8.1'!E50+'3.3.8.1'!E50</f>
        <v>4103</v>
      </c>
      <c r="F50" s="23">
        <f>'3.2.8.1'!F50+'3.3.8.1'!F50</f>
        <v>4453</v>
      </c>
      <c r="G50" s="34">
        <f>'3.2.8.1'!G50+'3.3.8.1'!G50</f>
        <v>5024</v>
      </c>
      <c r="H50" s="155">
        <f>IF('AW Schüler'!$D116=0,"x",(IF('AW Schüler'!$D134=0,"-",C50/'AW Schüler'!$D134)))</f>
        <v>0.56440944881889765</v>
      </c>
      <c r="I50" s="155">
        <f>IF('AW Schüler'!$G116=0,"x",(IF('AW Schüler'!$G134=0,"-",D50/'AW Schüler'!$G134)))</f>
        <v>0.51386907592328424</v>
      </c>
      <c r="J50" s="155">
        <f>IF('AW Schüler'!$J116=0,"x",(IF('AW Schüler'!$J134=0,"-",E50/'AW Schüler'!$J134)))</f>
        <v>0.62261001517450687</v>
      </c>
      <c r="K50" s="155">
        <f>IF('AW Schüler'!$M116=0,"x",(IF('AW Schüler'!$M134=0,"-",F50/'AW Schüler'!$M134)))</f>
        <v>0.58980132450331124</v>
      </c>
      <c r="L50" s="156">
        <f>IF('AW Schüler'!$P116=0,"x",(IF('AW Schüler'!$P134=0,"-",G50/'AW Schüler'!$P134)))</f>
        <v>0.62209014363546311</v>
      </c>
    </row>
    <row r="51" spans="1:12" ht="9" customHeight="1">
      <c r="A51" s="21" t="s">
        <v>83</v>
      </c>
      <c r="B51" s="120"/>
      <c r="C51" s="23">
        <f>'3.2.8.1'!C51+'3.3.8.1'!C51</f>
        <v>103</v>
      </c>
      <c r="D51" s="23">
        <f>'3.2.8.1'!D51+'3.3.8.1'!D51</f>
        <v>108</v>
      </c>
      <c r="E51" s="23">
        <f>'3.2.8.1'!E51+'3.3.8.1'!E51</f>
        <v>122</v>
      </c>
      <c r="F51" s="23">
        <f>'3.2.8.1'!F51+'3.3.8.1'!F51</f>
        <v>136</v>
      </c>
      <c r="G51" s="34">
        <f>'3.2.8.1'!G51+'3.3.8.1'!G51</f>
        <v>265</v>
      </c>
      <c r="H51" s="155">
        <f>IF('AW Schüler'!$D117=0,"x",(IF('AW Schüler'!$D135=0,"-",C51/'AW Schüler'!$D135)))</f>
        <v>0.43829787234042555</v>
      </c>
      <c r="I51" s="155">
        <f>IF('AW Schüler'!$G117=0,"x",(IF('AW Schüler'!$G135=0,"-",D51/'AW Schüler'!$G135)))</f>
        <v>0.45</v>
      </c>
      <c r="J51" s="155">
        <f>IF('AW Schüler'!$J117=0,"x",(IF('AW Schüler'!$J135=0,"-",E51/'AW Schüler'!$J135)))</f>
        <v>0.46923076923076923</v>
      </c>
      <c r="K51" s="155">
        <f>IF('AW Schüler'!$M117=0,"x",(IF('AW Schüler'!$M135=0,"-",F51/'AW Schüler'!$M135)))</f>
        <v>0.49816849816849818</v>
      </c>
      <c r="L51" s="156">
        <f>IF('AW Schüler'!$P117=0,"x",(IF('AW Schüler'!$P135=0,"-",G51/'AW Schüler'!$P135)))</f>
        <v>0.59284116331096193</v>
      </c>
    </row>
    <row r="52" spans="1:12" ht="9" customHeight="1">
      <c r="A52" s="21" t="s">
        <v>84</v>
      </c>
      <c r="B52" s="120"/>
      <c r="C52" s="23">
        <f>'3.2.8.1'!C52+'3.3.8.1'!C52</f>
        <v>0</v>
      </c>
      <c r="D52" s="23">
        <f>'3.2.8.1'!D52+'3.3.8.1'!D52</f>
        <v>0</v>
      </c>
      <c r="E52" s="23">
        <f>'3.2.8.1'!E52+'3.3.8.1'!E52</f>
        <v>0</v>
      </c>
      <c r="F52" s="23">
        <f>'3.2.8.1'!F52+'3.3.8.1'!F52</f>
        <v>0</v>
      </c>
      <c r="G52" s="34">
        <f>'3.2.8.1'!G52+'3.3.8.1'!G52</f>
        <v>0</v>
      </c>
      <c r="H52" s="155" t="str">
        <f>IF('AW Schüler'!$D118=0,"x",(IF('AW Schüler'!$D136=0,"-",C52/'AW Schüler'!$D136)))</f>
        <v>-</v>
      </c>
      <c r="I52" s="155" t="str">
        <f>IF('AW Schüler'!$G118=0,"x",(IF('AW Schüler'!$G136=0,"-",D52/'AW Schüler'!$G136)))</f>
        <v>-</v>
      </c>
      <c r="J52" s="155" t="str">
        <f>IF('AW Schüler'!$J118=0,"x",(IF('AW Schüler'!$J136=0,"-",E52/'AW Schüler'!$J136)))</f>
        <v>-</v>
      </c>
      <c r="K52" s="155" t="str">
        <f>IF('AW Schüler'!$M118=0,"x",(IF('AW Schüler'!$M136=0,"-",F52/'AW Schüler'!$M136)))</f>
        <v>-</v>
      </c>
      <c r="L52" s="156" t="str">
        <f>IF('AW Schüler'!$P118=0,"x",(IF('AW Schüler'!$P136=0,"-",G52/'AW Schüler'!$P136)))</f>
        <v>-</v>
      </c>
    </row>
    <row r="53" spans="1:12" ht="9" customHeight="1">
      <c r="A53" s="21" t="s">
        <v>85</v>
      </c>
      <c r="B53" s="120"/>
      <c r="C53" s="23">
        <f>'3.2.8.1'!C53+'3.3.8.1'!C53</f>
        <v>811</v>
      </c>
      <c r="D53" s="23">
        <f>'3.2.8.1'!D53+'3.3.8.1'!D53</f>
        <v>1904</v>
      </c>
      <c r="E53" s="23">
        <f>'3.2.8.1'!E53+'3.3.8.1'!E53</f>
        <v>2019</v>
      </c>
      <c r="F53" s="23">
        <f>'3.2.8.1'!F53+'3.3.8.1'!F53</f>
        <v>2430</v>
      </c>
      <c r="G53" s="34">
        <f>'3.2.8.1'!G53+'3.3.8.1'!G53</f>
        <v>2411</v>
      </c>
      <c r="H53" s="155">
        <f>IF('AW Schüler'!$D119=0,"x",(IF('AW Schüler'!$D137=0,"-",C53/'AW Schüler'!$D137)))</f>
        <v>0.19369476952471937</v>
      </c>
      <c r="I53" s="155">
        <f>IF('AW Schüler'!$G119=0,"x",(IF('AW Schüler'!$G137=0,"-",D53/'AW Schüler'!$G137)))</f>
        <v>0.4272890484739677</v>
      </c>
      <c r="J53" s="155">
        <f>IF('AW Schüler'!$J119=0,"x",(IF('AW Schüler'!$J137=0,"-",E53/'AW Schüler'!$J137)))</f>
        <v>0.45990888382687928</v>
      </c>
      <c r="K53" s="155">
        <f>IF('AW Schüler'!$M119=0,"x",(IF('AW Schüler'!$M137=0,"-",F53/'AW Schüler'!$M137)))</f>
        <v>0.55390927741053109</v>
      </c>
      <c r="L53" s="156">
        <f>IF('AW Schüler'!$P119=0,"x",(IF('AW Schüler'!$P137=0,"-",G53/'AW Schüler'!$P137)))</f>
        <v>0.54584559655875031</v>
      </c>
    </row>
    <row r="54" spans="1:12" ht="9" customHeight="1">
      <c r="A54" s="21" t="s">
        <v>114</v>
      </c>
      <c r="B54" s="120"/>
      <c r="C54" s="23">
        <f>'3.2.8.1'!C54+'3.3.8.1'!C54</f>
        <v>1131</v>
      </c>
      <c r="D54" s="23">
        <f>'3.2.8.1'!D54+'3.3.8.1'!D54</f>
        <v>922</v>
      </c>
      <c r="E54" s="23">
        <f>'3.2.8.1'!E54+'3.3.8.1'!E54</f>
        <v>1254</v>
      </c>
      <c r="F54" s="23">
        <f>'3.2.8.1'!F54+'3.3.8.1'!F54</f>
        <v>1359</v>
      </c>
      <c r="G54" s="34">
        <f>'3.2.8.1'!G54+'3.3.8.1'!G54</f>
        <v>1544</v>
      </c>
      <c r="H54" s="183">
        <v>0</v>
      </c>
      <c r="I54" s="183">
        <v>0</v>
      </c>
      <c r="J54" s="183">
        <v>0</v>
      </c>
      <c r="K54" s="183">
        <v>0</v>
      </c>
      <c r="L54" s="197">
        <v>0</v>
      </c>
    </row>
    <row r="55" spans="1:12" ht="9" customHeight="1">
      <c r="A55" s="21" t="s">
        <v>223</v>
      </c>
      <c r="B55" s="120"/>
      <c r="C55" s="23">
        <f>'3.2.8.1'!C55+'3.3.8.1'!C55</f>
        <v>0</v>
      </c>
      <c r="D55" s="23">
        <f>'3.2.8.1'!D55+'3.3.8.1'!D55</f>
        <v>0</v>
      </c>
      <c r="E55" s="23">
        <f>'3.2.8.1'!E55+'3.3.8.1'!E55</f>
        <v>0</v>
      </c>
      <c r="F55" s="23">
        <f>'3.2.8.1'!F55+'3.3.8.1'!F55</f>
        <v>0</v>
      </c>
      <c r="G55" s="34">
        <f>'3.2.8.1'!G55+'3.3.8.1'!G55</f>
        <v>0</v>
      </c>
      <c r="H55" s="155" t="str">
        <f>IF('AW Schüler'!$D121=0,"x",(IF('AW Schüler'!$D139=0,"-",C55/'AW Schüler'!$D139)))</f>
        <v>-</v>
      </c>
      <c r="I55" s="155" t="str">
        <f>IF('AW Schüler'!$G121=0,"x",(IF('AW Schüler'!$G139=0,"-",D55/'AW Schüler'!$G139)))</f>
        <v>-</v>
      </c>
      <c r="J55" s="155" t="str">
        <f>IF('AW Schüler'!$J121=0,"x",(IF('AW Schüler'!$J139=0,"-",E55/'AW Schüler'!$J139)))</f>
        <v>-</v>
      </c>
      <c r="K55" s="155" t="str">
        <f>IF('AW Schüler'!$M121=0,"x",(IF('AW Schüler'!$M139=0,"-",F55/'AW Schüler'!$M139)))</f>
        <v>-</v>
      </c>
      <c r="L55" s="156" t="str">
        <f>IF('AW Schüler'!$P121=0,"x",(IF('AW Schüler'!$P139=0,"-",G55/'AW Schüler'!$P139)))</f>
        <v>-</v>
      </c>
    </row>
    <row r="56" spans="1:12" ht="9" customHeight="1">
      <c r="A56" s="21" t="s">
        <v>88</v>
      </c>
      <c r="B56" s="120"/>
      <c r="C56" s="23">
        <f>'3.2.8.1'!C56+'3.3.8.1'!C56</f>
        <v>0</v>
      </c>
      <c r="D56" s="23">
        <f>'3.2.8.1'!D56+'3.3.8.1'!D56</f>
        <v>0</v>
      </c>
      <c r="E56" s="23">
        <f>'3.2.8.1'!E56+'3.3.8.1'!E56</f>
        <v>0</v>
      </c>
      <c r="F56" s="23">
        <f>'3.2.8.1'!F56+'3.3.8.1'!F56</f>
        <v>0</v>
      </c>
      <c r="G56" s="34">
        <f>'3.2.8.1'!G56+'3.3.8.1'!G56</f>
        <v>0</v>
      </c>
      <c r="H56" s="183">
        <v>0</v>
      </c>
      <c r="I56" s="183">
        <v>0</v>
      </c>
      <c r="J56" s="183">
        <v>0</v>
      </c>
      <c r="K56" s="183">
        <v>0</v>
      </c>
      <c r="L56" s="197">
        <v>0</v>
      </c>
    </row>
    <row r="57" spans="1:12" ht="9" customHeight="1">
      <c r="A57" s="21" t="s">
        <v>89</v>
      </c>
      <c r="B57" s="120"/>
      <c r="C57" s="23">
        <f>'3.2.8.1'!C57+'3.3.8.1'!C57</f>
        <v>0</v>
      </c>
      <c r="D57" s="23">
        <f>'3.2.8.1'!D57+'3.3.8.1'!D57</f>
        <v>68</v>
      </c>
      <c r="E57" s="23">
        <f>'3.2.8.1'!E57+'3.3.8.1'!E57</f>
        <v>289</v>
      </c>
      <c r="F57" s="23">
        <f>'3.2.8.1'!F57+'3.3.8.1'!F57</f>
        <v>413</v>
      </c>
      <c r="G57" s="34">
        <f>'3.2.8.1'!G57+'3.3.8.1'!G57</f>
        <v>534</v>
      </c>
      <c r="H57" s="155" t="str">
        <f>IF('AW Schüler'!$D123=0,"x",(IF('AW Schüler'!$D141=0,"-",C57/'AW Schüler'!$D141)))</f>
        <v>-</v>
      </c>
      <c r="I57" s="155">
        <f>IF('AW Schüler'!$G123=0,"x",(IF('AW Schüler'!$G141=0,"-",D57/'AW Schüler'!$G141)))</f>
        <v>1</v>
      </c>
      <c r="J57" s="155">
        <f>IF('AW Schüler'!$J123=0,"x",(IF('AW Schüler'!$J141=0,"-",E57/'AW Schüler'!$J141)))</f>
        <v>0.79395604395604391</v>
      </c>
      <c r="K57" s="155">
        <f>IF('AW Schüler'!$M123=0,"x",(IF('AW Schüler'!$M141=0,"-",F57/'AW Schüler'!$M141)))</f>
        <v>0.62105263157894741</v>
      </c>
      <c r="L57" s="156">
        <f>IF('AW Schüler'!$P123=0,"x",(IF('AW Schüler'!$P141=0,"-",G57/'AW Schüler'!$P141)))</f>
        <v>0.55108359133126938</v>
      </c>
    </row>
    <row r="58" spans="1:12" ht="9" customHeight="1">
      <c r="A58" s="21" t="s">
        <v>90</v>
      </c>
      <c r="B58" s="120"/>
      <c r="C58" s="23">
        <f>'3.2.8.1'!C58+'3.3.8.1'!C58</f>
        <v>0</v>
      </c>
      <c r="D58" s="23">
        <f>'3.2.8.1'!D58+'3.3.8.1'!D58</f>
        <v>0</v>
      </c>
      <c r="E58" s="23">
        <f>'3.2.8.1'!E58+'3.3.8.1'!E58</f>
        <v>0</v>
      </c>
      <c r="F58" s="23">
        <f>'3.2.8.1'!F58+'3.3.8.1'!F58</f>
        <v>0</v>
      </c>
      <c r="G58" s="34">
        <f>'3.2.8.1'!G58+'3.3.8.1'!G58</f>
        <v>0</v>
      </c>
      <c r="H58" s="155" t="str">
        <f>IF('AW Schüler'!$D124=0,"x",(IF('AW Schüler'!$D142=0,"-",C58/'AW Schüler'!$D142)))</f>
        <v>-</v>
      </c>
      <c r="I58" s="155" t="str">
        <f>IF('AW Schüler'!$G124=0,"x",(IF('AW Schüler'!$G142=0,"-",D58/'AW Schüler'!$G142)))</f>
        <v>-</v>
      </c>
      <c r="J58" s="155" t="str">
        <f>IF('AW Schüler'!$J124=0,"x",(IF('AW Schüler'!$J142=0,"-",E58/'AW Schüler'!$J142)))</f>
        <v>-</v>
      </c>
      <c r="K58" s="155" t="str">
        <f>IF('AW Schüler'!$M124=0,"x",(IF('AW Schüler'!$M142=0,"-",F58/'AW Schüler'!$M142)))</f>
        <v>-</v>
      </c>
      <c r="L58" s="156" t="str">
        <f>IF('AW Schüler'!$P124=0,"x",(IF('AW Schüler'!$P142=0,"-",G58/'AW Schüler'!$P142)))</f>
        <v>-</v>
      </c>
    </row>
    <row r="59" spans="1:12" ht="9" customHeight="1">
      <c r="A59" s="21" t="s">
        <v>91</v>
      </c>
      <c r="B59" s="120"/>
      <c r="C59" s="23">
        <f>'3.2.8.1'!C59+'3.3.8.1'!C59</f>
        <v>0</v>
      </c>
      <c r="D59" s="23">
        <f>'3.2.8.1'!D59+'3.3.8.1'!D59</f>
        <v>0</v>
      </c>
      <c r="E59" s="23">
        <f>'3.2.8.1'!E59+'3.3.8.1'!E59</f>
        <v>0</v>
      </c>
      <c r="F59" s="23">
        <f>'3.2.8.1'!F59+'3.3.8.1'!F59</f>
        <v>0</v>
      </c>
      <c r="G59" s="34">
        <f>'3.2.8.1'!G59+'3.3.8.1'!G59</f>
        <v>0</v>
      </c>
      <c r="H59" s="155" t="str">
        <f>IF('AW Schüler'!$D125=0,"x",(IF('AW Schüler'!$D143=0,"-",C59/'AW Schüler'!$D143)))</f>
        <v>-</v>
      </c>
      <c r="I59" s="155" t="str">
        <f>IF('AW Schüler'!$G125=0,"x",(IF('AW Schüler'!$G143=0,"-",D59/'AW Schüler'!$G143)))</f>
        <v>-</v>
      </c>
      <c r="J59" s="155" t="str">
        <f>IF('AW Schüler'!$J125=0,"x",(IF('AW Schüler'!$J143=0,"-",E59/'AW Schüler'!$J143)))</f>
        <v>-</v>
      </c>
      <c r="K59" s="155" t="str">
        <f>IF('AW Schüler'!$M125=0,"x",(IF('AW Schüler'!$M143=0,"-",F59/'AW Schüler'!$M143)))</f>
        <v>-</v>
      </c>
      <c r="L59" s="156" t="str">
        <f>IF('AW Schüler'!$P125=0,"x",(IF('AW Schüler'!$P143=0,"-",G59/'AW Schüler'!$P143)))</f>
        <v>-</v>
      </c>
    </row>
    <row r="60" spans="1:12" ht="9" customHeight="1">
      <c r="A60" s="21" t="s">
        <v>92</v>
      </c>
      <c r="B60" s="120"/>
      <c r="C60" s="151">
        <f>'3.2.8.1'!C60+'3.3.8.1'!C60</f>
        <v>0</v>
      </c>
      <c r="D60" s="151">
        <f>'3.2.8.1'!D60+'3.3.8.1'!D60</f>
        <v>0</v>
      </c>
      <c r="E60" s="151">
        <f>'3.2.8.1'!E60+'3.3.8.1'!E60</f>
        <v>0</v>
      </c>
      <c r="F60" s="151">
        <f>'3.2.8.1'!F60+'3.3.8.1'!F60</f>
        <v>0</v>
      </c>
      <c r="G60" s="152">
        <f>'3.2.8.1'!G60+'3.3.8.1'!G60</f>
        <v>0</v>
      </c>
      <c r="H60" s="155" t="str">
        <f>IF('AW Schüler'!$D126=0,"x",(IF('AW Schüler'!$D144=0,"-",C60/'AW Schüler'!$D144)))</f>
        <v>x</v>
      </c>
      <c r="I60" s="155" t="str">
        <f>IF('AW Schüler'!$G126=0,"x",(IF('AW Schüler'!$G144=0,"-",D60/'AW Schüler'!$G144)))</f>
        <v>x</v>
      </c>
      <c r="J60" s="155" t="str">
        <f>IF('AW Schüler'!$J126=0,"x",(IF('AW Schüler'!$J144=0,"-",E60/'AW Schüler'!$J144)))</f>
        <v>x</v>
      </c>
      <c r="K60" s="155" t="str">
        <f>IF('AW Schüler'!$M126=0,"x",(IF('AW Schüler'!$M144=0,"-",F60/'AW Schüler'!$M144)))</f>
        <v>x</v>
      </c>
      <c r="L60" s="156" t="str">
        <f>IF('AW Schüler'!$P126=0,"x",(IF('AW Schüler'!$P144=0,"-",G60/'AW Schüler'!$P144)))</f>
        <v>x</v>
      </c>
    </row>
    <row r="61" spans="1:12" ht="9" customHeight="1">
      <c r="A61" s="21" t="s">
        <v>93</v>
      </c>
      <c r="B61" s="120"/>
      <c r="C61" s="23">
        <f>'3.2.8.1'!C61+'3.3.8.1'!C61</f>
        <v>0</v>
      </c>
      <c r="D61" s="23">
        <f>'3.2.8.1'!D61+'3.3.8.1'!D61</f>
        <v>0</v>
      </c>
      <c r="E61" s="23">
        <f>'3.2.8.1'!E61+'3.3.8.1'!E61</f>
        <v>0</v>
      </c>
      <c r="F61" s="23">
        <f>'3.2.8.1'!F61+'3.3.8.1'!F61</f>
        <v>0</v>
      </c>
      <c r="G61" s="34">
        <f>'3.2.8.1'!G61+'3.3.8.1'!G61</f>
        <v>0</v>
      </c>
      <c r="H61" s="183">
        <v>0</v>
      </c>
      <c r="I61" s="183">
        <v>0</v>
      </c>
      <c r="J61" s="183">
        <v>0</v>
      </c>
      <c r="K61" s="183">
        <v>0</v>
      </c>
      <c r="L61" s="197">
        <v>0</v>
      </c>
    </row>
    <row r="62" spans="1:12" ht="9" customHeight="1">
      <c r="A62" s="21" t="s">
        <v>226</v>
      </c>
      <c r="B62" s="120"/>
      <c r="C62" s="23">
        <f>'3.2.8.1'!C62+'3.3.8.1'!C62</f>
        <v>0</v>
      </c>
      <c r="D62" s="23">
        <f>'3.2.8.1'!D62+'3.3.8.1'!D62</f>
        <v>0</v>
      </c>
      <c r="E62" s="23">
        <f>'3.2.8.1'!E62+'3.3.8.1'!E62</f>
        <v>0</v>
      </c>
      <c r="F62" s="23">
        <f>'3.2.8.1'!F62+'3.3.8.1'!F62</f>
        <v>0</v>
      </c>
      <c r="G62" s="34">
        <f>'3.2.8.1'!G62+'3.3.8.1'!G62</f>
        <v>0</v>
      </c>
      <c r="H62" s="155" t="str">
        <f>IF('AW Schüler'!$D128=0,"x",(IF('AW Schüler'!$D146=0,"-",C62/'AW Schüler'!$D146)))</f>
        <v>-</v>
      </c>
      <c r="I62" s="155" t="str">
        <f>IF('AW Schüler'!$G128=0,"x",(IF('AW Schüler'!$G146=0,"-",D62/'AW Schüler'!$G146)))</f>
        <v>-</v>
      </c>
      <c r="J62" s="155" t="str">
        <f>IF('AW Schüler'!$J128=0,"x",(IF('AW Schüler'!$J146=0,"-",E62/'AW Schüler'!$J146)))</f>
        <v>-</v>
      </c>
      <c r="K62" s="155" t="str">
        <f>IF('AW Schüler'!$M128=0,"x",(IF('AW Schüler'!$M146=0,"-",F62/'AW Schüler'!$M146)))</f>
        <v>-</v>
      </c>
      <c r="L62" s="156" t="str">
        <f>IF('AW Schüler'!$P128=0,"x",(IF('AW Schüler'!$P146=0,"-",G62/'AW Schüler'!$P146)))</f>
        <v>-</v>
      </c>
    </row>
    <row r="63" spans="1:12" ht="9" customHeight="1">
      <c r="A63" s="21" t="s">
        <v>95</v>
      </c>
      <c r="B63" s="120"/>
      <c r="C63" s="23">
        <f>'3.2.8.1'!C63+'3.3.8.1'!C63</f>
        <v>741</v>
      </c>
      <c r="D63" s="23">
        <f>'3.2.8.1'!D63+'3.3.8.1'!D63</f>
        <v>866</v>
      </c>
      <c r="E63" s="23">
        <f>'3.2.8.1'!E63+'3.3.8.1'!E63</f>
        <v>1163</v>
      </c>
      <c r="F63" s="23">
        <f>'3.2.8.1'!F63+'3.3.8.1'!F63</f>
        <v>1136</v>
      </c>
      <c r="G63" s="34">
        <f>'3.2.8.1'!G63+'3.3.8.1'!G63</f>
        <v>1851</v>
      </c>
      <c r="H63" s="155">
        <f>IF('AW Schüler'!$D129=0,"x",(IF('AW Schüler'!$D147=0,"-",C63/'AW Schüler'!$D147)))</f>
        <v>0.38795811518324608</v>
      </c>
      <c r="I63" s="155">
        <f>IF('AW Schüler'!$G129=0,"x",(IF('AW Schüler'!$G147=0,"-",D63/'AW Schüler'!$G147)))</f>
        <v>0.37684943429068757</v>
      </c>
      <c r="J63" s="155">
        <f>IF('AW Schüler'!$J129=0,"x",(IF('AW Schüler'!$J147=0,"-",E63/'AW Schüler'!$J147)))</f>
        <v>0.40550906555090654</v>
      </c>
      <c r="K63" s="155">
        <f>IF('AW Schüler'!$M129=0,"x",(IF('AW Schüler'!$M147=0,"-",F63/'AW Schüler'!$M147)))</f>
        <v>0.32475700400228702</v>
      </c>
      <c r="L63" s="156">
        <f>IF('AW Schüler'!$P129=0,"x",(IF('AW Schüler'!$P147=0,"-",G63/'AW Schüler'!$P147)))</f>
        <v>0.40681318681318679</v>
      </c>
    </row>
    <row r="64" spans="1:12" ht="8.65" customHeight="1">
      <c r="A64" s="24" t="s">
        <v>96</v>
      </c>
      <c r="B64" s="121"/>
      <c r="C64" s="26">
        <f>'3.2.8.1'!C64+'3.3.8.1'!C64</f>
        <v>7119</v>
      </c>
      <c r="D64" s="26">
        <f>'3.2.8.1'!D64+'3.3.8.1'!D64</f>
        <v>10644</v>
      </c>
      <c r="E64" s="26">
        <f>'3.2.8.1'!E64+'3.3.8.1'!E64</f>
        <v>14726</v>
      </c>
      <c r="F64" s="26">
        <f>'3.2.8.1'!F64+'3.3.8.1'!F64</f>
        <v>18151</v>
      </c>
      <c r="G64" s="47">
        <f>'3.2.8.1'!G64+'3.3.8.1'!G64</f>
        <v>20514</v>
      </c>
      <c r="H64" s="157">
        <f>IF('AW Schüler'!$D130=0,"x",(IF('AW Schüler'!$D148=0,"-",C64/'AW Schüler'!$D148)))</f>
        <v>0.3254697572349472</v>
      </c>
      <c r="I64" s="157">
        <f>IF('AW Schüler'!$G130=0,"x",(IF('AW Schüler'!$G148=0,"-",D64/'AW Schüler'!$G148)))</f>
        <v>0.29194437587426975</v>
      </c>
      <c r="J64" s="157">
        <f>IF('AW Schüler'!$J130=0,"x",(IF('AW Schüler'!$J148=0,"-",E64/'AW Schüler'!$J148)))</f>
        <v>0.27767616389795036</v>
      </c>
      <c r="K64" s="157">
        <f>IF('AW Schüler'!$M130=0,"x",(IF('AW Schüler'!$M148=0,"-",F64/'AW Schüler'!$M148)))</f>
        <v>0.28294180916899192</v>
      </c>
      <c r="L64" s="158">
        <f>IF('AW Schüler'!$P130=0,"x",(IF('AW Schüler'!$P148=0,"-",G64/'AW Schüler'!$P148)))</f>
        <v>0.28874250485600877</v>
      </c>
    </row>
    <row r="65" spans="1:254" ht="18.75" customHeight="1">
      <c r="A65" s="396" t="s">
        <v>312</v>
      </c>
      <c r="B65" s="396"/>
      <c r="C65" s="396"/>
      <c r="D65" s="396"/>
      <c r="E65" s="396"/>
      <c r="F65" s="396"/>
      <c r="G65" s="396"/>
      <c r="H65" s="396"/>
      <c r="I65" s="396"/>
      <c r="J65" s="396"/>
      <c r="K65" s="396"/>
      <c r="L65" s="396"/>
    </row>
    <row r="66" spans="1:254" ht="10.15" customHeight="1">
      <c r="A66" s="399" t="s">
        <v>286</v>
      </c>
      <c r="B66" s="399"/>
      <c r="C66" s="399"/>
      <c r="D66" s="399"/>
      <c r="E66" s="399"/>
      <c r="F66" s="399"/>
      <c r="G66" s="399"/>
      <c r="H66" s="399"/>
      <c r="I66" s="399"/>
      <c r="J66" s="277"/>
      <c r="K66" s="325"/>
      <c r="L66" s="350"/>
    </row>
    <row r="67" spans="1:254" ht="18.600000000000001" customHeight="1">
      <c r="A67" s="381" t="s">
        <v>207</v>
      </c>
      <c r="B67" s="381"/>
      <c r="C67" s="381"/>
      <c r="D67" s="381"/>
      <c r="E67" s="381"/>
      <c r="F67" s="381"/>
      <c r="G67" s="381"/>
      <c r="H67" s="381"/>
      <c r="I67" s="381"/>
      <c r="J67" s="395"/>
      <c r="K67" s="395"/>
      <c r="L67" s="395"/>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row>
    <row r="68" spans="1:254" ht="19.5" customHeight="1">
      <c r="A68" s="387" t="s">
        <v>295</v>
      </c>
      <c r="B68" s="387"/>
      <c r="C68" s="387"/>
      <c r="D68" s="387"/>
      <c r="E68" s="387"/>
      <c r="F68" s="387"/>
      <c r="G68" s="387"/>
      <c r="H68" s="387"/>
      <c r="I68" s="394"/>
      <c r="J68" s="395"/>
      <c r="K68" s="395"/>
      <c r="L68" s="395"/>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row>
    <row r="69" spans="1:254" ht="9.75" customHeight="1">
      <c r="A69" s="306" t="s">
        <v>222</v>
      </c>
      <c r="B69" s="276"/>
      <c r="C69" s="276"/>
      <c r="D69" s="276"/>
      <c r="E69" s="276"/>
      <c r="F69" s="284"/>
      <c r="G69" s="351"/>
      <c r="H69" s="276"/>
      <c r="I69" s="273"/>
      <c r="J69" s="273"/>
      <c r="K69" s="322"/>
      <c r="L69" s="322"/>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row>
    <row r="70" spans="1:254" ht="10.15" customHeight="1">
      <c r="A70" s="305" t="s">
        <v>225</v>
      </c>
      <c r="B70" s="275"/>
      <c r="C70" s="274"/>
      <c r="D70" s="274"/>
      <c r="E70" s="274"/>
      <c r="F70" s="323"/>
      <c r="G70" s="348"/>
      <c r="H70" s="274"/>
      <c r="I70" s="274"/>
      <c r="J70" s="274"/>
      <c r="K70" s="323"/>
      <c r="L70" s="348"/>
    </row>
    <row r="71" spans="1:254" ht="9.4" customHeight="1">
      <c r="A71" s="305" t="s">
        <v>101</v>
      </c>
      <c r="C71" s="274"/>
      <c r="D71" s="274"/>
      <c r="E71" s="274"/>
      <c r="F71" s="323"/>
      <c r="G71" s="348"/>
      <c r="H71" s="274"/>
      <c r="I71" s="274"/>
      <c r="J71" s="274"/>
      <c r="K71" s="323"/>
      <c r="L71" s="348"/>
    </row>
    <row r="84" spans="1:1" ht="10.5" customHeight="1"/>
    <row r="85" spans="1:1" ht="10.15" customHeight="1">
      <c r="A85" s="274"/>
    </row>
  </sheetData>
  <mergeCells count="10">
    <mergeCell ref="A1:L1"/>
    <mergeCell ref="A67:L67"/>
    <mergeCell ref="A68:L68"/>
    <mergeCell ref="A66:I66"/>
    <mergeCell ref="C9:G9"/>
    <mergeCell ref="H9:L9"/>
    <mergeCell ref="A11:L11"/>
    <mergeCell ref="A29:L29"/>
    <mergeCell ref="A47:L47"/>
    <mergeCell ref="A65:L65"/>
  </mergeCells>
  <conditionalFormatting sqref="N25">
    <cfRule type="cellIs" dxfId="27" priority="1" stopIfTrue="1" operator="greaterThan">
      <formula>1</formula>
    </cfRule>
  </conditionalFormatting>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M84"/>
  <sheetViews>
    <sheetView view="pageBreakPreview" topLeftCell="A10"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'3.1.8.1'!A1:J1+1</f>
        <v>44</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4.1" customHeight="1">
      <c r="A5" s="13" t="s">
        <v>47</v>
      </c>
      <c r="B5" s="39" t="s">
        <v>133</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137</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42">
        <f t="shared" ref="C12:C28" si="0">SUM(C30+C48)</f>
        <v>3892</v>
      </c>
      <c r="D12" s="42">
        <f t="shared" ref="D12:E12" si="1">SUM(D30+D48)</f>
        <v>3275</v>
      </c>
      <c r="E12" s="42">
        <f t="shared" si="1"/>
        <v>3239</v>
      </c>
      <c r="F12" s="42">
        <f t="shared" ref="F12:G12" si="2">SUM(F30+F48)</f>
        <v>3248</v>
      </c>
      <c r="G12" s="44">
        <f t="shared" si="2"/>
        <v>3373</v>
      </c>
      <c r="H12" s="153">
        <f>IF('AW Schüler'!$D150=0,"x",C12/'AW Schüler'!$D150)</f>
        <v>0.20480976687891386</v>
      </c>
      <c r="I12" s="153">
        <f>IF('AW Schüler'!$G150=0,"x",D12/'AW Schüler'!$G150)</f>
        <v>0.17362951966917611</v>
      </c>
      <c r="J12" s="153">
        <f>IF('AW Schüler'!$J150=0,"x",E12/'AW Schüler'!$J150)</f>
        <v>0.17318077313799926</v>
      </c>
      <c r="K12" s="153">
        <f>IF('AW Schüler'!$M150=0,"x",F12/'AW Schüler'!$M150)</f>
        <v>0.17494344500700204</v>
      </c>
      <c r="L12" s="154">
        <f>IF('AW Schüler'!$P150=0,"x",G12/'AW Schüler'!$P150)</f>
        <v>0.18164683073940438</v>
      </c>
    </row>
    <row r="13" spans="1:13" ht="9" customHeight="1">
      <c r="A13" s="21" t="s">
        <v>81</v>
      </c>
      <c r="B13" s="120"/>
      <c r="C13" s="42">
        <f t="shared" si="0"/>
        <v>1729</v>
      </c>
      <c r="D13" s="42">
        <f t="shared" ref="D13:E13" si="3">SUM(D31+D49)</f>
        <v>2225</v>
      </c>
      <c r="E13" s="42">
        <f t="shared" si="3"/>
        <v>2644</v>
      </c>
      <c r="F13" s="42">
        <f t="shared" ref="F13:G13" si="4">SUM(F31+F49)</f>
        <v>2987</v>
      </c>
      <c r="G13" s="44">
        <f t="shared" si="4"/>
        <v>3383</v>
      </c>
      <c r="H13" s="153">
        <f>IF('AW Schüler'!$D151=0,"x",C13/'AW Schüler'!$D151)</f>
        <v>0.25968759387203366</v>
      </c>
      <c r="I13" s="153">
        <f>IF('AW Schüler'!$G151=0,"x",D13/'AW Schüler'!$G151)</f>
        <v>0.33509036144578314</v>
      </c>
      <c r="J13" s="153">
        <f>IF('AW Schüler'!$J151=0,"x",E13/'AW Schüler'!$J151)</f>
        <v>0.39037354200501995</v>
      </c>
      <c r="K13" s="153">
        <f>IF('AW Schüler'!$M151=0,"x",F13/'AW Schüler'!$M151)</f>
        <v>0.43804076844112039</v>
      </c>
      <c r="L13" s="154">
        <f>IF('AW Schüler'!$P151=0,"x",G13/'AW Schüler'!$P151)</f>
        <v>0.48851985559566785</v>
      </c>
    </row>
    <row r="14" spans="1:13" ht="9" customHeight="1">
      <c r="A14" s="21" t="s">
        <v>82</v>
      </c>
      <c r="B14" s="120"/>
      <c r="C14" s="42">
        <f t="shared" si="0"/>
        <v>1352</v>
      </c>
      <c r="D14" s="42">
        <f t="shared" ref="D14:E14" si="5">SUM(D32+D50)</f>
        <v>1459</v>
      </c>
      <c r="E14" s="42">
        <f t="shared" si="5"/>
        <v>1439</v>
      </c>
      <c r="F14" s="42">
        <f t="shared" ref="F14:G14" si="6">SUM(F32+F50)</f>
        <v>1600</v>
      </c>
      <c r="G14" s="44">
        <f t="shared" si="6"/>
        <v>1740</v>
      </c>
      <c r="H14" s="153">
        <f>IF('AW Schüler'!$D152=0,"x",C14/'AW Schüler'!$D152)</f>
        <v>0.38884095484613174</v>
      </c>
      <c r="I14" s="153">
        <f>IF('AW Schüler'!$G152=0,"x",D14/'AW Schüler'!$G152)</f>
        <v>0.43000294724432653</v>
      </c>
      <c r="J14" s="153">
        <f>IF('AW Schüler'!$J152=0,"x",E14/'AW Schüler'!$J152)</f>
        <v>0.40927189988623436</v>
      </c>
      <c r="K14" s="153">
        <f>IF('AW Schüler'!$M152=0,"x",F14/'AW Schüler'!$M152)</f>
        <v>0.44593088071348941</v>
      </c>
      <c r="L14" s="154">
        <f>IF('AW Schüler'!$P152=0,"x",G14/'AW Schüler'!$P152)</f>
        <v>0.45705279747832939</v>
      </c>
    </row>
    <row r="15" spans="1:13" ht="9" customHeight="1">
      <c r="A15" s="21" t="s">
        <v>83</v>
      </c>
      <c r="B15" s="120"/>
      <c r="C15" s="42">
        <f t="shared" si="0"/>
        <v>898</v>
      </c>
      <c r="D15" s="42">
        <f t="shared" ref="D15:E15" si="7">SUM(D33+D51)</f>
        <v>932</v>
      </c>
      <c r="E15" s="42">
        <f t="shared" si="7"/>
        <v>936</v>
      </c>
      <c r="F15" s="42">
        <f t="shared" ref="F15:G15" si="8">SUM(F33+F51)</f>
        <v>1051</v>
      </c>
      <c r="G15" s="44">
        <f t="shared" si="8"/>
        <v>1056</v>
      </c>
      <c r="H15" s="153">
        <f>IF('AW Schüler'!$D153=0,"x",C15/'AW Schüler'!$D153)</f>
        <v>0.76360544217687076</v>
      </c>
      <c r="I15" s="153">
        <f>IF('AW Schüler'!$G153=0,"x",D15/'AW Schüler'!$G153)</f>
        <v>0.80206540447504304</v>
      </c>
      <c r="J15" s="153">
        <f>IF('AW Schüler'!$J153=0,"x",E15/'AW Schüler'!$J153)</f>
        <v>0.78721614802354922</v>
      </c>
      <c r="K15" s="153">
        <f>IF('AW Schüler'!$M153=0,"x",F15/'AW Schüler'!$M153)</f>
        <v>0.84417670682730928</v>
      </c>
      <c r="L15" s="154">
        <f>IF('AW Schüler'!$P153=0,"x",G15/'AW Schüler'!$P153)</f>
        <v>0.83876092136616365</v>
      </c>
    </row>
    <row r="16" spans="1:13" ht="9" customHeight="1">
      <c r="A16" s="21" t="s">
        <v>84</v>
      </c>
      <c r="B16" s="120"/>
      <c r="C16" s="42">
        <f t="shared" si="0"/>
        <v>224</v>
      </c>
      <c r="D16" s="42">
        <f t="shared" ref="D16:E16" si="9">SUM(D34+D52)</f>
        <v>219</v>
      </c>
      <c r="E16" s="42">
        <f t="shared" si="9"/>
        <v>151</v>
      </c>
      <c r="F16" s="42">
        <f t="shared" ref="F16:G16" si="10">SUM(F34+F52)</f>
        <v>203</v>
      </c>
      <c r="G16" s="44">
        <f t="shared" si="10"/>
        <v>234</v>
      </c>
      <c r="H16" s="153">
        <f>IF('AW Schüler'!$D154=0,"x",C16/'AW Schüler'!$D154)</f>
        <v>0.27791563275434245</v>
      </c>
      <c r="I16" s="153">
        <f>IF('AW Schüler'!$G154=0,"x",D16/'AW Schüler'!$G154)</f>
        <v>0.26481257557436516</v>
      </c>
      <c r="J16" s="153">
        <f>IF('AW Schüler'!$J154=0,"x",E16/'AW Schüler'!$J154)</f>
        <v>0.17336394948335246</v>
      </c>
      <c r="K16" s="153">
        <f>IF('AW Schüler'!$M154=0,"x",F16/'AW Schüler'!$M154)</f>
        <v>0.23333333333333334</v>
      </c>
      <c r="L16" s="154">
        <f>IF('AW Schüler'!$P154=0,"x",G16/'AW Schüler'!$P154)</f>
        <v>0.26896551724137929</v>
      </c>
    </row>
    <row r="17" spans="1:12" ht="9" customHeight="1">
      <c r="A17" s="21" t="s">
        <v>85</v>
      </c>
      <c r="B17" s="120"/>
      <c r="C17" s="55">
        <f t="shared" si="0"/>
        <v>0</v>
      </c>
      <c r="D17" s="55">
        <f t="shared" ref="D17:E17" si="11">SUM(D35+D53)</f>
        <v>210</v>
      </c>
      <c r="E17" s="55">
        <f t="shared" si="11"/>
        <v>208</v>
      </c>
      <c r="F17" s="55">
        <f t="shared" ref="F17:G17" si="12">SUM(F35+F53)</f>
        <v>208</v>
      </c>
      <c r="G17" s="56">
        <f t="shared" si="12"/>
        <v>213</v>
      </c>
      <c r="H17" s="182">
        <f>IF('AW Schüler'!$D155=0,"x",C17/'AW Schüler'!$D155)</f>
        <v>0</v>
      </c>
      <c r="I17" s="153">
        <f>IF('AW Schüler'!$G155=0,"x",D17/'AW Schüler'!$G155)</f>
        <v>8.6242299794661192E-2</v>
      </c>
      <c r="J17" s="153">
        <f>IF('AW Schüler'!$J155=0,"x",E17/'AW Schüler'!$J155)</f>
        <v>8.5456039441248979E-2</v>
      </c>
      <c r="K17" s="153">
        <f>IF('AW Schüler'!$M155=0,"x",F17/'AW Schüler'!$M155)</f>
        <v>7.8431372549019607E-2</v>
      </c>
      <c r="L17" s="154">
        <f>IF('AW Schüler'!$P155=0,"x",G17/'AW Schüler'!$P155)</f>
        <v>7.9123328380386326E-2</v>
      </c>
    </row>
    <row r="18" spans="1:12" ht="9" customHeight="1">
      <c r="A18" s="21" t="s">
        <v>86</v>
      </c>
      <c r="B18" s="120"/>
      <c r="C18" s="55">
        <f t="shared" si="0"/>
        <v>0</v>
      </c>
      <c r="D18" s="55">
        <f t="shared" ref="D18:E18" si="13">SUM(D36+D54)</f>
        <v>0</v>
      </c>
      <c r="E18" s="55">
        <f t="shared" si="13"/>
        <v>0</v>
      </c>
      <c r="F18" s="55">
        <f t="shared" ref="F18:G18" si="14">SUM(F36+F54)</f>
        <v>0</v>
      </c>
      <c r="G18" s="56">
        <f t="shared" si="14"/>
        <v>0</v>
      </c>
      <c r="H18" s="182">
        <v>0</v>
      </c>
      <c r="I18" s="182">
        <v>0</v>
      </c>
      <c r="J18" s="182">
        <v>0</v>
      </c>
      <c r="K18" s="182">
        <v>0</v>
      </c>
      <c r="L18" s="196">
        <v>0</v>
      </c>
    </row>
    <row r="19" spans="1:12" ht="9" customHeight="1">
      <c r="A19" s="21" t="s">
        <v>223</v>
      </c>
      <c r="B19" s="120"/>
      <c r="C19" s="42">
        <f t="shared" si="0"/>
        <v>530</v>
      </c>
      <c r="D19" s="42">
        <f t="shared" ref="D19:E19" si="15">SUM(D37+D55)</f>
        <v>658</v>
      </c>
      <c r="E19" s="42">
        <f t="shared" si="15"/>
        <v>658</v>
      </c>
      <c r="F19" s="42">
        <f t="shared" ref="F19:G19" si="16">SUM(F37+F55)</f>
        <v>409</v>
      </c>
      <c r="G19" s="44">
        <f t="shared" si="16"/>
        <v>160</v>
      </c>
      <c r="H19" s="153">
        <f>IF('AW Schüler'!$D157=0,"x",C19/'AW Schüler'!$D157)</f>
        <v>0.71621621621621623</v>
      </c>
      <c r="I19" s="153">
        <f>IF('AW Schüler'!$G157=0,"x",D19/'AW Schüler'!$G157)</f>
        <v>0.87152317880794705</v>
      </c>
      <c r="J19" s="153">
        <f>IF('AW Schüler'!$J157=0,"x",E19/'AW Schüler'!$J157)</f>
        <v>0.89402173913043481</v>
      </c>
      <c r="K19" s="153">
        <f>IF('AW Schüler'!$M157=0,"x",F19/'AW Schüler'!$M157)</f>
        <v>0.51837769328263628</v>
      </c>
      <c r="L19" s="154">
        <f>IF('AW Schüler'!$P157=0,"x",G19/'AW Schüler'!$P157)</f>
        <v>0.19559902200488999</v>
      </c>
    </row>
    <row r="20" spans="1:12" ht="9" customHeight="1">
      <c r="A20" s="21" t="s">
        <v>88</v>
      </c>
      <c r="B20" s="120"/>
      <c r="C20" s="55">
        <f t="shared" si="0"/>
        <v>0</v>
      </c>
      <c r="D20" s="55">
        <f t="shared" ref="D20:E20" si="17">SUM(D38+D56)</f>
        <v>0</v>
      </c>
      <c r="E20" s="55">
        <f t="shared" si="17"/>
        <v>0</v>
      </c>
      <c r="F20" s="55">
        <f t="shared" ref="F20:G20" si="18">SUM(F38+F56)</f>
        <v>0</v>
      </c>
      <c r="G20" s="56">
        <f t="shared" si="18"/>
        <v>0</v>
      </c>
      <c r="H20" s="182">
        <v>0</v>
      </c>
      <c r="I20" s="182">
        <v>0</v>
      </c>
      <c r="J20" s="182">
        <v>0</v>
      </c>
      <c r="K20" s="182">
        <v>0</v>
      </c>
      <c r="L20" s="196">
        <v>0</v>
      </c>
    </row>
    <row r="21" spans="1:12" ht="9" customHeight="1">
      <c r="A21" s="21" t="s">
        <v>89</v>
      </c>
      <c r="B21" s="120"/>
      <c r="C21" s="42">
        <f t="shared" si="0"/>
        <v>4433</v>
      </c>
      <c r="D21" s="42">
        <f t="shared" ref="D21:E21" si="19">SUM(D39+D57)</f>
        <v>6336</v>
      </c>
      <c r="E21" s="42">
        <f t="shared" si="19"/>
        <v>5240</v>
      </c>
      <c r="F21" s="42">
        <f t="shared" ref="F21:G21" si="20">SUM(F39+F57)</f>
        <v>4761</v>
      </c>
      <c r="G21" s="44">
        <f t="shared" si="20"/>
        <v>5075</v>
      </c>
      <c r="H21" s="153">
        <f>IF('AW Schüler'!$D159=0,"x",C21/'AW Schüler'!$D159)</f>
        <v>0.34086889657823916</v>
      </c>
      <c r="I21" s="153">
        <f>IF('AW Schüler'!$G159=0,"x",D21/'AW Schüler'!$G159)</f>
        <v>0.49472944483485592</v>
      </c>
      <c r="J21" s="153">
        <f>IF('AW Schüler'!$J159=0,"x",E21/'AW Schüler'!$J159)</f>
        <v>0.41367332438620036</v>
      </c>
      <c r="K21" s="153">
        <f>IF('AW Schüler'!$M159=0,"x",F21/'AW Schüler'!$M159)</f>
        <v>0.36611811750230699</v>
      </c>
      <c r="L21" s="154">
        <f>IF('AW Schüler'!$P159=0,"x",G21/'AW Schüler'!$P159)</f>
        <v>0.38942602823818295</v>
      </c>
    </row>
    <row r="22" spans="1:12" ht="9" customHeight="1">
      <c r="A22" s="21" t="s">
        <v>90</v>
      </c>
      <c r="B22" s="120"/>
      <c r="C22" s="42">
        <f t="shared" si="0"/>
        <v>779</v>
      </c>
      <c r="D22" s="42">
        <f t="shared" ref="D22:E22" si="21">SUM(D40+D58)</f>
        <v>718</v>
      </c>
      <c r="E22" s="42">
        <f t="shared" si="21"/>
        <v>694</v>
      </c>
      <c r="F22" s="42">
        <f t="shared" ref="F22:G22" si="22">SUM(F40+F58)</f>
        <v>767</v>
      </c>
      <c r="G22" s="44">
        <f t="shared" si="22"/>
        <v>831</v>
      </c>
      <c r="H22" s="153">
        <f>IF('AW Schüler'!$D160=0,"x",C22/'AW Schüler'!$D160)</f>
        <v>0.38450148075024682</v>
      </c>
      <c r="I22" s="153">
        <f>IF('AW Schüler'!$G160=0,"x",D22/'AW Schüler'!$G160)</f>
        <v>0.35213339872486515</v>
      </c>
      <c r="J22" s="153">
        <f>IF('AW Schüler'!$J160=0,"x",E22/'AW Schüler'!$J160)</f>
        <v>0.34962216624685138</v>
      </c>
      <c r="K22" s="153">
        <f>IF('AW Schüler'!$M160=0,"x",F22/'AW Schüler'!$M160)</f>
        <v>0.39052953156822812</v>
      </c>
      <c r="L22" s="154">
        <f>IF('AW Schüler'!$P160=0,"x",G22/'AW Schüler'!$P160)</f>
        <v>0.41549999999999998</v>
      </c>
    </row>
    <row r="23" spans="1:12" ht="9" customHeight="1">
      <c r="A23" s="21" t="s">
        <v>91</v>
      </c>
      <c r="B23" s="120"/>
      <c r="C23" s="42">
        <f t="shared" si="0"/>
        <v>118</v>
      </c>
      <c r="D23" s="42">
        <f t="shared" ref="D23:E23" si="23">SUM(D41+D59)</f>
        <v>116</v>
      </c>
      <c r="E23" s="42">
        <f t="shared" si="23"/>
        <v>148</v>
      </c>
      <c r="F23" s="42">
        <f t="shared" ref="F23:G23" si="24">SUM(F41+F59)</f>
        <v>155</v>
      </c>
      <c r="G23" s="44">
        <f t="shared" si="24"/>
        <v>199</v>
      </c>
      <c r="H23" s="153">
        <f>IF('AW Schüler'!$D161=0,"x",C23/'AW Schüler'!$D161)</f>
        <v>0.11313518696069032</v>
      </c>
      <c r="I23" s="153">
        <f>IF('AW Schüler'!$G161=0,"x",D23/'AW Schüler'!$G161)</f>
        <v>0.11451135241855874</v>
      </c>
      <c r="J23" s="153">
        <f>IF('AW Schüler'!$J161=0,"x",E23/'AW Schüler'!$J161)</f>
        <v>0.14467253176930597</v>
      </c>
      <c r="K23" s="153">
        <f>IF('AW Schüler'!$M161=0,"x",F23/'AW Schüler'!$M161)</f>
        <v>0.15270935960591134</v>
      </c>
      <c r="L23" s="154">
        <f>IF('AW Schüler'!$P161=0,"x",G23/'AW Schüler'!$P161)</f>
        <v>0.20431211498973306</v>
      </c>
    </row>
    <row r="24" spans="1:12" ht="9" customHeight="1">
      <c r="A24" s="21" t="s">
        <v>92</v>
      </c>
      <c r="B24" s="120"/>
      <c r="C24" s="42">
        <f t="shared" si="0"/>
        <v>964</v>
      </c>
      <c r="D24" s="42">
        <f t="shared" ref="D24:E24" si="25">SUM(D42+D60)</f>
        <v>1121</v>
      </c>
      <c r="E24" s="42">
        <f t="shared" si="25"/>
        <v>773</v>
      </c>
      <c r="F24" s="42">
        <f t="shared" ref="F24:G24" si="26">SUM(F42+F60)</f>
        <v>1311</v>
      </c>
      <c r="G24" s="44">
        <f t="shared" si="26"/>
        <v>1471</v>
      </c>
      <c r="H24" s="153">
        <f>IF('AW Schüler'!$D162=0,"x",C24/'AW Schüler'!$D162)</f>
        <v>0.77305533279871697</v>
      </c>
      <c r="I24" s="153">
        <f>IF('AW Schüler'!$G162=0,"x",D24/'AW Schüler'!$G162)</f>
        <v>0.86697602474864655</v>
      </c>
      <c r="J24" s="153">
        <f>IF('AW Schüler'!$J162=0,"x",E24/'AW Schüler'!$J162)</f>
        <v>0.55691642651296835</v>
      </c>
      <c r="K24" s="153">
        <f>IF('AW Schüler'!$M162=0,"x",F24/'AW Schüler'!$M162)</f>
        <v>0.87341772151898733</v>
      </c>
      <c r="L24" s="154">
        <f>IF('AW Schüler'!$P162=0,"x",G24/'AW Schüler'!$P162)</f>
        <v>0.91651090342679131</v>
      </c>
    </row>
    <row r="25" spans="1:12" ht="9" customHeight="1">
      <c r="A25" s="21" t="s">
        <v>93</v>
      </c>
      <c r="B25" s="120"/>
      <c r="C25" s="55">
        <f t="shared" si="0"/>
        <v>0</v>
      </c>
      <c r="D25" s="55">
        <f t="shared" ref="D25:E25" si="27">SUM(D43+D61)</f>
        <v>0</v>
      </c>
      <c r="E25" s="55">
        <f t="shared" si="27"/>
        <v>0</v>
      </c>
      <c r="F25" s="55">
        <f t="shared" ref="F25:G25" si="28">SUM(F43+F61)</f>
        <v>0</v>
      </c>
      <c r="G25" s="56">
        <f t="shared" si="28"/>
        <v>0</v>
      </c>
      <c r="H25" s="182">
        <v>0</v>
      </c>
      <c r="I25" s="182">
        <v>0</v>
      </c>
      <c r="J25" s="182">
        <v>0</v>
      </c>
      <c r="K25" s="182">
        <v>0</v>
      </c>
      <c r="L25" s="196">
        <v>0</v>
      </c>
    </row>
    <row r="26" spans="1:12" ht="9" customHeight="1">
      <c r="A26" s="21" t="s">
        <v>94</v>
      </c>
      <c r="B26" s="120"/>
      <c r="C26" s="42">
        <f t="shared" si="0"/>
        <v>1132</v>
      </c>
      <c r="D26" s="42">
        <f t="shared" ref="D26:E26" si="29">SUM(D44+D62)</f>
        <v>1099</v>
      </c>
      <c r="E26" s="42">
        <f t="shared" si="29"/>
        <v>1087</v>
      </c>
      <c r="F26" s="42">
        <f t="shared" ref="F26:G26" si="30">SUM(F44+F62)</f>
        <v>1075</v>
      </c>
      <c r="G26" s="44">
        <f t="shared" si="30"/>
        <v>1100</v>
      </c>
      <c r="H26" s="153">
        <f>IF('AW Schüler'!$D164=0,"x",C26/'AW Schüler'!$D164)</f>
        <v>0.28650974436851429</v>
      </c>
      <c r="I26" s="153">
        <f>IF('AW Schüler'!$G164=0,"x",D26/'AW Schüler'!$G164)</f>
        <v>0.28419963796224462</v>
      </c>
      <c r="J26" s="153">
        <f>IF('AW Schüler'!$J164=0,"x",E26/'AW Schüler'!$J164)</f>
        <v>0.28396029258098221</v>
      </c>
      <c r="K26" s="153">
        <f>IF('AW Schüler'!$M164=0,"x",F26/'AW Schüler'!$M164)</f>
        <v>0.28178243774574052</v>
      </c>
      <c r="L26" s="154">
        <f>IF('AW Schüler'!$P164=0,"x",G26/'AW Schüler'!$P164)</f>
        <v>0.28075548749361917</v>
      </c>
    </row>
    <row r="27" spans="1:12" ht="9" customHeight="1">
      <c r="A27" s="21" t="s">
        <v>95</v>
      </c>
      <c r="B27" s="120"/>
      <c r="C27" s="42">
        <f t="shared" si="0"/>
        <v>993</v>
      </c>
      <c r="D27" s="42">
        <f t="shared" ref="D27:E27" si="31">SUM(D45+D63)</f>
        <v>1021</v>
      </c>
      <c r="E27" s="42">
        <f t="shared" si="31"/>
        <v>1012</v>
      </c>
      <c r="F27" s="42">
        <f t="shared" ref="F27:G27" si="32">SUM(F45+F63)</f>
        <v>1133</v>
      </c>
      <c r="G27" s="44">
        <f t="shared" si="32"/>
        <v>1014</v>
      </c>
      <c r="H27" s="153">
        <f>IF('AW Schüler'!$D165=0,"x",C27/'AW Schüler'!$D165)</f>
        <v>0.87105263157894741</v>
      </c>
      <c r="I27" s="153">
        <f>IF('AW Schüler'!$G165=0,"x",D27/'AW Schüler'!$G165)</f>
        <v>0.87714776632302405</v>
      </c>
      <c r="J27" s="153">
        <f>IF('AW Schüler'!$J165=0,"x",E27/'AW Schüler'!$J165)</f>
        <v>0.84333333333333338</v>
      </c>
      <c r="K27" s="153">
        <f>IF('AW Schüler'!$M165=0,"x",F27/'AW Schüler'!$M165)</f>
        <v>0.92339038304808474</v>
      </c>
      <c r="L27" s="154">
        <f>IF('AW Schüler'!$P165=0,"x",G27/'AW Schüler'!$P165)</f>
        <v>0.82038834951456308</v>
      </c>
    </row>
    <row r="28" spans="1:12" ht="9" customHeight="1">
      <c r="A28" s="21" t="s">
        <v>96</v>
      </c>
      <c r="B28" s="120"/>
      <c r="C28" s="42">
        <f t="shared" si="0"/>
        <v>17044</v>
      </c>
      <c r="D28" s="42">
        <f t="shared" ref="D28:E28" si="33">SUM(D46+D64)</f>
        <v>19389</v>
      </c>
      <c r="E28" s="42">
        <f t="shared" si="33"/>
        <v>18229</v>
      </c>
      <c r="F28" s="42">
        <f t="shared" ref="F28:G28" si="34">SUM(F46+F64)</f>
        <v>18908</v>
      </c>
      <c r="G28" s="44">
        <f t="shared" si="34"/>
        <v>19849</v>
      </c>
      <c r="H28" s="153">
        <f>IF('AW Schüler'!$D166=0,"x",C28/'AW Schüler'!$D166)</f>
        <v>0.30050954740201352</v>
      </c>
      <c r="I28" s="153">
        <f>IF('AW Schüler'!$G166=0,"x",D28/'AW Schüler'!$G166)</f>
        <v>0.34465044350036439</v>
      </c>
      <c r="J28" s="153">
        <f>IF('AW Schüler'!$J166=0,"x",E28/'AW Schüler'!$J166)</f>
        <v>0.32370855752668121</v>
      </c>
      <c r="K28" s="153">
        <f>IF('AW Schüler'!$M166=0,"x",F28/'AW Schüler'!$M166)</f>
        <v>0.33139952677241258</v>
      </c>
      <c r="L28" s="154">
        <f>IF('AW Schüler'!$P166=0,"x",G28/'AW Schüler'!$P166)</f>
        <v>0.34397365912832512</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23">
        <f>'3.3.9'!C30</f>
        <v>2970</v>
      </c>
      <c r="D30" s="23">
        <f>'3.3.9'!D30</f>
        <v>2445</v>
      </c>
      <c r="E30" s="23">
        <f>'3.3.9'!E30</f>
        <v>2409</v>
      </c>
      <c r="F30" s="23">
        <f>'3.3.9'!F30</f>
        <v>2140</v>
      </c>
      <c r="G30" s="34">
        <f>'3.3.9'!G30</f>
        <v>2233</v>
      </c>
      <c r="H30" s="155">
        <f>IF('AW Schüler'!$D150=0,"x",C30/'AW Schüler'!$D150)</f>
        <v>0.1562911119296953</v>
      </c>
      <c r="I30" s="155">
        <f>IF('AW Schüler'!$G150=0,"x",D30/'AW Schüler'!$G150)</f>
        <v>0.12962570247057575</v>
      </c>
      <c r="J30" s="155">
        <f>IF('AW Schüler'!$J150=0,"x",E30/'AW Schüler'!$J150)</f>
        <v>0.12880286585039832</v>
      </c>
      <c r="K30" s="155">
        <f>IF('AW Schüler'!$M150=0,"x",F30/'AW Schüler'!$M150)</f>
        <v>0.11526446191963804</v>
      </c>
      <c r="L30" s="156">
        <f>IF('AW Schüler'!$P150=0,"x",G30/'AW Schüler'!$P150)</f>
        <v>0.12025418708600355</v>
      </c>
    </row>
    <row r="31" spans="1:12" ht="9" customHeight="1">
      <c r="A31" s="21" t="s">
        <v>81</v>
      </c>
      <c r="B31" s="120"/>
      <c r="C31" s="23">
        <f>'3.3.9'!C31</f>
        <v>286</v>
      </c>
      <c r="D31" s="23">
        <f>'3.3.9'!D31</f>
        <v>247</v>
      </c>
      <c r="E31" s="23">
        <f>'3.3.9'!E31</f>
        <v>317</v>
      </c>
      <c r="F31" s="23">
        <f>'3.3.9'!F31</f>
        <v>285</v>
      </c>
      <c r="G31" s="34">
        <f>'3.3.9'!G31</f>
        <v>72</v>
      </c>
      <c r="H31" s="155">
        <f>IF('AW Schüler'!$D151=0,"x",C31/'AW Schüler'!$D151)</f>
        <v>4.2955842595373987E-2</v>
      </c>
      <c r="I31" s="155">
        <f>IF('AW Schüler'!$G151=0,"x",D31/'AW Schüler'!$G151)</f>
        <v>3.7198795180722895E-2</v>
      </c>
      <c r="J31" s="155">
        <f>IF('AW Schüler'!$J151=0,"x",E31/'AW Schüler'!$J151)</f>
        <v>4.6803484423446035E-2</v>
      </c>
      <c r="K31" s="155">
        <f>IF('AW Schüler'!$M151=0,"x",F31/'AW Schüler'!$M151)</f>
        <v>4.179498460184778E-2</v>
      </c>
      <c r="L31" s="156">
        <f>IF('AW Schüler'!$P151=0,"x",G31/'AW Schüler'!$P151)</f>
        <v>1.0397111913357401E-2</v>
      </c>
    </row>
    <row r="32" spans="1:12" ht="9" customHeight="1">
      <c r="A32" s="21" t="s">
        <v>82</v>
      </c>
      <c r="B32" s="120"/>
      <c r="C32" s="23">
        <f>'3.3.9'!C32</f>
        <v>0</v>
      </c>
      <c r="D32" s="23">
        <f>'3.3.9'!D32</f>
        <v>0</v>
      </c>
      <c r="E32" s="23">
        <f>'3.3.9'!E32</f>
        <v>0</v>
      </c>
      <c r="F32" s="23">
        <f>'3.3.9'!F32</f>
        <v>0</v>
      </c>
      <c r="G32" s="34">
        <f>'3.3.9'!G32</f>
        <v>0</v>
      </c>
      <c r="H32" s="155">
        <f>IF('AW Schüler'!$D152=0,"x",C32/'AW Schüler'!$D152)</f>
        <v>0</v>
      </c>
      <c r="I32" s="155">
        <f>IF('AW Schüler'!$G152=0,"x",D32/'AW Schüler'!$G152)</f>
        <v>0</v>
      </c>
      <c r="J32" s="155">
        <f>IF('AW Schüler'!$J152=0,"x",E32/'AW Schüler'!$J152)</f>
        <v>0</v>
      </c>
      <c r="K32" s="155">
        <f>IF('AW Schüler'!$M152=0,"x",F32/'AW Schüler'!$M152)</f>
        <v>0</v>
      </c>
      <c r="L32" s="156">
        <f>IF('AW Schüler'!$P152=0,"x",G32/'AW Schüler'!$P152)</f>
        <v>0</v>
      </c>
    </row>
    <row r="33" spans="1:12" ht="9" customHeight="1">
      <c r="A33" s="21" t="s">
        <v>83</v>
      </c>
      <c r="B33" s="120"/>
      <c r="C33" s="23">
        <f>'3.3.9'!C33</f>
        <v>386</v>
      </c>
      <c r="D33" s="23">
        <f>'3.3.9'!D33</f>
        <v>392</v>
      </c>
      <c r="E33" s="23">
        <f>'3.3.9'!E33</f>
        <v>397</v>
      </c>
      <c r="F33" s="23">
        <f>'3.3.9'!F33</f>
        <v>479</v>
      </c>
      <c r="G33" s="34">
        <f>'3.3.9'!G33</f>
        <v>567</v>
      </c>
      <c r="H33" s="155">
        <f>IF('AW Schüler'!$D153=0,"x",C33/'AW Schüler'!$D153)</f>
        <v>0.32823129251700678</v>
      </c>
      <c r="I33" s="155">
        <f>IF('AW Schüler'!$G153=0,"x",D33/'AW Schüler'!$G153)</f>
        <v>0.33734939759036142</v>
      </c>
      <c r="J33" s="155">
        <f>IF('AW Schüler'!$J153=0,"x",E33/'AW Schüler'!$J153)</f>
        <v>0.33389402859545836</v>
      </c>
      <c r="K33" s="155">
        <f>IF('AW Schüler'!$M153=0,"x",F33/'AW Schüler'!$M153)</f>
        <v>0.38473895582329315</v>
      </c>
      <c r="L33" s="156">
        <f>IF('AW Schüler'!$P153=0,"x",G33/'AW Schüler'!$P153)</f>
        <v>0.45035742652899124</v>
      </c>
    </row>
    <row r="34" spans="1:12" ht="9" customHeight="1">
      <c r="A34" s="21" t="s">
        <v>84</v>
      </c>
      <c r="B34" s="120"/>
      <c r="C34" s="23">
        <f>'3.3.9'!C34</f>
        <v>224</v>
      </c>
      <c r="D34" s="23">
        <f>'3.3.9'!D34</f>
        <v>219</v>
      </c>
      <c r="E34" s="23">
        <f>'3.3.9'!E34</f>
        <v>151</v>
      </c>
      <c r="F34" s="23">
        <f>'3.3.9'!F34</f>
        <v>203</v>
      </c>
      <c r="G34" s="34">
        <f>'3.3.9'!G34</f>
        <v>234</v>
      </c>
      <c r="H34" s="155">
        <f>IF('AW Schüler'!$D154=0,"x",C34/'AW Schüler'!$D154)</f>
        <v>0.27791563275434245</v>
      </c>
      <c r="I34" s="155">
        <f>IF('AW Schüler'!$G154=0,"x",D34/'AW Schüler'!$G154)</f>
        <v>0.26481257557436516</v>
      </c>
      <c r="J34" s="155">
        <f>IF('AW Schüler'!$J154=0,"x",E34/'AW Schüler'!$J154)</f>
        <v>0.17336394948335246</v>
      </c>
      <c r="K34" s="155">
        <f>IF('AW Schüler'!$M154=0,"x",F34/'AW Schüler'!$M154)</f>
        <v>0.23333333333333334</v>
      </c>
      <c r="L34" s="156">
        <f>IF('AW Schüler'!$P154=0,"x",G34/'AW Schüler'!$P154)</f>
        <v>0.26896551724137929</v>
      </c>
    </row>
    <row r="35" spans="1:12" ht="9" customHeight="1">
      <c r="A35" s="21" t="s">
        <v>85</v>
      </c>
      <c r="B35" s="120"/>
      <c r="C35" s="36">
        <f>'3.3.9'!C35</f>
        <v>0</v>
      </c>
      <c r="D35" s="36">
        <f>'3.3.9'!D35</f>
        <v>210</v>
      </c>
      <c r="E35" s="36">
        <f>'3.3.9'!E35</f>
        <v>208</v>
      </c>
      <c r="F35" s="36">
        <f>'3.3.9'!F35</f>
        <v>208</v>
      </c>
      <c r="G35" s="37">
        <f>'3.3.9'!G35</f>
        <v>213</v>
      </c>
      <c r="H35" s="183">
        <f>IF('AW Schüler'!$D155=0,"x",C35/'AW Schüler'!$D155)</f>
        <v>0</v>
      </c>
      <c r="I35" s="155">
        <f>IF('AW Schüler'!$G155=0,"x",D35/'AW Schüler'!$G155)</f>
        <v>8.6242299794661192E-2</v>
      </c>
      <c r="J35" s="155">
        <f>IF('AW Schüler'!$J155=0,"x",E35/'AW Schüler'!$J155)</f>
        <v>8.5456039441248979E-2</v>
      </c>
      <c r="K35" s="155">
        <f>IF('AW Schüler'!$M155=0,"x",F35/'AW Schüler'!$M155)</f>
        <v>7.8431372549019607E-2</v>
      </c>
      <c r="L35" s="156">
        <f>IF('AW Schüler'!$P155=0,"x",G35/'AW Schüler'!$P155)</f>
        <v>7.9123328380386326E-2</v>
      </c>
    </row>
    <row r="36" spans="1:12" ht="9" customHeight="1">
      <c r="A36" s="21" t="s">
        <v>86</v>
      </c>
      <c r="B36" s="120"/>
      <c r="C36" s="36">
        <f>'3.3.9'!C36</f>
        <v>0</v>
      </c>
      <c r="D36" s="36">
        <f>'3.3.9'!D36</f>
        <v>0</v>
      </c>
      <c r="E36" s="36">
        <f>'3.3.9'!E36</f>
        <v>0</v>
      </c>
      <c r="F36" s="36">
        <f>'3.3.9'!F36</f>
        <v>0</v>
      </c>
      <c r="G36" s="37">
        <f>'3.3.9'!G36</f>
        <v>0</v>
      </c>
      <c r="H36" s="183">
        <v>0</v>
      </c>
      <c r="I36" s="183">
        <v>0</v>
      </c>
      <c r="J36" s="183">
        <v>0</v>
      </c>
      <c r="K36" s="183">
        <v>0</v>
      </c>
      <c r="L36" s="197">
        <v>0</v>
      </c>
    </row>
    <row r="37" spans="1:12" ht="9" customHeight="1">
      <c r="A37" s="21" t="s">
        <v>223</v>
      </c>
      <c r="B37" s="120"/>
      <c r="C37" s="23">
        <f>'3.3.9'!C37</f>
        <v>477</v>
      </c>
      <c r="D37" s="23">
        <f>'3.3.9'!D37</f>
        <v>658</v>
      </c>
      <c r="E37" s="23">
        <f>'3.3.9'!E37</f>
        <v>658</v>
      </c>
      <c r="F37" s="23">
        <f>'3.3.9'!F37</f>
        <v>409</v>
      </c>
      <c r="G37" s="34">
        <f>'3.3.9'!G37</f>
        <v>160</v>
      </c>
      <c r="H37" s="155">
        <f>IF('AW Schüler'!$D157=0,"x",C37/'AW Schüler'!$D157)</f>
        <v>0.64459459459459456</v>
      </c>
      <c r="I37" s="155">
        <f>IF('AW Schüler'!$G157=0,"x",D37/'AW Schüler'!$G157)</f>
        <v>0.87152317880794705</v>
      </c>
      <c r="J37" s="155">
        <f>IF('AW Schüler'!$J157=0,"x",E37/'AW Schüler'!$J157)</f>
        <v>0.89402173913043481</v>
      </c>
      <c r="K37" s="155">
        <f>IF('AW Schüler'!$M157=0,"x",F37/'AW Schüler'!$M157)</f>
        <v>0.51837769328263628</v>
      </c>
      <c r="L37" s="156">
        <f>IF('AW Schüler'!$P157=0,"x",G37/'AW Schüler'!$P157)</f>
        <v>0.19559902200488999</v>
      </c>
    </row>
    <row r="38" spans="1:12" ht="9" customHeight="1">
      <c r="A38" s="21" t="s">
        <v>88</v>
      </c>
      <c r="B38" s="120"/>
      <c r="C38" s="36">
        <f>'3.3.9'!C38</f>
        <v>0</v>
      </c>
      <c r="D38" s="36">
        <f>'3.3.9'!D38</f>
        <v>0</v>
      </c>
      <c r="E38" s="36">
        <f>'3.3.9'!E38</f>
        <v>0</v>
      </c>
      <c r="F38" s="36">
        <f>'3.3.9'!F38</f>
        <v>0</v>
      </c>
      <c r="G38" s="37">
        <f>'3.3.9'!G38</f>
        <v>0</v>
      </c>
      <c r="H38" s="183">
        <v>0</v>
      </c>
      <c r="I38" s="183">
        <v>0</v>
      </c>
      <c r="J38" s="183">
        <v>0</v>
      </c>
      <c r="K38" s="183">
        <v>0</v>
      </c>
      <c r="L38" s="197">
        <v>0</v>
      </c>
    </row>
    <row r="39" spans="1:12" ht="9" customHeight="1">
      <c r="A39" s="21" t="s">
        <v>89</v>
      </c>
      <c r="B39" s="120"/>
      <c r="C39" s="23">
        <f>'3.3.9'!C39</f>
        <v>1215</v>
      </c>
      <c r="D39" s="23">
        <f>'3.3.9'!D39</f>
        <v>3007</v>
      </c>
      <c r="E39" s="23">
        <f>'3.3.9'!E39</f>
        <v>2111</v>
      </c>
      <c r="F39" s="23">
        <f>'3.3.9'!F39</f>
        <v>1620</v>
      </c>
      <c r="G39" s="34">
        <f>'3.3.9'!G39</f>
        <v>1857</v>
      </c>
      <c r="H39" s="155">
        <f>IF('AW Schüler'!$D159=0,"x",C39/'AW Schüler'!$D159)</f>
        <v>9.3425605536332182E-2</v>
      </c>
      <c r="I39" s="155">
        <f>IF('AW Schüler'!$G159=0,"x",D39/'AW Schüler'!$G159)</f>
        <v>0.23479347231982509</v>
      </c>
      <c r="J39" s="155">
        <f>IF('AW Schüler'!$J159=0,"x",E39/'AW Schüler'!$J159)</f>
        <v>0.16665350911818111</v>
      </c>
      <c r="K39" s="155">
        <f>IF('AW Schüler'!$M159=0,"x",F39/'AW Schüler'!$M159)</f>
        <v>0.12457705321439556</v>
      </c>
      <c r="L39" s="156">
        <f>IF('AW Schüler'!$P159=0,"x",G39/'AW Schüler'!$P159)</f>
        <v>0.14249539594843463</v>
      </c>
    </row>
    <row r="40" spans="1:12" ht="9" customHeight="1">
      <c r="A40" s="21" t="s">
        <v>90</v>
      </c>
      <c r="B40" s="120"/>
      <c r="C40" s="36">
        <f>'3.3.9'!C40</f>
        <v>779</v>
      </c>
      <c r="D40" s="36">
        <f>'3.3.9'!D40</f>
        <v>718</v>
      </c>
      <c r="E40" s="36">
        <f>'3.3.9'!E40</f>
        <v>694</v>
      </c>
      <c r="F40" s="36">
        <f>'3.3.9'!F40</f>
        <v>767</v>
      </c>
      <c r="G40" s="37">
        <f>'3.3.9'!G40</f>
        <v>831</v>
      </c>
      <c r="H40" s="155">
        <f>IF('AW Schüler'!$D160=0,"x",C40/'AW Schüler'!$D160)</f>
        <v>0.38450148075024682</v>
      </c>
      <c r="I40" s="155">
        <f>IF('AW Schüler'!$G160=0,"x",D40/'AW Schüler'!$G160)</f>
        <v>0.35213339872486515</v>
      </c>
      <c r="J40" s="155">
        <f>IF('AW Schüler'!$J160=0,"x",E40/'AW Schüler'!$J160)</f>
        <v>0.34962216624685138</v>
      </c>
      <c r="K40" s="155">
        <f>IF('AW Schüler'!$M160=0,"x",F40/'AW Schüler'!$M160)</f>
        <v>0.39052953156822812</v>
      </c>
      <c r="L40" s="156">
        <f>IF('AW Schüler'!$P160=0,"x",G40/'AW Schüler'!$P160)</f>
        <v>0.41549999999999998</v>
      </c>
    </row>
    <row r="41" spans="1:12" ht="9" customHeight="1">
      <c r="A41" s="21" t="s">
        <v>91</v>
      </c>
      <c r="B41" s="120"/>
      <c r="C41" s="23">
        <f>'3.3.9'!C41</f>
        <v>0</v>
      </c>
      <c r="D41" s="23">
        <f>'3.3.9'!D41</f>
        <v>0</v>
      </c>
      <c r="E41" s="23">
        <f>'3.3.9'!E41</f>
        <v>0</v>
      </c>
      <c r="F41" s="23">
        <f>'3.3.9'!F41</f>
        <v>0</v>
      </c>
      <c r="G41" s="34">
        <f>'3.3.9'!G41</f>
        <v>0</v>
      </c>
      <c r="H41" s="155">
        <f>IF('AW Schüler'!$D161=0,"x",C41/'AW Schüler'!$D161)</f>
        <v>0</v>
      </c>
      <c r="I41" s="155">
        <f>IF('AW Schüler'!$G161=0,"x",D41/'AW Schüler'!$G161)</f>
        <v>0</v>
      </c>
      <c r="J41" s="155">
        <f>IF('AW Schüler'!$J161=0,"x",E41/'AW Schüler'!$J161)</f>
        <v>0</v>
      </c>
      <c r="K41" s="155">
        <f>IF('AW Schüler'!$M161=0,"x",F41/'AW Schüler'!$M161)</f>
        <v>0</v>
      </c>
      <c r="L41" s="156">
        <f>IF('AW Schüler'!$P161=0,"x",G41/'AW Schüler'!$P161)</f>
        <v>0</v>
      </c>
    </row>
    <row r="42" spans="1:12" ht="9" customHeight="1">
      <c r="A42" s="21" t="s">
        <v>92</v>
      </c>
      <c r="B42" s="120"/>
      <c r="C42" s="23">
        <f>'3.3.9'!C42</f>
        <v>964</v>
      </c>
      <c r="D42" s="23">
        <f>'3.3.9'!D42</f>
        <v>1102</v>
      </c>
      <c r="E42" s="23">
        <f>'3.3.9'!E42</f>
        <v>753</v>
      </c>
      <c r="F42" s="23">
        <f>'3.3.9'!F42</f>
        <v>1311</v>
      </c>
      <c r="G42" s="34">
        <f>'3.3.9'!G42</f>
        <v>1089</v>
      </c>
      <c r="H42" s="155">
        <f>IF('AW Schüler'!$D162=0,"x",C42/'AW Schüler'!$D162)</f>
        <v>0.77305533279871697</v>
      </c>
      <c r="I42" s="155">
        <f>IF('AW Schüler'!$G162=0,"x",D42/'AW Schüler'!$G162)</f>
        <v>0.85228151585460166</v>
      </c>
      <c r="J42" s="155">
        <f>IF('AW Schüler'!$J162=0,"x",E42/'AW Schüler'!$J162)</f>
        <v>0.54250720461095103</v>
      </c>
      <c r="K42" s="155">
        <f>IF('AW Schüler'!$M162=0,"x",F42/'AW Schüler'!$M162)</f>
        <v>0.87341772151898733</v>
      </c>
      <c r="L42" s="156">
        <f>IF('AW Schüler'!$P162=0,"x",G42/'AW Schüler'!$P162)</f>
        <v>0.67850467289719629</v>
      </c>
    </row>
    <row r="43" spans="1:12" ht="9" customHeight="1">
      <c r="A43" s="21" t="s">
        <v>93</v>
      </c>
      <c r="B43" s="120"/>
      <c r="C43" s="36">
        <f>'3.3.9'!C43</f>
        <v>0</v>
      </c>
      <c r="D43" s="36">
        <f>'3.3.9'!D43</f>
        <v>0</v>
      </c>
      <c r="E43" s="36">
        <f>'3.3.9'!E43</f>
        <v>0</v>
      </c>
      <c r="F43" s="36">
        <f>'3.3.9'!F43</f>
        <v>0</v>
      </c>
      <c r="G43" s="37">
        <f>'3.3.9'!G43</f>
        <v>0</v>
      </c>
      <c r="H43" s="183">
        <v>0</v>
      </c>
      <c r="I43" s="183">
        <v>0</v>
      </c>
      <c r="J43" s="183">
        <v>0</v>
      </c>
      <c r="K43" s="183">
        <v>0</v>
      </c>
      <c r="L43" s="197">
        <v>0</v>
      </c>
    </row>
    <row r="44" spans="1:12" ht="9" customHeight="1">
      <c r="A44" s="21" t="s">
        <v>94</v>
      </c>
      <c r="B44" s="120"/>
      <c r="C44" s="23">
        <f>'3.3.9'!C44</f>
        <v>0</v>
      </c>
      <c r="D44" s="23">
        <f>'3.3.9'!D44</f>
        <v>0</v>
      </c>
      <c r="E44" s="23">
        <f>'3.3.9'!E44</f>
        <v>0</v>
      </c>
      <c r="F44" s="23">
        <f>'3.3.9'!F44</f>
        <v>0</v>
      </c>
      <c r="G44" s="34">
        <f>'3.3.9'!G44</f>
        <v>0</v>
      </c>
      <c r="H44" s="155">
        <f>IF('AW Schüler'!$D164=0,"x",C44/'AW Schüler'!$D164)</f>
        <v>0</v>
      </c>
      <c r="I44" s="155">
        <f>IF('AW Schüler'!$G164=0,"x",D44/'AW Schüler'!$G164)</f>
        <v>0</v>
      </c>
      <c r="J44" s="155">
        <f>IF('AW Schüler'!$J164=0,"x",E44/'AW Schüler'!$J164)</f>
        <v>0</v>
      </c>
      <c r="K44" s="155">
        <f>IF('AW Schüler'!$M164=0,"x",F44/'AW Schüler'!$M164)</f>
        <v>0</v>
      </c>
      <c r="L44" s="156">
        <f>IF('AW Schüler'!$P164=0,"x",G44/'AW Schüler'!$P164)</f>
        <v>0</v>
      </c>
    </row>
    <row r="45" spans="1:12" ht="9" customHeight="1">
      <c r="A45" s="21" t="s">
        <v>95</v>
      </c>
      <c r="B45" s="120"/>
      <c r="C45" s="23">
        <f>'3.3.9'!C45</f>
        <v>792</v>
      </c>
      <c r="D45" s="23">
        <f>'3.3.9'!D45</f>
        <v>823</v>
      </c>
      <c r="E45" s="23">
        <f>'3.3.9'!E45</f>
        <v>844</v>
      </c>
      <c r="F45" s="23">
        <f>'3.3.9'!F45</f>
        <v>832</v>
      </c>
      <c r="G45" s="34">
        <f>'3.3.9'!G45</f>
        <v>832</v>
      </c>
      <c r="H45" s="155">
        <f>IF('AW Schüler'!$D165=0,"x",C45/'AW Schüler'!$D165)</f>
        <v>0.69473684210526321</v>
      </c>
      <c r="I45" s="155">
        <f>IF('AW Schüler'!$G165=0,"x",D45/'AW Schüler'!$G165)</f>
        <v>0.70704467353951894</v>
      </c>
      <c r="J45" s="155">
        <f>IF('AW Schüler'!$J165=0,"x",E45/'AW Schüler'!$J165)</f>
        <v>0.70333333333333337</v>
      </c>
      <c r="K45" s="155">
        <f>IF('AW Schüler'!$M165=0,"x",F45/'AW Schüler'!$M165)</f>
        <v>0.67807660961695193</v>
      </c>
      <c r="L45" s="156">
        <f>IF('AW Schüler'!$P165=0,"x",G45/'AW Schüler'!$P165)</f>
        <v>0.67313915857605178</v>
      </c>
    </row>
    <row r="46" spans="1:12" ht="9" customHeight="1">
      <c r="A46" s="21" t="s">
        <v>96</v>
      </c>
      <c r="B46" s="120"/>
      <c r="C46" s="23">
        <f>'3.3.9'!C46</f>
        <v>8093</v>
      </c>
      <c r="D46" s="23">
        <f>'3.3.9'!D46</f>
        <v>9821</v>
      </c>
      <c r="E46" s="23">
        <f>'3.3.9'!E46</f>
        <v>8542</v>
      </c>
      <c r="F46" s="23">
        <f>'3.3.9'!F46</f>
        <v>8254</v>
      </c>
      <c r="G46" s="34">
        <f>'3.3.9'!G46</f>
        <v>8088</v>
      </c>
      <c r="H46" s="155">
        <f>IF('AW Schüler'!$D166=0,"x",C46/'AW Schüler'!$D166)</f>
        <v>0.14269090396177514</v>
      </c>
      <c r="I46" s="155">
        <f>IF('AW Schüler'!$G166=0,"x",D46/'AW Schüler'!$G166)</f>
        <v>0.1745738308121656</v>
      </c>
      <c r="J46" s="155">
        <f>IF('AW Schüler'!$J166=0,"x",E46/'AW Schüler'!$J166)</f>
        <v>0.15168788734395255</v>
      </c>
      <c r="K46" s="155">
        <f>IF('AW Schüler'!$M166=0,"x",F46/'AW Schüler'!$M166)</f>
        <v>0.1446674261677329</v>
      </c>
      <c r="L46" s="156">
        <f>IF('AW Schüler'!$P166=0,"x",G46/'AW Schüler'!$P166)</f>
        <v>0.14016116454380037</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'3.3.9'!C48</f>
        <v>922</v>
      </c>
      <c r="D48" s="23">
        <f>'3.3.9'!D48</f>
        <v>830</v>
      </c>
      <c r="E48" s="23">
        <f>'3.3.9'!E48</f>
        <v>830</v>
      </c>
      <c r="F48" s="23">
        <f>'3.3.9'!F48</f>
        <v>1108</v>
      </c>
      <c r="G48" s="34">
        <f>'3.3.9'!G48</f>
        <v>1140</v>
      </c>
      <c r="H48" s="155">
        <f>IF('AW Schüler'!$D150=0,"x",C48/'AW Schüler'!$D150)</f>
        <v>4.8518654949218545E-2</v>
      </c>
      <c r="I48" s="155">
        <f>IF('AW Schüler'!$G150=0,"x",D48/'AW Schüler'!$G150)</f>
        <v>4.4003817198600359E-2</v>
      </c>
      <c r="J48" s="155">
        <f>IF('AW Schüler'!$J150=0,"x",E48/'AW Schüler'!$J150)</f>
        <v>4.4377907287600916E-2</v>
      </c>
      <c r="K48" s="155">
        <f>IF('AW Schüler'!$M150=0,"x",F48/'AW Schüler'!$M150)</f>
        <v>5.9678983087363996E-2</v>
      </c>
      <c r="L48" s="156">
        <f>IF('AW Schüler'!$P150=0,"x",G48/'AW Schüler'!$P150)</f>
        <v>6.139264365340083E-2</v>
      </c>
    </row>
    <row r="49" spans="1:12" ht="9" customHeight="1">
      <c r="A49" s="21" t="s">
        <v>81</v>
      </c>
      <c r="B49" s="120"/>
      <c r="C49" s="23">
        <f>'3.3.9'!C49</f>
        <v>1443</v>
      </c>
      <c r="D49" s="23">
        <f>'3.3.9'!D49</f>
        <v>1978</v>
      </c>
      <c r="E49" s="23">
        <f>'3.3.9'!E49</f>
        <v>2327</v>
      </c>
      <c r="F49" s="23">
        <f>'3.3.9'!F49</f>
        <v>2702</v>
      </c>
      <c r="G49" s="34">
        <f>'3.3.9'!G49</f>
        <v>3311</v>
      </c>
      <c r="H49" s="155">
        <f>IF('AW Schüler'!$D151=0,"x",C49/'AW Schüler'!$D151)</f>
        <v>0.21673175127665967</v>
      </c>
      <c r="I49" s="155">
        <f>IF('AW Schüler'!$G151=0,"x",D49/'AW Schüler'!$G151)</f>
        <v>0.29789156626506025</v>
      </c>
      <c r="J49" s="155">
        <f>IF('AW Schüler'!$J151=0,"x",E49/'AW Schüler'!$J151)</f>
        <v>0.34357005758157388</v>
      </c>
      <c r="K49" s="155">
        <f>IF('AW Schüler'!$M151=0,"x",F49/'AW Schüler'!$M151)</f>
        <v>0.39624578383927261</v>
      </c>
      <c r="L49" s="156">
        <f>IF('AW Schüler'!$P151=0,"x",G49/'AW Schüler'!$P151)</f>
        <v>0.47812274368231045</v>
      </c>
    </row>
    <row r="50" spans="1:12" ht="9" customHeight="1">
      <c r="A50" s="21" t="s">
        <v>82</v>
      </c>
      <c r="B50" s="120"/>
      <c r="C50" s="23">
        <f>'3.3.9'!C50</f>
        <v>1352</v>
      </c>
      <c r="D50" s="23">
        <f>'3.3.9'!D50</f>
        <v>1459</v>
      </c>
      <c r="E50" s="23">
        <f>'3.3.9'!E50</f>
        <v>1439</v>
      </c>
      <c r="F50" s="23">
        <f>'3.3.9'!F50</f>
        <v>1600</v>
      </c>
      <c r="G50" s="34">
        <f>'3.3.9'!G50</f>
        <v>1740</v>
      </c>
      <c r="H50" s="155">
        <f>IF('AW Schüler'!$D152=0,"x",C50/'AW Schüler'!$D152)</f>
        <v>0.38884095484613174</v>
      </c>
      <c r="I50" s="155">
        <f>IF('AW Schüler'!$G152=0,"x",D50/'AW Schüler'!$G152)</f>
        <v>0.43000294724432653</v>
      </c>
      <c r="J50" s="155">
        <f>IF('AW Schüler'!$J152=0,"x",E50/'AW Schüler'!$J152)</f>
        <v>0.40927189988623436</v>
      </c>
      <c r="K50" s="155">
        <f>IF('AW Schüler'!$M152=0,"x",F50/'AW Schüler'!$M152)</f>
        <v>0.44593088071348941</v>
      </c>
      <c r="L50" s="156">
        <f>IF('AW Schüler'!$P152=0,"x",G50/'AW Schüler'!$P152)</f>
        <v>0.45705279747832939</v>
      </c>
    </row>
    <row r="51" spans="1:12" ht="9" customHeight="1">
      <c r="A51" s="21" t="s">
        <v>83</v>
      </c>
      <c r="B51" s="120"/>
      <c r="C51" s="23">
        <f>'3.3.9'!C51</f>
        <v>512</v>
      </c>
      <c r="D51" s="23">
        <f>'3.3.9'!D51</f>
        <v>540</v>
      </c>
      <c r="E51" s="23">
        <f>'3.3.9'!E51</f>
        <v>539</v>
      </c>
      <c r="F51" s="23">
        <f>'3.3.9'!F51</f>
        <v>572</v>
      </c>
      <c r="G51" s="34">
        <f>'3.3.9'!G51</f>
        <v>489</v>
      </c>
      <c r="H51" s="155">
        <f>IF('AW Schüler'!$D153=0,"x",C51/'AW Schüler'!$D153)</f>
        <v>0.43537414965986393</v>
      </c>
      <c r="I51" s="155">
        <f>IF('AW Schüler'!$G153=0,"x",D51/'AW Schüler'!$G153)</f>
        <v>0.46471600688468157</v>
      </c>
      <c r="J51" s="155">
        <f>IF('AW Schüler'!$J153=0,"x",E51/'AW Schüler'!$J153)</f>
        <v>0.45332211942809081</v>
      </c>
      <c r="K51" s="155">
        <f>IF('AW Schüler'!$M153=0,"x",F51/'AW Schüler'!$M153)</f>
        <v>0.45943775100401607</v>
      </c>
      <c r="L51" s="156">
        <f>IF('AW Schüler'!$P153=0,"x",G51/'AW Schüler'!$P153)</f>
        <v>0.38840349483717235</v>
      </c>
    </row>
    <row r="52" spans="1:12" ht="9" customHeight="1">
      <c r="A52" s="21" t="s">
        <v>84</v>
      </c>
      <c r="B52" s="120"/>
      <c r="C52" s="23">
        <f>'3.3.9'!C52</f>
        <v>0</v>
      </c>
      <c r="D52" s="23">
        <f>'3.3.9'!D52</f>
        <v>0</v>
      </c>
      <c r="E52" s="23">
        <f>'3.3.9'!E52</f>
        <v>0</v>
      </c>
      <c r="F52" s="23">
        <f>'3.3.9'!F52</f>
        <v>0</v>
      </c>
      <c r="G52" s="34">
        <f>'3.3.9'!G52</f>
        <v>0</v>
      </c>
      <c r="H52" s="155">
        <f>IF('AW Schüler'!$D154=0,"x",C52/'AW Schüler'!$D154)</f>
        <v>0</v>
      </c>
      <c r="I52" s="155">
        <f>IF('AW Schüler'!$G154=0,"x",D52/'AW Schüler'!$G154)</f>
        <v>0</v>
      </c>
      <c r="J52" s="155">
        <f>IF('AW Schüler'!$J154=0,"x",E52/'AW Schüler'!$J154)</f>
        <v>0</v>
      </c>
      <c r="K52" s="155">
        <f>IF('AW Schüler'!$M154=0,"x",F52/'AW Schüler'!$M154)</f>
        <v>0</v>
      </c>
      <c r="L52" s="156">
        <f>IF('AW Schüler'!$P154=0,"x",G52/'AW Schüler'!$P154)</f>
        <v>0</v>
      </c>
    </row>
    <row r="53" spans="1:12" ht="9" customHeight="1">
      <c r="A53" s="21" t="s">
        <v>85</v>
      </c>
      <c r="B53" s="120"/>
      <c r="C53" s="36">
        <f>'3.3.9'!C53</f>
        <v>0</v>
      </c>
      <c r="D53" s="23">
        <f>'3.3.9'!D53</f>
        <v>0</v>
      </c>
      <c r="E53" s="23">
        <f>'3.3.9'!E53</f>
        <v>0</v>
      </c>
      <c r="F53" s="23">
        <f>'3.3.9'!F53</f>
        <v>0</v>
      </c>
      <c r="G53" s="34">
        <f>'3.3.9'!G53</f>
        <v>0</v>
      </c>
      <c r="H53" s="183">
        <f>IF('AW Schüler'!$D155=0,"x",C53/'AW Schüler'!$D155)</f>
        <v>0</v>
      </c>
      <c r="I53" s="155">
        <f>IF('AW Schüler'!$G155=0,"x",D53/'AW Schüler'!$G155)</f>
        <v>0</v>
      </c>
      <c r="J53" s="155">
        <f>IF('AW Schüler'!$J155=0,"x",E53/'AW Schüler'!$J155)</f>
        <v>0</v>
      </c>
      <c r="K53" s="155">
        <f>IF('AW Schüler'!$M155=0,"x",F53/'AW Schüler'!$M155)</f>
        <v>0</v>
      </c>
      <c r="L53" s="156">
        <f>IF('AW Schüler'!$P155=0,"x",G53/'AW Schüler'!$P155)</f>
        <v>0</v>
      </c>
    </row>
    <row r="54" spans="1:12" ht="9" customHeight="1">
      <c r="A54" s="21" t="s">
        <v>86</v>
      </c>
      <c r="B54" s="120"/>
      <c r="C54" s="36">
        <f>'3.3.9'!C54</f>
        <v>0</v>
      </c>
      <c r="D54" s="36">
        <f>'3.3.9'!D54</f>
        <v>0</v>
      </c>
      <c r="E54" s="36">
        <f>'3.3.9'!E54</f>
        <v>0</v>
      </c>
      <c r="F54" s="36">
        <f>'3.3.9'!F54</f>
        <v>0</v>
      </c>
      <c r="G54" s="37">
        <f>'3.3.9'!G54</f>
        <v>0</v>
      </c>
      <c r="H54" s="183">
        <v>0</v>
      </c>
      <c r="I54" s="183">
        <v>0</v>
      </c>
      <c r="J54" s="183">
        <v>0</v>
      </c>
      <c r="K54" s="183">
        <v>0</v>
      </c>
      <c r="L54" s="197">
        <v>0</v>
      </c>
    </row>
    <row r="55" spans="1:12" ht="9" customHeight="1">
      <c r="A55" s="21" t="s">
        <v>223</v>
      </c>
      <c r="B55" s="120"/>
      <c r="C55" s="23">
        <f>'3.3.9'!C55</f>
        <v>53</v>
      </c>
      <c r="D55" s="23">
        <f>'3.3.9'!D55</f>
        <v>0</v>
      </c>
      <c r="E55" s="23">
        <f>'3.3.9'!E55</f>
        <v>0</v>
      </c>
      <c r="F55" s="23">
        <f>'3.3.9'!F55</f>
        <v>0</v>
      </c>
      <c r="G55" s="34">
        <f>'3.3.9'!G55</f>
        <v>0</v>
      </c>
      <c r="H55" s="155">
        <f>IF('AW Schüler'!$D157=0,"x",C55/'AW Schüler'!$D157)</f>
        <v>7.1621621621621626E-2</v>
      </c>
      <c r="I55" s="155">
        <f>IF('AW Schüler'!$G157=0,"x",D55/'AW Schüler'!$G157)</f>
        <v>0</v>
      </c>
      <c r="J55" s="155">
        <f>IF('AW Schüler'!$J157=0,"x",E55/'AW Schüler'!$J157)</f>
        <v>0</v>
      </c>
      <c r="K55" s="155">
        <f>IF('AW Schüler'!$M157=0,"x",F55/'AW Schüler'!$M157)</f>
        <v>0</v>
      </c>
      <c r="L55" s="156">
        <f>IF('AW Schüler'!$P157=0,"x",G55/'AW Schüler'!$P157)</f>
        <v>0</v>
      </c>
    </row>
    <row r="56" spans="1:12" ht="9" customHeight="1">
      <c r="A56" s="21" t="s">
        <v>88</v>
      </c>
      <c r="B56" s="120"/>
      <c r="C56" s="36">
        <f>'3.3.9'!C56</f>
        <v>0</v>
      </c>
      <c r="D56" s="36">
        <f>'3.3.9'!D56</f>
        <v>0</v>
      </c>
      <c r="E56" s="36">
        <f>'3.3.9'!E56</f>
        <v>0</v>
      </c>
      <c r="F56" s="36">
        <f>'3.3.9'!F56</f>
        <v>0</v>
      </c>
      <c r="G56" s="37">
        <f>'3.3.9'!G56</f>
        <v>0</v>
      </c>
      <c r="H56" s="183">
        <v>0</v>
      </c>
      <c r="I56" s="183">
        <v>0</v>
      </c>
      <c r="J56" s="183">
        <v>0</v>
      </c>
      <c r="K56" s="183">
        <v>0</v>
      </c>
      <c r="L56" s="197">
        <v>0</v>
      </c>
    </row>
    <row r="57" spans="1:12" ht="9" customHeight="1">
      <c r="A57" s="21" t="s">
        <v>89</v>
      </c>
      <c r="B57" s="120"/>
      <c r="C57" s="23">
        <f>'3.3.9'!C57</f>
        <v>3218</v>
      </c>
      <c r="D57" s="23">
        <f>'3.3.9'!D57</f>
        <v>3329</v>
      </c>
      <c r="E57" s="23">
        <f>'3.3.9'!E57</f>
        <v>3129</v>
      </c>
      <c r="F57" s="23">
        <f>'3.3.9'!F57</f>
        <v>3141</v>
      </c>
      <c r="G57" s="34">
        <f>'3.3.9'!G57</f>
        <v>3218</v>
      </c>
      <c r="H57" s="155">
        <f>IF('AW Schüler'!$D159=0,"x",C57/'AW Schüler'!$D159)</f>
        <v>0.24744329104190696</v>
      </c>
      <c r="I57" s="155">
        <f>IF('AW Schüler'!$G159=0,"x",D57/'AW Schüler'!$G159)</f>
        <v>0.25993597251503087</v>
      </c>
      <c r="J57" s="155">
        <f>IF('AW Schüler'!$J159=0,"x",E57/'AW Schüler'!$J159)</f>
        <v>0.24701981526801925</v>
      </c>
      <c r="K57" s="155">
        <f>IF('AW Schüler'!$M159=0,"x",F57/'AW Schüler'!$M159)</f>
        <v>0.24154106428791142</v>
      </c>
      <c r="L57" s="156">
        <f>IF('AW Schüler'!$P159=0,"x",G57/'AW Schüler'!$P159)</f>
        <v>0.24693063228974832</v>
      </c>
    </row>
    <row r="58" spans="1:12" ht="9" customHeight="1">
      <c r="A58" s="21" t="s">
        <v>90</v>
      </c>
      <c r="B58" s="120"/>
      <c r="C58" s="23">
        <f>'3.3.9'!C58</f>
        <v>0</v>
      </c>
      <c r="D58" s="23">
        <f>'3.3.9'!D58</f>
        <v>0</v>
      </c>
      <c r="E58" s="23">
        <f>'3.3.9'!E58</f>
        <v>0</v>
      </c>
      <c r="F58" s="23">
        <f>'3.3.9'!F58</f>
        <v>0</v>
      </c>
      <c r="G58" s="34">
        <f>'3.3.9'!G58</f>
        <v>0</v>
      </c>
      <c r="H58" s="155">
        <f>IF('AW Schüler'!$D160=0,"x",C58/'AW Schüler'!$D160)</f>
        <v>0</v>
      </c>
      <c r="I58" s="155">
        <f>IF('AW Schüler'!$G160=0,"x",D58/'AW Schüler'!$G160)</f>
        <v>0</v>
      </c>
      <c r="J58" s="155">
        <f>IF('AW Schüler'!$J160=0,"x",E58/'AW Schüler'!$J160)</f>
        <v>0</v>
      </c>
      <c r="K58" s="155">
        <f>IF('AW Schüler'!$M160=0,"x",F58/'AW Schüler'!$M160)</f>
        <v>0</v>
      </c>
      <c r="L58" s="156">
        <f>IF('AW Schüler'!$P160=0,"x",G58/'AW Schüler'!$P160)</f>
        <v>0</v>
      </c>
    </row>
    <row r="59" spans="1:12" ht="9" customHeight="1">
      <c r="A59" s="21" t="s">
        <v>91</v>
      </c>
      <c r="B59" s="120"/>
      <c r="C59" s="23">
        <f>'3.3.9'!C59</f>
        <v>118</v>
      </c>
      <c r="D59" s="23">
        <f>'3.3.9'!D59</f>
        <v>116</v>
      </c>
      <c r="E59" s="23">
        <f>'3.3.9'!E59</f>
        <v>148</v>
      </c>
      <c r="F59" s="23">
        <f>'3.3.9'!F59</f>
        <v>155</v>
      </c>
      <c r="G59" s="34">
        <f>'3.3.9'!G59</f>
        <v>199</v>
      </c>
      <c r="H59" s="155">
        <f>IF('AW Schüler'!$D161=0,"x",C59/'AW Schüler'!$D161)</f>
        <v>0.11313518696069032</v>
      </c>
      <c r="I59" s="155">
        <f>IF('AW Schüler'!$G161=0,"x",D59/'AW Schüler'!$G161)</f>
        <v>0.11451135241855874</v>
      </c>
      <c r="J59" s="155">
        <f>IF('AW Schüler'!$J161=0,"x",E59/'AW Schüler'!$J161)</f>
        <v>0.14467253176930597</v>
      </c>
      <c r="K59" s="155">
        <f>IF('AW Schüler'!$M161=0,"x",F59/'AW Schüler'!$M161)</f>
        <v>0.15270935960591134</v>
      </c>
      <c r="L59" s="156">
        <f>IF('AW Schüler'!$P161=0,"x",G59/'AW Schüler'!$P161)</f>
        <v>0.20431211498973306</v>
      </c>
    </row>
    <row r="60" spans="1:12" ht="9" customHeight="1">
      <c r="A60" s="21" t="s">
        <v>92</v>
      </c>
      <c r="B60" s="120"/>
      <c r="C60" s="23">
        <f>'3.3.9'!C60</f>
        <v>0</v>
      </c>
      <c r="D60" s="23">
        <f>'3.3.9'!D60</f>
        <v>19</v>
      </c>
      <c r="E60" s="23">
        <f>'3.3.9'!E60</f>
        <v>20</v>
      </c>
      <c r="F60" s="23">
        <f>'3.3.9'!F60</f>
        <v>0</v>
      </c>
      <c r="G60" s="34">
        <f>'3.3.9'!G60</f>
        <v>382</v>
      </c>
      <c r="H60" s="155">
        <f>IF('AW Schüler'!$D162=0,"x",C60/'AW Schüler'!$D162)</f>
        <v>0</v>
      </c>
      <c r="I60" s="155">
        <f>IF('AW Schüler'!$G162=0,"x",D60/'AW Schüler'!$G162)</f>
        <v>1.4694508894044857E-2</v>
      </c>
      <c r="J60" s="155">
        <f>IF('AW Schüler'!$J162=0,"x",E60/'AW Schüler'!$J162)</f>
        <v>1.4409221902017291E-2</v>
      </c>
      <c r="K60" s="155">
        <f>IF('AW Schüler'!$M162=0,"x",F60/'AW Schüler'!$M162)</f>
        <v>0</v>
      </c>
      <c r="L60" s="156">
        <f>IF('AW Schüler'!$P162=0,"x",G60/'AW Schüler'!$P162)</f>
        <v>0.23800623052959502</v>
      </c>
    </row>
    <row r="61" spans="1:12" ht="9" customHeight="1">
      <c r="A61" s="21" t="s">
        <v>93</v>
      </c>
      <c r="B61" s="120"/>
      <c r="C61" s="36">
        <f>'3.3.9'!C61</f>
        <v>0</v>
      </c>
      <c r="D61" s="36">
        <f>'3.3.9'!D61</f>
        <v>0</v>
      </c>
      <c r="E61" s="36">
        <f>'3.3.9'!E61</f>
        <v>0</v>
      </c>
      <c r="F61" s="36">
        <f>'3.3.9'!F61</f>
        <v>0</v>
      </c>
      <c r="G61" s="37">
        <f>'3.3.9'!G61</f>
        <v>0</v>
      </c>
      <c r="H61" s="183">
        <v>0</v>
      </c>
      <c r="I61" s="183">
        <v>0</v>
      </c>
      <c r="J61" s="183">
        <v>0</v>
      </c>
      <c r="K61" s="183">
        <v>0</v>
      </c>
      <c r="L61" s="197">
        <v>0</v>
      </c>
    </row>
    <row r="62" spans="1:12" ht="9" customHeight="1">
      <c r="A62" s="21" t="s">
        <v>94</v>
      </c>
      <c r="B62" s="120"/>
      <c r="C62" s="23">
        <f>'3.3.9'!C62</f>
        <v>1132</v>
      </c>
      <c r="D62" s="23">
        <f>'3.3.9'!D62</f>
        <v>1099</v>
      </c>
      <c r="E62" s="23">
        <f>'3.3.9'!E62</f>
        <v>1087</v>
      </c>
      <c r="F62" s="23">
        <f>'3.3.9'!F62</f>
        <v>1075</v>
      </c>
      <c r="G62" s="34">
        <f>'3.3.9'!G62</f>
        <v>1100</v>
      </c>
      <c r="H62" s="155">
        <f>IF('AW Schüler'!$D164=0,"x",C62/'AW Schüler'!$D164)</f>
        <v>0.28650974436851429</v>
      </c>
      <c r="I62" s="155">
        <f>IF('AW Schüler'!$G164=0,"x",D62/'AW Schüler'!$G164)</f>
        <v>0.28419963796224462</v>
      </c>
      <c r="J62" s="155">
        <f>IF('AW Schüler'!$J164=0,"x",E62/'AW Schüler'!$J164)</f>
        <v>0.28396029258098221</v>
      </c>
      <c r="K62" s="155">
        <f>IF('AW Schüler'!$M164=0,"x",F62/'AW Schüler'!$M164)</f>
        <v>0.28178243774574052</v>
      </c>
      <c r="L62" s="156">
        <f>IF('AW Schüler'!$P164=0,"x",G62/'AW Schüler'!$P164)</f>
        <v>0.28075548749361917</v>
      </c>
    </row>
    <row r="63" spans="1:12" ht="9" customHeight="1">
      <c r="A63" s="21" t="s">
        <v>95</v>
      </c>
      <c r="B63" s="120"/>
      <c r="C63" s="23">
        <f>'3.3.9'!C63</f>
        <v>201</v>
      </c>
      <c r="D63" s="23">
        <f>'3.3.9'!D63</f>
        <v>198</v>
      </c>
      <c r="E63" s="23">
        <f>'3.3.9'!E63</f>
        <v>168</v>
      </c>
      <c r="F63" s="23">
        <f>'3.3.9'!F63</f>
        <v>301</v>
      </c>
      <c r="G63" s="34">
        <f>'3.3.9'!G63</f>
        <v>182</v>
      </c>
      <c r="H63" s="155">
        <f>IF('AW Schüler'!$D165=0,"x",C63/'AW Schüler'!$D165)</f>
        <v>0.1763157894736842</v>
      </c>
      <c r="I63" s="155">
        <f>IF('AW Schüler'!$G165=0,"x",D63/'AW Schüler'!$G165)</f>
        <v>0.17010309278350516</v>
      </c>
      <c r="J63" s="155">
        <f>IF('AW Schüler'!$J165=0,"x",E63/'AW Schüler'!$J165)</f>
        <v>0.14000000000000001</v>
      </c>
      <c r="K63" s="155">
        <f>IF('AW Schüler'!$M165=0,"x",F63/'AW Schüler'!$M165)</f>
        <v>0.24531377343113284</v>
      </c>
      <c r="L63" s="156">
        <f>IF('AW Schüler'!$P165=0,"x",G63/'AW Schüler'!$P165)</f>
        <v>0.14724919093851133</v>
      </c>
    </row>
    <row r="64" spans="1:12" ht="8.65" customHeight="1">
      <c r="A64" s="24" t="s">
        <v>96</v>
      </c>
      <c r="B64" s="121"/>
      <c r="C64" s="26">
        <f>'3.3.9'!C64</f>
        <v>8951</v>
      </c>
      <c r="D64" s="26">
        <f>'3.3.9'!D64</f>
        <v>9568</v>
      </c>
      <c r="E64" s="26">
        <f>'3.3.9'!E64</f>
        <v>9687</v>
      </c>
      <c r="F64" s="26">
        <f>'3.3.9'!F64</f>
        <v>10654</v>
      </c>
      <c r="G64" s="47">
        <f>'3.3.9'!G64</f>
        <v>11761</v>
      </c>
      <c r="H64" s="157">
        <f>IF('AW Schüler'!$D166=0,"x",C64/'AW Schüler'!$D166)</f>
        <v>0.15781864344023838</v>
      </c>
      <c r="I64" s="157">
        <f>IF('AW Schüler'!$G166=0,"x",D64/'AW Schüler'!$G166)</f>
        <v>0.17007661268819879</v>
      </c>
      <c r="J64" s="157">
        <f>IF('AW Schüler'!$J166=0,"x",E64/'AW Schüler'!$J166)</f>
        <v>0.17202067018272868</v>
      </c>
      <c r="K64" s="157">
        <f>IF('AW Schüler'!$M166=0,"x",F64/'AW Schüler'!$M166)</f>
        <v>0.18673210060467971</v>
      </c>
      <c r="L64" s="158">
        <f>IF('AW Schüler'!$P166=0,"x",G64/'AW Schüler'!$P166)</f>
        <v>0.20381249458452474</v>
      </c>
    </row>
    <row r="65" spans="1:12" ht="18.75" customHeight="1">
      <c r="A65" s="396" t="s">
        <v>312</v>
      </c>
      <c r="B65" s="396"/>
      <c r="C65" s="396"/>
      <c r="D65" s="396"/>
      <c r="E65" s="396"/>
      <c r="F65" s="396"/>
      <c r="G65" s="396"/>
      <c r="H65" s="396"/>
      <c r="I65" s="396"/>
      <c r="J65" s="396"/>
      <c r="K65" s="396"/>
      <c r="L65" s="396"/>
    </row>
    <row r="66" spans="1:12" ht="10.15" customHeight="1">
      <c r="A66" s="399" t="s">
        <v>102</v>
      </c>
      <c r="B66" s="399"/>
      <c r="C66" s="399"/>
      <c r="D66" s="399"/>
      <c r="E66" s="399"/>
      <c r="F66" s="399"/>
      <c r="G66" s="399"/>
      <c r="H66" s="399"/>
      <c r="I66" s="399"/>
      <c r="J66" s="257"/>
      <c r="K66" s="325"/>
      <c r="L66" s="350"/>
    </row>
    <row r="67" spans="1:12" ht="18.399999999999999" customHeight="1">
      <c r="A67" s="381" t="s">
        <v>246</v>
      </c>
      <c r="B67" s="381"/>
      <c r="C67" s="381"/>
      <c r="D67" s="381"/>
      <c r="E67" s="381"/>
      <c r="F67" s="381"/>
      <c r="G67" s="381"/>
      <c r="H67" s="381"/>
      <c r="I67" s="381"/>
      <c r="J67" s="395"/>
      <c r="K67" s="395"/>
      <c r="L67" s="395"/>
    </row>
    <row r="68" spans="1:12" ht="10.15" customHeight="1">
      <c r="A68" s="214" t="s">
        <v>302</v>
      </c>
    </row>
    <row r="69" spans="1:12" ht="10.15" customHeight="1">
      <c r="A69" s="306" t="s">
        <v>222</v>
      </c>
    </row>
    <row r="83" spans="1:1" ht="10.5" customHeight="1"/>
    <row r="84" spans="1:1" ht="10.15" customHeight="1">
      <c r="A84" s="214"/>
    </row>
  </sheetData>
  <mergeCells count="9">
    <mergeCell ref="A1:L1"/>
    <mergeCell ref="A67:L67"/>
    <mergeCell ref="A66:I66"/>
    <mergeCell ref="C9:G9"/>
    <mergeCell ref="H9:L9"/>
    <mergeCell ref="A11:L11"/>
    <mergeCell ref="A29:L29"/>
    <mergeCell ref="A47:L47"/>
    <mergeCell ref="A65:L65"/>
  </mergeCells>
  <phoneticPr fontId="18" type="noConversion"/>
  <conditionalFormatting sqref="N25">
    <cfRule type="cellIs" dxfId="26"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view="pageBreakPreview" topLeftCell="A46"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'3.1.9'!A1:J1+1</f>
        <v>45</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4.1" customHeight="1">
      <c r="A5" s="13" t="s">
        <v>47</v>
      </c>
      <c r="B5" s="39" t="s">
        <v>75</v>
      </c>
      <c r="C5" s="14"/>
      <c r="D5" s="14"/>
      <c r="E5" s="14"/>
      <c r="F5" s="14"/>
      <c r="G5" s="14"/>
      <c r="H5" s="14"/>
      <c r="I5" s="14"/>
      <c r="J5" s="14"/>
      <c r="K5" s="14"/>
      <c r="L5" s="14"/>
    </row>
    <row r="6" spans="1:13" s="3" customFormat="1" ht="13.5" customHeight="1">
      <c r="A6" s="40" t="s">
        <v>237</v>
      </c>
      <c r="B6" s="39" t="s">
        <v>279</v>
      </c>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137</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42">
        <f t="shared" ref="C12:E27" si="0">SUM(C30+C48)</f>
        <v>1405</v>
      </c>
      <c r="D12" s="42">
        <f t="shared" si="0"/>
        <v>1233</v>
      </c>
      <c r="E12" s="42">
        <f t="shared" si="0"/>
        <v>1198</v>
      </c>
      <c r="F12" s="42">
        <f t="shared" ref="F12:G12" si="1">SUM(F30+F48)</f>
        <v>1186</v>
      </c>
      <c r="G12" s="44">
        <f t="shared" si="1"/>
        <v>1305</v>
      </c>
      <c r="H12" s="153">
        <f>IF('AW Schüler'!$D150=0,"x",(IF('AW Schüler'!$D168=0,"-",C12/'AW Schüler'!$D168)))</f>
        <v>0.19912131519274376</v>
      </c>
      <c r="I12" s="153">
        <f>IF('AW Schüler'!$G150=0,"x",(IF('AW Schüler'!$G168=0,"-",D12/'AW Schüler'!$G168)))</f>
        <v>0.17636961808038906</v>
      </c>
      <c r="J12" s="153">
        <f>IF('AW Schüler'!$J150=0,"x",(IF('AW Schüler'!$J168=0,"-",E12/'AW Schüler'!$J168)))</f>
        <v>0.17197817973011773</v>
      </c>
      <c r="K12" s="153">
        <f>IF('AW Schüler'!$M150=0,"x",(IF('AW Schüler'!$M168=0,"-",F12/'AW Schüler'!$M168)))</f>
        <v>0.16846590909090908</v>
      </c>
      <c r="L12" s="154">
        <f>IF('AW Schüler'!$P150=0,"x",(IF('AW Schüler'!$P168=0,"-",G12/'AW Schüler'!$P168)))</f>
        <v>0.1813759555246699</v>
      </c>
    </row>
    <row r="13" spans="1:13" ht="9" customHeight="1">
      <c r="A13" s="21" t="s">
        <v>81</v>
      </c>
      <c r="B13" s="120"/>
      <c r="C13" s="42">
        <f t="shared" si="0"/>
        <v>57</v>
      </c>
      <c r="D13" s="42">
        <f t="shared" ref="D13:E13" si="2">SUM(D31+D49)</f>
        <v>58</v>
      </c>
      <c r="E13" s="42">
        <f t="shared" si="2"/>
        <v>56</v>
      </c>
      <c r="F13" s="42" t="e">
        <f t="shared" ref="F13:G13" si="3">SUM(F31+F49)</f>
        <v>#VALUE!</v>
      </c>
      <c r="G13" s="44">
        <f t="shared" si="3"/>
        <v>594</v>
      </c>
      <c r="H13" s="153">
        <f>IF('AW Schüler'!$D151=0,"x",(IF('AW Schüler'!$D169=0,"-",C13/'AW Schüler'!$D169)))</f>
        <v>2.2556390977443608E-2</v>
      </c>
      <c r="I13" s="153">
        <f>IF('AW Schüler'!$G151=0,"x",(IF('AW Schüler'!$G169=0,"-",D13/'AW Schüler'!$G169)))</f>
        <v>2.3255813953488372E-2</v>
      </c>
      <c r="J13" s="153">
        <f>IF('AW Schüler'!$J151=0,"x",(IF('AW Schüler'!$J169=0,"-",E13/'AW Schüler'!$J169)))</f>
        <v>2.1909233176838811E-2</v>
      </c>
      <c r="K13" s="153" t="e">
        <f>IF('AW Schüler'!$M151=0,"x",(IF('AW Schüler'!$M169=0,"-",F13/'AW Schüler'!$M169)))</f>
        <v>#VALUE!</v>
      </c>
      <c r="L13" s="154">
        <f>IF('AW Schüler'!$P151=0,"x",(IF('AW Schüler'!$P169=0,"-",G13/'AW Schüler'!$P169)))</f>
        <v>0.21359223300970873</v>
      </c>
    </row>
    <row r="14" spans="1:13" ht="9" customHeight="1">
      <c r="A14" s="21" t="s">
        <v>82</v>
      </c>
      <c r="B14" s="120"/>
      <c r="C14" s="42">
        <f t="shared" si="0"/>
        <v>1126</v>
      </c>
      <c r="D14" s="42">
        <f t="shared" si="0"/>
        <v>1145</v>
      </c>
      <c r="E14" s="42">
        <f t="shared" si="0"/>
        <v>1177</v>
      </c>
      <c r="F14" s="42">
        <f t="shared" ref="F14:G14" si="4">SUM(F32+F50)</f>
        <v>1330</v>
      </c>
      <c r="G14" s="44">
        <f t="shared" si="4"/>
        <v>1363</v>
      </c>
      <c r="H14" s="153">
        <f>IF('AW Schüler'!$D152=0,"x",(IF('AW Schüler'!$D170=0,"-",C14/'AW Schüler'!$D170)))</f>
        <v>0.72974724562540505</v>
      </c>
      <c r="I14" s="153">
        <f>IF('AW Schüler'!$G152=0,"x",(IF('AW Schüler'!$G170=0,"-",D14/'AW Schüler'!$G170)))</f>
        <v>0.76486305945223776</v>
      </c>
      <c r="J14" s="153">
        <f>IF('AW Schüler'!$J152=0,"x",(IF('AW Schüler'!$J170=0,"-",E14/'AW Schüler'!$J170)))</f>
        <v>0.75303902751119645</v>
      </c>
      <c r="K14" s="153">
        <f>IF('AW Schüler'!$M152=0,"x",(IF('AW Schüler'!$M170=0,"-",F14/'AW Schüler'!$M170)))</f>
        <v>0.84177215189873422</v>
      </c>
      <c r="L14" s="154">
        <f>IF('AW Schüler'!$P152=0,"x",(IF('AW Schüler'!$P170=0,"-",G14/'AW Schüler'!$P170)))</f>
        <v>0.81616766467065871</v>
      </c>
    </row>
    <row r="15" spans="1:13" ht="9" customHeight="1">
      <c r="A15" s="21" t="s">
        <v>83</v>
      </c>
      <c r="B15" s="120"/>
      <c r="C15" s="42">
        <f t="shared" si="0"/>
        <v>374</v>
      </c>
      <c r="D15" s="42">
        <f t="shared" ref="D15:E28" si="5">SUM(D33+D51)</f>
        <v>367</v>
      </c>
      <c r="E15" s="42">
        <f t="shared" si="5"/>
        <v>371</v>
      </c>
      <c r="F15" s="42">
        <f t="shared" ref="F15:G15" si="6">SUM(F33+F51)</f>
        <v>405</v>
      </c>
      <c r="G15" s="44">
        <f t="shared" si="6"/>
        <v>420</v>
      </c>
      <c r="H15" s="153">
        <f>IF('AW Schüler'!$D153=0,"x",(IF('AW Schüler'!$D171=0,"-",C15/'AW Schüler'!$D171)))</f>
        <v>0.7857142857142857</v>
      </c>
      <c r="I15" s="153">
        <f>IF('AW Schüler'!$G153=0,"x",(IF('AW Schüler'!$G171=0,"-",D15/'AW Schüler'!$G171)))</f>
        <v>0.8191964285714286</v>
      </c>
      <c r="J15" s="153">
        <f>IF('AW Schüler'!$J153=0,"x",(IF('AW Schüler'!$J171=0,"-",E15/'AW Schüler'!$J171)))</f>
        <v>0.82261640798226165</v>
      </c>
      <c r="K15" s="153">
        <f>IF('AW Schüler'!$M153=0,"x",(IF('AW Schüler'!$M171=0,"-",F15/'AW Schüler'!$M171)))</f>
        <v>0.80516898608349896</v>
      </c>
      <c r="L15" s="154">
        <f>IF('AW Schüler'!$P153=0,"x",(IF('AW Schüler'!$P171=0,"-",G15/'AW Schüler'!$P171)))</f>
        <v>0.83333333333333337</v>
      </c>
    </row>
    <row r="16" spans="1:13" ht="9" customHeight="1">
      <c r="A16" s="21" t="s">
        <v>84</v>
      </c>
      <c r="B16" s="120"/>
      <c r="C16" s="42">
        <f t="shared" si="0"/>
        <v>77</v>
      </c>
      <c r="D16" s="42">
        <f t="shared" si="5"/>
        <v>75</v>
      </c>
      <c r="E16" s="42">
        <f t="shared" si="5"/>
        <v>52</v>
      </c>
      <c r="F16" s="42">
        <f t="shared" ref="F16:G16" si="7">SUM(F34+F52)</f>
        <v>0</v>
      </c>
      <c r="G16" s="44">
        <f t="shared" si="7"/>
        <v>86</v>
      </c>
      <c r="H16" s="153">
        <f>IF('AW Schüler'!$D154=0,"x",(IF('AW Schüler'!$D172=0,"-",C16/'AW Schüler'!$D172)))</f>
        <v>0.24367088607594936</v>
      </c>
      <c r="I16" s="153">
        <f>IF('AW Schüler'!$G154=0,"x",(IF('AW Schüler'!$G172=0,"-",D16/'AW Schüler'!$G172)))</f>
        <v>0.23885350318471338</v>
      </c>
      <c r="J16" s="153">
        <f>IF('AW Schüler'!$J154=0,"x",(IF('AW Schüler'!$J172=0,"-",E16/'AW Schüler'!$J172)))</f>
        <v>0.16199376947040497</v>
      </c>
      <c r="K16" s="153">
        <f>IF('AW Schüler'!$M154=0,"x",(IF('AW Schüler'!$M172=0,"-",F16/'AW Schüler'!$M172)))</f>
        <v>0</v>
      </c>
      <c r="L16" s="154">
        <f>IF('AW Schüler'!$P154=0,"x",(IF('AW Schüler'!$P172=0,"-",G16/'AW Schüler'!$P172)))</f>
        <v>0.26219512195121952</v>
      </c>
    </row>
    <row r="17" spans="1:12" ht="9" customHeight="1">
      <c r="A17" s="21" t="s">
        <v>85</v>
      </c>
      <c r="B17" s="120"/>
      <c r="C17" s="55">
        <f t="shared" si="0"/>
        <v>0</v>
      </c>
      <c r="D17" s="55">
        <f t="shared" si="5"/>
        <v>0</v>
      </c>
      <c r="E17" s="55">
        <f t="shared" si="5"/>
        <v>0</v>
      </c>
      <c r="F17" s="55">
        <f t="shared" ref="F17:G17" si="8">SUM(F35+F53)</f>
        <v>0</v>
      </c>
      <c r="G17" s="56">
        <f t="shared" si="8"/>
        <v>0</v>
      </c>
      <c r="H17" s="182">
        <f>IF('AW Schüler'!$D155=0,"x",(IF('AW Schüler'!$D173=0,"-",C17/'AW Schüler'!$D173)))</f>
        <v>0</v>
      </c>
      <c r="I17" s="153">
        <f>IF('AW Schüler'!$G155=0,"x",(IF('AW Schüler'!$G173=0,"-",D17/'AW Schüler'!$G173)))</f>
        <v>0</v>
      </c>
      <c r="J17" s="153">
        <f>IF('AW Schüler'!$J155=0,"x",(IF('AW Schüler'!$J173=0,"-",E17/'AW Schüler'!$J173)))</f>
        <v>0</v>
      </c>
      <c r="K17" s="153">
        <f>IF('AW Schüler'!$M155=0,"x",(IF('AW Schüler'!$M173=0,"-",F17/'AW Schüler'!$M173)))</f>
        <v>0</v>
      </c>
      <c r="L17" s="154">
        <f>IF('AW Schüler'!$P155=0,"x",(IF('AW Schüler'!$P173=0,"-",G17/'AW Schüler'!$P173)))</f>
        <v>0</v>
      </c>
    </row>
    <row r="18" spans="1:12" ht="9" customHeight="1">
      <c r="A18" s="21" t="s">
        <v>86</v>
      </c>
      <c r="B18" s="120"/>
      <c r="C18" s="55">
        <f t="shared" si="0"/>
        <v>0</v>
      </c>
      <c r="D18" s="55">
        <f t="shared" si="5"/>
        <v>0</v>
      </c>
      <c r="E18" s="55">
        <f t="shared" si="5"/>
        <v>0</v>
      </c>
      <c r="F18" s="55">
        <f t="shared" ref="F18:G18" si="9">SUM(F36+F54)</f>
        <v>0</v>
      </c>
      <c r="G18" s="56">
        <f t="shared" si="9"/>
        <v>0</v>
      </c>
      <c r="H18" s="182">
        <f>IF('AW Schüler'!$D156=0,"x",(IF('AW Schüler'!$D174=0,"-",C18/'AW Schüler'!$D174)))</f>
        <v>0</v>
      </c>
      <c r="I18" s="182">
        <f>IF('AW Schüler'!$G156=0,"x",(IF('AW Schüler'!$G174=0,"-",D18/'AW Schüler'!$G174)))</f>
        <v>0</v>
      </c>
      <c r="J18" s="182">
        <f>IF('AW Schüler'!$J156=0,"x",(IF('AW Schüler'!$J174=0,"-",E18/'AW Schüler'!$J174)))</f>
        <v>0</v>
      </c>
      <c r="K18" s="182">
        <f>IF('AW Schüler'!$M156=0,"x",(IF('AW Schüler'!$M174=0,"-",F18/'AW Schüler'!$M174)))</f>
        <v>0</v>
      </c>
      <c r="L18" s="196">
        <f>IF('AW Schüler'!$P156=0,"x",(IF('AW Schüler'!$P174=0,"-",G18/'AW Schüler'!$P174)))</f>
        <v>0</v>
      </c>
    </row>
    <row r="19" spans="1:12" ht="9" customHeight="1">
      <c r="A19" s="21" t="s">
        <v>223</v>
      </c>
      <c r="B19" s="120"/>
      <c r="C19" s="42">
        <f t="shared" si="0"/>
        <v>0</v>
      </c>
      <c r="D19" s="42">
        <f t="shared" si="5"/>
        <v>0</v>
      </c>
      <c r="E19" s="42">
        <f t="shared" si="5"/>
        <v>0</v>
      </c>
      <c r="F19" s="42">
        <f t="shared" ref="F19:G19" si="10">SUM(F37+F55)</f>
        <v>0</v>
      </c>
      <c r="G19" s="44">
        <f t="shared" si="10"/>
        <v>0</v>
      </c>
      <c r="H19" s="153">
        <f>IF('AW Schüler'!$D157=0,"x",(IF('AW Schüler'!$D175=0,"-",C19/'AW Schüler'!$D175)))</f>
        <v>0</v>
      </c>
      <c r="I19" s="153">
        <f>IF('AW Schüler'!$G157=0,"x",(IF('AW Schüler'!$G175=0,"-",D19/'AW Schüler'!$G175)))</f>
        <v>0</v>
      </c>
      <c r="J19" s="153">
        <f>IF('AW Schüler'!$J157=0,"x",(IF('AW Schüler'!$J175=0,"-",E19/'AW Schüler'!$J175)))</f>
        <v>0</v>
      </c>
      <c r="K19" s="153">
        <f>IF('AW Schüler'!$M157=0,"x",(IF('AW Schüler'!$M175=0,"-",F19/'AW Schüler'!$M175)))</f>
        <v>0</v>
      </c>
      <c r="L19" s="154">
        <f>IF('AW Schüler'!$P157=0,"x",(IF('AW Schüler'!$P175=0,"-",G19/'AW Schüler'!$P175)))</f>
        <v>0</v>
      </c>
    </row>
    <row r="20" spans="1:12" ht="9" customHeight="1">
      <c r="A20" s="21" t="s">
        <v>88</v>
      </c>
      <c r="B20" s="120"/>
      <c r="C20" s="55">
        <f t="shared" si="0"/>
        <v>0</v>
      </c>
      <c r="D20" s="55">
        <f t="shared" si="5"/>
        <v>0</v>
      </c>
      <c r="E20" s="55">
        <f t="shared" si="5"/>
        <v>0</v>
      </c>
      <c r="F20" s="55">
        <f t="shared" ref="F20:G20" si="11">SUM(F38+F56)</f>
        <v>0</v>
      </c>
      <c r="G20" s="56">
        <f t="shared" si="11"/>
        <v>0</v>
      </c>
      <c r="H20" s="182">
        <f>IF('AW Schüler'!$D158=0,"x",(IF('AW Schüler'!$D176=0,"-",C20/'AW Schüler'!$D176)))</f>
        <v>0</v>
      </c>
      <c r="I20" s="182">
        <f>IF('AW Schüler'!$G158=0,"x",(IF('AW Schüler'!$G176=0,"-",D20/'AW Schüler'!$G176)))</f>
        <v>0</v>
      </c>
      <c r="J20" s="182">
        <f>IF('AW Schüler'!$J158=0,"x",(IF('AW Schüler'!$J176=0,"-",E20/'AW Schüler'!$J176)))</f>
        <v>0</v>
      </c>
      <c r="K20" s="182">
        <f>IF('AW Schüler'!$M158=0,"x",(IF('AW Schüler'!$M176=0,"-",F20/'AW Schüler'!$M176)))</f>
        <v>0</v>
      </c>
      <c r="L20" s="196">
        <f>IF('AW Schüler'!$P158=0,"x",(IF('AW Schüler'!$P176=0,"-",G20/'AW Schüler'!$P176)))</f>
        <v>0</v>
      </c>
    </row>
    <row r="21" spans="1:12" ht="9" customHeight="1">
      <c r="A21" s="21" t="s">
        <v>89</v>
      </c>
      <c r="B21" s="120"/>
      <c r="C21" s="42">
        <f t="shared" si="0"/>
        <v>3569</v>
      </c>
      <c r="D21" s="42">
        <f t="shared" si="5"/>
        <v>3636</v>
      </c>
      <c r="E21" s="42">
        <f t="shared" si="5"/>
        <v>3275</v>
      </c>
      <c r="F21" s="42">
        <f t="shared" ref="F21:G21" si="12">SUM(F39+F57)</f>
        <v>3286</v>
      </c>
      <c r="G21" s="44">
        <f t="shared" si="12"/>
        <v>3346</v>
      </c>
      <c r="H21" s="153">
        <f>IF('AW Schüler'!$D159=0,"x",(IF('AW Schüler'!$D177=0,"-",C21/'AW Schüler'!$D177)))</f>
        <v>0.73255336617405586</v>
      </c>
      <c r="I21" s="153">
        <f>IF('AW Schüler'!$G159=0,"x",(IF('AW Schüler'!$G177=0,"-",D21/'AW Schüler'!$G177)))</f>
        <v>0.75545397880739662</v>
      </c>
      <c r="J21" s="153">
        <f>IF('AW Schüler'!$J159=0,"x",(IF('AW Schüler'!$J177=0,"-",E21/'AW Schüler'!$J177)))</f>
        <v>0.676094137076796</v>
      </c>
      <c r="K21" s="153">
        <f>IF('AW Schüler'!$M159=0,"x",(IF('AW Schüler'!$M177=0,"-",F21/'AW Schüler'!$M177)))</f>
        <v>0.66815778771858481</v>
      </c>
      <c r="L21" s="154">
        <f>IF('AW Schüler'!$P159=0,"x",(IF('AW Schüler'!$P177=0,"-",G21/'AW Schüler'!$P177)))</f>
        <v>0.66481223922114052</v>
      </c>
    </row>
    <row r="22" spans="1:12" ht="9" customHeight="1">
      <c r="A22" s="21" t="s">
        <v>90</v>
      </c>
      <c r="B22" s="120"/>
      <c r="C22" s="42">
        <f t="shared" si="0"/>
        <v>317</v>
      </c>
      <c r="D22" s="42">
        <f t="shared" si="5"/>
        <v>299</v>
      </c>
      <c r="E22" s="42">
        <f t="shared" si="5"/>
        <v>294</v>
      </c>
      <c r="F22" s="42">
        <f t="shared" ref="F22:G22" si="13">SUM(F40+F58)</f>
        <v>330</v>
      </c>
      <c r="G22" s="44">
        <f t="shared" si="13"/>
        <v>378</v>
      </c>
      <c r="H22" s="153">
        <f>IF('AW Schüler'!$D160=0,"x",(IF('AW Schüler'!$D178=0,"-",C22/'AW Schüler'!$D178)))</f>
        <v>0.41276041666666669</v>
      </c>
      <c r="I22" s="153">
        <f>IF('AW Schüler'!$G160=0,"x",(IF('AW Schüler'!$G178=0,"-",D22/'AW Schüler'!$G178)))</f>
        <v>0.38382541720154045</v>
      </c>
      <c r="J22" s="153">
        <f>IF('AW Schüler'!$J160=0,"x",(IF('AW Schüler'!$J178=0,"-",E22/'AW Schüler'!$J178)))</f>
        <v>0.38132295719844356</v>
      </c>
      <c r="K22" s="153">
        <f>IF('AW Schüler'!$M160=0,"x",(IF('AW Schüler'!$M178=0,"-",F22/'AW Schüler'!$M178)))</f>
        <v>0.43307086614173229</v>
      </c>
      <c r="L22" s="154">
        <f>IF('AW Schüler'!$P160=0,"x",(IF('AW Schüler'!$P178=0,"-",G22/'AW Schüler'!$P178)))</f>
        <v>0.46898263027295284</v>
      </c>
    </row>
    <row r="23" spans="1:12" ht="9" customHeight="1">
      <c r="A23" s="21" t="s">
        <v>91</v>
      </c>
      <c r="B23" s="120"/>
      <c r="C23" s="42">
        <f t="shared" si="0"/>
        <v>0</v>
      </c>
      <c r="D23" s="42">
        <f t="shared" si="5"/>
        <v>73</v>
      </c>
      <c r="E23" s="42">
        <f t="shared" si="5"/>
        <v>103</v>
      </c>
      <c r="F23" s="42">
        <f t="shared" ref="F23:G23" si="14">SUM(F41+F59)</f>
        <v>110</v>
      </c>
      <c r="G23" s="44">
        <f t="shared" si="14"/>
        <v>142</v>
      </c>
      <c r="H23" s="153">
        <f>IF('AW Schüler'!$D161=0,"x",(IF('AW Schüler'!$D179=0,"-",C23/'AW Schüler'!$D179)))</f>
        <v>0</v>
      </c>
      <c r="I23" s="153">
        <f>IF('AW Schüler'!$G161=0,"x",(IF('AW Schüler'!$G179=0,"-",D23/'AW Schüler'!$G179)))</f>
        <v>0.18911917098445596</v>
      </c>
      <c r="J23" s="153">
        <f>IF('AW Schüler'!$J161=0,"x",(IF('AW Schüler'!$J179=0,"-",E23/'AW Schüler'!$J179)))</f>
        <v>0.2689295039164491</v>
      </c>
      <c r="K23" s="153">
        <f>IF('AW Schüler'!$M161=0,"x",(IF('AW Schüler'!$M179=0,"-",F23/'AW Schüler'!$M179)))</f>
        <v>0.27777777777777779</v>
      </c>
      <c r="L23" s="154">
        <f>IF('AW Schüler'!$P161=0,"x",(IF('AW Schüler'!$P179=0,"-",G23/'AW Schüler'!$P179)))</f>
        <v>0.38069705093833778</v>
      </c>
    </row>
    <row r="24" spans="1:12" ht="9" customHeight="1">
      <c r="A24" s="21" t="s">
        <v>244</v>
      </c>
      <c r="B24" s="120"/>
      <c r="C24" s="55">
        <f t="shared" si="0"/>
        <v>0</v>
      </c>
      <c r="D24" s="55">
        <f t="shared" si="5"/>
        <v>0</v>
      </c>
      <c r="E24" s="55">
        <f t="shared" si="5"/>
        <v>0</v>
      </c>
      <c r="F24" s="55">
        <f t="shared" ref="F24:G24" si="15">SUM(F42+F60)</f>
        <v>0</v>
      </c>
      <c r="G24" s="56">
        <f t="shared" si="15"/>
        <v>0</v>
      </c>
      <c r="H24" s="186">
        <f>IF('AW Schüler'!$D162=0,"x",(IF('AW Schüler'!$D180=0,"-",C24/'AW Schüler'!$D180)))</f>
        <v>0</v>
      </c>
      <c r="I24" s="186">
        <f>IF('AW Schüler'!$G162=0,"x",(IF('AW Schüler'!$G180=0,"-",D24/'AW Schüler'!$G180)))</f>
        <v>0</v>
      </c>
      <c r="J24" s="186">
        <f>IF('AW Schüler'!$J162=0,"x",(IF('AW Schüler'!$J180=0,"-",E24/'AW Schüler'!$J180)))</f>
        <v>0</v>
      </c>
      <c r="K24" s="186">
        <f>IF('AW Schüler'!$M162=0,"x",(IF('AW Schüler'!$M180=0,"-",F24/'AW Schüler'!$M180)))</f>
        <v>0</v>
      </c>
      <c r="L24" s="187">
        <f>IF('AW Schüler'!$P162=0,"x",(IF('AW Schüler'!$P180=0,"-",G24/'AW Schüler'!$P180)))</f>
        <v>0</v>
      </c>
    </row>
    <row r="25" spans="1:12" ht="9" customHeight="1">
      <c r="A25" s="21" t="s">
        <v>93</v>
      </c>
      <c r="B25" s="120"/>
      <c r="C25" s="55">
        <f t="shared" si="0"/>
        <v>0</v>
      </c>
      <c r="D25" s="55">
        <f t="shared" si="5"/>
        <v>0</v>
      </c>
      <c r="E25" s="55">
        <f t="shared" si="5"/>
        <v>0</v>
      </c>
      <c r="F25" s="55">
        <f t="shared" ref="F25:G25" si="16">SUM(F43+F61)</f>
        <v>0</v>
      </c>
      <c r="G25" s="56">
        <f t="shared" si="16"/>
        <v>0</v>
      </c>
      <c r="H25" s="182">
        <f>IF('AW Schüler'!$D163=0,"x",(IF('AW Schüler'!$D181=0,"-",C25/'AW Schüler'!$D181)))</f>
        <v>0</v>
      </c>
      <c r="I25" s="182">
        <f>IF('AW Schüler'!$G163=0,"x",(IF('AW Schüler'!$G181=0,"-",D25/'AW Schüler'!$G181)))</f>
        <v>0</v>
      </c>
      <c r="J25" s="182">
        <f>IF('AW Schüler'!$J163=0,"x",(IF('AW Schüler'!$J181=0,"-",E25/'AW Schüler'!$J181)))</f>
        <v>0</v>
      </c>
      <c r="K25" s="182">
        <f>IF('AW Schüler'!$M163=0,"x",(IF('AW Schüler'!$M181=0,"-",F25/'AW Schüler'!$M181)))</f>
        <v>0</v>
      </c>
      <c r="L25" s="196">
        <f>IF('AW Schüler'!$P163=0,"x",(IF('AW Schüler'!$P181=0,"-",G25/'AW Schüler'!$P181)))</f>
        <v>0</v>
      </c>
    </row>
    <row r="26" spans="1:12" ht="9" customHeight="1">
      <c r="A26" s="21" t="s">
        <v>94</v>
      </c>
      <c r="B26" s="120"/>
      <c r="C26" s="42">
        <f t="shared" si="0"/>
        <v>425</v>
      </c>
      <c r="D26" s="42">
        <f t="shared" si="5"/>
        <v>410</v>
      </c>
      <c r="E26" s="42">
        <f t="shared" si="5"/>
        <v>414</v>
      </c>
      <c r="F26" s="42">
        <f t="shared" ref="F26:G26" si="17">SUM(F44+F62)</f>
        <v>412</v>
      </c>
      <c r="G26" s="44">
        <f t="shared" si="17"/>
        <v>440</v>
      </c>
      <c r="H26" s="153">
        <f>IF('AW Schüler'!$D164=0,"x",(IF('AW Schüler'!$D182=0,"-",C26/'AW Schüler'!$D182)))</f>
        <v>0.2848525469168901</v>
      </c>
      <c r="I26" s="153">
        <f>IF('AW Schüler'!$G164=0,"x",(IF('AW Schüler'!$G182=0,"-",D26/'AW Schüler'!$G182)))</f>
        <v>0.28256374913852517</v>
      </c>
      <c r="J26" s="153">
        <f>IF('AW Schüler'!$J164=0,"x",(IF('AW Schüler'!$J182=0,"-",E26/'AW Schüler'!$J182)))</f>
        <v>0.28010825439783493</v>
      </c>
      <c r="K26" s="153">
        <f>IF('AW Schüler'!$M164=0,"x",(IF('AW Schüler'!$M182=0,"-",F26/'AW Schüler'!$M182)))</f>
        <v>0.2789438050101557</v>
      </c>
      <c r="L26" s="154">
        <f>IF('AW Schüler'!$P164=0,"x",(IF('AW Schüler'!$P182=0,"-",G26/'AW Schüler'!$P182)))</f>
        <v>0.28007638446849142</v>
      </c>
    </row>
    <row r="27" spans="1:12" ht="9" customHeight="1">
      <c r="A27" s="21" t="s">
        <v>95</v>
      </c>
      <c r="B27" s="120"/>
      <c r="C27" s="42">
        <f t="shared" si="0"/>
        <v>432</v>
      </c>
      <c r="D27" s="42">
        <f t="shared" si="5"/>
        <v>431</v>
      </c>
      <c r="E27" s="42">
        <f t="shared" si="5"/>
        <v>427</v>
      </c>
      <c r="F27" s="42">
        <f t="shared" ref="F27:G27" si="18">SUM(F45+F63)</f>
        <v>374</v>
      </c>
      <c r="G27" s="44">
        <f t="shared" si="18"/>
        <v>513</v>
      </c>
      <c r="H27" s="153">
        <f>IF('AW Schüler'!$D165=0,"x",(IF('AW Schüler'!$D183=0,"-",C27/'AW Schüler'!$D183)))</f>
        <v>0.9773755656108597</v>
      </c>
      <c r="I27" s="153">
        <f>IF('AW Schüler'!$G165=0,"x",(IF('AW Schüler'!$G183=0,"-",D27/'AW Schüler'!$G183)))</f>
        <v>1</v>
      </c>
      <c r="J27" s="153">
        <f>IF('AW Schüler'!$J165=0,"x",(IF('AW Schüler'!$J183=0,"-",E27/'AW Schüler'!$J183)))</f>
        <v>0.90658174097664546</v>
      </c>
      <c r="K27" s="153">
        <f>IF('AW Schüler'!$M165=0,"x",(IF('AW Schüler'!$M183=0,"-",F27/'AW Schüler'!$M183)))</f>
        <v>0.77432712215320909</v>
      </c>
      <c r="L27" s="154">
        <f>IF('AW Schüler'!$P165=0,"x",(IF('AW Schüler'!$P183=0,"-",G27/'AW Schüler'!$P183)))</f>
        <v>1</v>
      </c>
    </row>
    <row r="28" spans="1:12" ht="9" customHeight="1">
      <c r="A28" s="21" t="s">
        <v>96</v>
      </c>
      <c r="B28" s="120"/>
      <c r="C28" s="42">
        <f t="shared" ref="C28" si="19">SUM(C46+C64)</f>
        <v>17044</v>
      </c>
      <c r="D28" s="42">
        <f t="shared" si="5"/>
        <v>19389</v>
      </c>
      <c r="E28" s="42">
        <f t="shared" si="5"/>
        <v>18229</v>
      </c>
      <c r="F28" s="42">
        <f t="shared" ref="F28:G28" si="20">SUM(F46+F64)</f>
        <v>18908</v>
      </c>
      <c r="G28" s="44">
        <f t="shared" si="20"/>
        <v>19849</v>
      </c>
      <c r="H28" s="153">
        <f>IF('AW Schüler'!$D166=0,"x",(IF('AW Schüler'!$D184=0,"-",C28/'AW Schüler'!$D184)))</f>
        <v>0.78739720964612403</v>
      </c>
      <c r="I28" s="153">
        <f>IF('AW Schüler'!$G166=0,"x",(IF('AW Schüler'!$G184=0,"-",D28/'AW Schüler'!$G184)))</f>
        <v>0.90467525195968646</v>
      </c>
      <c r="J28" s="153">
        <f>IF('AW Schüler'!$J166=0,"x",(IF('AW Schüler'!$J184=0,"-",E28/'AW Schüler'!$J184)))</f>
        <v>0.84031715299866316</v>
      </c>
      <c r="K28" s="153">
        <f>IF('AW Schüler'!$M166=0,"x",(IF('AW Schüler'!$M184=0,"-",F28/'AW Schüler'!$M184)))</f>
        <v>0.85351871078409247</v>
      </c>
      <c r="L28" s="154">
        <f>IF('AW Schüler'!$P166=0,"x",(IF('AW Schüler'!$P184=0,"-",G28/'AW Schüler'!$P184)))</f>
        <v>0.86446583336962679</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23">
        <f>'3.3.9.1'!C30</f>
        <v>1097</v>
      </c>
      <c r="D30" s="23">
        <f>'3.3.9.1'!D30</f>
        <v>924</v>
      </c>
      <c r="E30" s="23">
        <f>'3.3.9.1'!E30</f>
        <v>893</v>
      </c>
      <c r="F30" s="23">
        <f>'3.3.9.1'!F30</f>
        <v>765</v>
      </c>
      <c r="G30" s="34">
        <f>'3.3.9.1'!G30</f>
        <v>861</v>
      </c>
      <c r="H30" s="155">
        <f>IF('AW Schüler'!$D150=0,"x",(IF('AW Schüler'!$D168=0,"-",C30/'AW Schüler'!$D168)))</f>
        <v>0.15547052154195012</v>
      </c>
      <c r="I30" s="155">
        <f>IF('AW Schüler'!$G150=0,"x",(IF('AW Schüler'!$G168=0,"-",D30/'AW Schüler'!$G168)))</f>
        <v>0.13216993277070518</v>
      </c>
      <c r="J30" s="155">
        <f>IF('AW Schüler'!$J150=0,"x",(IF('AW Schüler'!$J168=0,"-",E30/'AW Schüler'!$J168)))</f>
        <v>0.12819408555842665</v>
      </c>
      <c r="K30" s="155">
        <f>IF('AW Schüler'!$M150=0,"x",(IF('AW Schüler'!$M168=0,"-",F30/'AW Schüler'!$M168)))</f>
        <v>0.10866477272727272</v>
      </c>
      <c r="L30" s="156">
        <f>IF('AW Schüler'!$P150=0,"x",(IF('AW Schüler'!$P168=0,"-",G30/'AW Schüler'!$P168)))</f>
        <v>0.11966643502432245</v>
      </c>
    </row>
    <row r="31" spans="1:12" ht="9" customHeight="1">
      <c r="A31" s="21" t="s">
        <v>81</v>
      </c>
      <c r="B31" s="120"/>
      <c r="C31" s="23">
        <f>'3.3.9.1'!C31</f>
        <v>0</v>
      </c>
      <c r="D31" s="23">
        <f>'3.3.9.1'!D31</f>
        <v>0</v>
      </c>
      <c r="E31" s="23">
        <f>'3.3.9.1'!E31</f>
        <v>0</v>
      </c>
      <c r="F31" s="23" t="str">
        <f>'3.3.9.1'!F31</f>
        <v xml:space="preserve">                                      -   </v>
      </c>
      <c r="G31" s="34">
        <f>'3.3.9.1'!G31</f>
        <v>0</v>
      </c>
      <c r="H31" s="155">
        <f>IF('AW Schüler'!$D151=0,"x",(IF('AW Schüler'!$D169=0,"-",C31/'AW Schüler'!$D169)))</f>
        <v>0</v>
      </c>
      <c r="I31" s="155">
        <f>IF('AW Schüler'!$G151=0,"x",(IF('AW Schüler'!$G169=0,"-",D31/'AW Schüler'!$G169)))</f>
        <v>0</v>
      </c>
      <c r="J31" s="155">
        <f>IF('AW Schüler'!$J151=0,"x",(IF('AW Schüler'!$J169=0,"-",E31/'AW Schüler'!$J169)))</f>
        <v>0</v>
      </c>
      <c r="K31" s="155" t="e">
        <f>IF('AW Schüler'!$M151=0,"x",(IF('AW Schüler'!$M169=0,"-",F31/'AW Schüler'!$M169)))</f>
        <v>#VALUE!</v>
      </c>
      <c r="L31" s="156">
        <f>IF('AW Schüler'!$P151=0,"x",(IF('AW Schüler'!$P169=0,"-",G31/'AW Schüler'!$P169)))</f>
        <v>0</v>
      </c>
    </row>
    <row r="32" spans="1:12" ht="9" customHeight="1">
      <c r="A32" s="21" t="s">
        <v>82</v>
      </c>
      <c r="B32" s="120"/>
      <c r="C32" s="23">
        <f>'3.3.9.1'!C32</f>
        <v>0</v>
      </c>
      <c r="D32" s="23">
        <f>'3.3.9.1'!D32</f>
        <v>0</v>
      </c>
      <c r="E32" s="23">
        <f>'3.3.9.1'!E32</f>
        <v>0</v>
      </c>
      <c r="F32" s="23">
        <f>'3.3.9.1'!F32</f>
        <v>0</v>
      </c>
      <c r="G32" s="34">
        <f>'3.3.9.1'!G32</f>
        <v>0</v>
      </c>
      <c r="H32" s="155">
        <f>IF('AW Schüler'!$D152=0,"x",(IF('AW Schüler'!$D170=0,"-",C32/'AW Schüler'!$D170)))</f>
        <v>0</v>
      </c>
      <c r="I32" s="155">
        <f>IF('AW Schüler'!$G152=0,"x",(IF('AW Schüler'!$G170=0,"-",D32/'AW Schüler'!$G170)))</f>
        <v>0</v>
      </c>
      <c r="J32" s="155">
        <f>IF('AW Schüler'!$J152=0,"x",(IF('AW Schüler'!$J170=0,"-",E32/'AW Schüler'!$J170)))</f>
        <v>0</v>
      </c>
      <c r="K32" s="155">
        <f>IF('AW Schüler'!$M152=0,"x",(IF('AW Schüler'!$M170=0,"-",F32/'AW Schüler'!$M170)))</f>
        <v>0</v>
      </c>
      <c r="L32" s="156">
        <f>IF('AW Schüler'!$P152=0,"x",(IF('AW Schüler'!$P170=0,"-",G32/'AW Schüler'!$P170)))</f>
        <v>0</v>
      </c>
    </row>
    <row r="33" spans="1:12" ht="9" customHeight="1">
      <c r="A33" s="21" t="s">
        <v>83</v>
      </c>
      <c r="B33" s="120"/>
      <c r="C33" s="23">
        <f>'3.3.9.1'!C33</f>
        <v>0</v>
      </c>
      <c r="D33" s="23">
        <f>'3.3.9.1'!D33</f>
        <v>0</v>
      </c>
      <c r="E33" s="23">
        <f>'3.3.9.1'!E33</f>
        <v>0</v>
      </c>
      <c r="F33" s="23">
        <f>'3.3.9.1'!F33</f>
        <v>0</v>
      </c>
      <c r="G33" s="34">
        <f>'3.3.9.1'!G33</f>
        <v>0</v>
      </c>
      <c r="H33" s="155">
        <f>IF('AW Schüler'!$D153=0,"x",(IF('AW Schüler'!$D171=0,"-",C33/'AW Schüler'!$D171)))</f>
        <v>0</v>
      </c>
      <c r="I33" s="155">
        <f>IF('AW Schüler'!$G153=0,"x",(IF('AW Schüler'!$G171=0,"-",D33/'AW Schüler'!$G171)))</f>
        <v>0</v>
      </c>
      <c r="J33" s="155">
        <f>IF('AW Schüler'!$J153=0,"x",(IF('AW Schüler'!$J171=0,"-",E33/'AW Schüler'!$J171)))</f>
        <v>0</v>
      </c>
      <c r="K33" s="155">
        <f>IF('AW Schüler'!$M153=0,"x",(IF('AW Schüler'!$M171=0,"-",F33/'AW Schüler'!$M171)))</f>
        <v>0</v>
      </c>
      <c r="L33" s="156">
        <f>IF('AW Schüler'!$P153=0,"x",(IF('AW Schüler'!$P171=0,"-",G33/'AW Schüler'!$P171)))</f>
        <v>0</v>
      </c>
    </row>
    <row r="34" spans="1:12" ht="9" customHeight="1">
      <c r="A34" s="21" t="s">
        <v>84</v>
      </c>
      <c r="B34" s="120"/>
      <c r="C34" s="23">
        <f>'3.3.9.1'!C34</f>
        <v>77</v>
      </c>
      <c r="D34" s="23">
        <f>'3.3.9.1'!D34</f>
        <v>75</v>
      </c>
      <c r="E34" s="23">
        <f>'3.3.9.1'!E34</f>
        <v>52</v>
      </c>
      <c r="F34" s="23">
        <f>'3.3.9.1'!F34</f>
        <v>0</v>
      </c>
      <c r="G34" s="34">
        <f>'3.3.9.1'!G34</f>
        <v>86</v>
      </c>
      <c r="H34" s="155">
        <f>IF('AW Schüler'!$D154=0,"x",(IF('AW Schüler'!$D172=0,"-",C34/'AW Schüler'!$D172)))</f>
        <v>0.24367088607594936</v>
      </c>
      <c r="I34" s="155">
        <f>IF('AW Schüler'!$G154=0,"x",(IF('AW Schüler'!$G172=0,"-",D34/'AW Schüler'!$G172)))</f>
        <v>0.23885350318471338</v>
      </c>
      <c r="J34" s="155">
        <f>IF('AW Schüler'!$J154=0,"x",(IF('AW Schüler'!$J172=0,"-",E34/'AW Schüler'!$J172)))</f>
        <v>0.16199376947040497</v>
      </c>
      <c r="K34" s="155">
        <f>IF('AW Schüler'!$M154=0,"x",(IF('AW Schüler'!$M172=0,"-",F34/'AW Schüler'!$M172)))</f>
        <v>0</v>
      </c>
      <c r="L34" s="156">
        <f>IF('AW Schüler'!$P154=0,"x",(IF('AW Schüler'!$P172=0,"-",G34/'AW Schüler'!$P172)))</f>
        <v>0.26219512195121952</v>
      </c>
    </row>
    <row r="35" spans="1:12" ht="9" customHeight="1">
      <c r="A35" s="21" t="s">
        <v>85</v>
      </c>
      <c r="B35" s="120"/>
      <c r="C35" s="36">
        <f>'3.3.9.1'!C35</f>
        <v>0</v>
      </c>
      <c r="D35" s="36">
        <f>'3.3.9.1'!D35</f>
        <v>0</v>
      </c>
      <c r="E35" s="36">
        <f>'3.3.9.1'!E35</f>
        <v>0</v>
      </c>
      <c r="F35" s="36">
        <f>'3.3.9.1'!F35</f>
        <v>0</v>
      </c>
      <c r="G35" s="37">
        <f>'3.3.9.1'!G35</f>
        <v>0</v>
      </c>
      <c r="H35" s="189">
        <f>IF('AW Schüler'!$D155=0,"x",(IF('AW Schüler'!$D173=0,"-",C35/'AW Schüler'!$D173)))</f>
        <v>0</v>
      </c>
      <c r="I35" s="155">
        <f>IF('AW Schüler'!$G155=0,"x",(IF('AW Schüler'!$G173=0,"-",D35/'AW Schüler'!$G173)))</f>
        <v>0</v>
      </c>
      <c r="J35" s="155">
        <f>IF('AW Schüler'!$J155=0,"x",(IF('AW Schüler'!$J173=0,"-",E35/'AW Schüler'!$J173)))</f>
        <v>0</v>
      </c>
      <c r="K35" s="155">
        <f>IF('AW Schüler'!$M155=0,"x",(IF('AW Schüler'!$M173=0,"-",F35/'AW Schüler'!$M173)))</f>
        <v>0</v>
      </c>
      <c r="L35" s="156">
        <f>IF('AW Schüler'!$P155=0,"x",(IF('AW Schüler'!$P173=0,"-",G35/'AW Schüler'!$P173)))</f>
        <v>0</v>
      </c>
    </row>
    <row r="36" spans="1:12" ht="9" customHeight="1">
      <c r="A36" s="21" t="s">
        <v>86</v>
      </c>
      <c r="B36" s="120"/>
      <c r="C36" s="36">
        <f>'3.3.9.1'!C36</f>
        <v>0</v>
      </c>
      <c r="D36" s="36">
        <f>'3.3.9.1'!D36</f>
        <v>0</v>
      </c>
      <c r="E36" s="36">
        <f>'3.3.9.1'!E36</f>
        <v>0</v>
      </c>
      <c r="F36" s="36">
        <f>'3.3.9.1'!F36</f>
        <v>0</v>
      </c>
      <c r="G36" s="37">
        <f>'3.3.9.1'!G36</f>
        <v>0</v>
      </c>
      <c r="H36" s="189">
        <f>IF('AW Schüler'!$D156=0,"x",(IF('AW Schüler'!$D174=0,"-",C36/'AW Schüler'!$D174)))</f>
        <v>0</v>
      </c>
      <c r="I36" s="189">
        <f>IF('AW Schüler'!$G156=0,"x",(IF('AW Schüler'!$G174=0,"-",D36/'AW Schüler'!$G174)))</f>
        <v>0</v>
      </c>
      <c r="J36" s="189">
        <f>IF('AW Schüler'!$J156=0,"x",(IF('AW Schüler'!$J174=0,"-",E36/'AW Schüler'!$J174)))</f>
        <v>0</v>
      </c>
      <c r="K36" s="189">
        <f>IF('AW Schüler'!$M156=0,"x",(IF('AW Schüler'!$M174=0,"-",F36/'AW Schüler'!$M174)))</f>
        <v>0</v>
      </c>
      <c r="L36" s="190">
        <f>IF('AW Schüler'!$P156=0,"x",(IF('AW Schüler'!$P174=0,"-",G36/'AW Schüler'!$P174)))</f>
        <v>0</v>
      </c>
    </row>
    <row r="37" spans="1:12" ht="9" customHeight="1">
      <c r="A37" s="21" t="s">
        <v>223</v>
      </c>
      <c r="B37" s="120"/>
      <c r="C37" s="23">
        <f>'3.3.9.1'!C37</f>
        <v>0</v>
      </c>
      <c r="D37" s="23">
        <f>'3.3.9.1'!D37</f>
        <v>0</v>
      </c>
      <c r="E37" s="23">
        <f>'3.3.9.1'!E37</f>
        <v>0</v>
      </c>
      <c r="F37" s="23">
        <f>'3.3.9.1'!F37</f>
        <v>0</v>
      </c>
      <c r="G37" s="34">
        <f>'3.3.9.1'!G37</f>
        <v>0</v>
      </c>
      <c r="H37" s="155">
        <f>IF('AW Schüler'!$D157=0,"x",(IF('AW Schüler'!$D175=0,"-",C37/'AW Schüler'!$D175)))</f>
        <v>0</v>
      </c>
      <c r="I37" s="155">
        <f>IF('AW Schüler'!$G157=0,"x",(IF('AW Schüler'!$G175=0,"-",D37/'AW Schüler'!$G175)))</f>
        <v>0</v>
      </c>
      <c r="J37" s="155">
        <f>IF('AW Schüler'!$J157=0,"x",(IF('AW Schüler'!$J175=0,"-",E37/'AW Schüler'!$J175)))</f>
        <v>0</v>
      </c>
      <c r="K37" s="155">
        <f>IF('AW Schüler'!$M157=0,"x",(IF('AW Schüler'!$M175=0,"-",F37/'AW Schüler'!$M175)))</f>
        <v>0</v>
      </c>
      <c r="L37" s="156">
        <f>IF('AW Schüler'!$P157=0,"x",(IF('AW Schüler'!$P175=0,"-",G37/'AW Schüler'!$P175)))</f>
        <v>0</v>
      </c>
    </row>
    <row r="38" spans="1:12" ht="9" customHeight="1">
      <c r="A38" s="21" t="s">
        <v>88</v>
      </c>
      <c r="B38" s="120"/>
      <c r="C38" s="36">
        <f>'3.3.9.1'!C38</f>
        <v>0</v>
      </c>
      <c r="D38" s="36">
        <f>'3.3.9.1'!D38</f>
        <v>0</v>
      </c>
      <c r="E38" s="36">
        <f>'3.3.9.1'!E38</f>
        <v>0</v>
      </c>
      <c r="F38" s="36">
        <f>'3.3.9.1'!F38</f>
        <v>0</v>
      </c>
      <c r="G38" s="37">
        <f>'3.3.9.1'!G38</f>
        <v>0</v>
      </c>
      <c r="H38" s="189">
        <f>IF('AW Schüler'!$D158=0,"x",(IF('AW Schüler'!$D176=0,"-",C38/'AW Schüler'!$D176)))</f>
        <v>0</v>
      </c>
      <c r="I38" s="189">
        <f>IF('AW Schüler'!$G158=0,"x",(IF('AW Schüler'!$G176=0,"-",D38/'AW Schüler'!$G176)))</f>
        <v>0</v>
      </c>
      <c r="J38" s="189">
        <f>IF('AW Schüler'!$J158=0,"x",(IF('AW Schüler'!$J176=0,"-",E38/'AW Schüler'!$J176)))</f>
        <v>0</v>
      </c>
      <c r="K38" s="189">
        <f>IF('AW Schüler'!$M158=0,"x",(IF('AW Schüler'!$M176=0,"-",F38/'AW Schüler'!$M176)))</f>
        <v>0</v>
      </c>
      <c r="L38" s="190">
        <f>IF('AW Schüler'!$P158=0,"x",(IF('AW Schüler'!$P176=0,"-",G38/'AW Schüler'!$P176)))</f>
        <v>0</v>
      </c>
    </row>
    <row r="39" spans="1:12" ht="9" customHeight="1">
      <c r="A39" s="21" t="s">
        <v>89</v>
      </c>
      <c r="B39" s="120"/>
      <c r="C39" s="23">
        <f>'3.3.9.1'!C39</f>
        <v>495</v>
      </c>
      <c r="D39" s="23">
        <f>'3.3.9.1'!D39</f>
        <v>502</v>
      </c>
      <c r="E39" s="23">
        <f>'3.3.9.1'!E39</f>
        <v>236</v>
      </c>
      <c r="F39" s="23">
        <f>'3.3.9.1'!F39</f>
        <v>236</v>
      </c>
      <c r="G39" s="34">
        <f>'3.3.9.1'!G39</f>
        <v>256</v>
      </c>
      <c r="H39" s="155">
        <f>IF('AW Schüler'!$D159=0,"x",(IF('AW Schüler'!$D177=0,"-",C39/'AW Schüler'!$D177)))</f>
        <v>0.10160098522167488</v>
      </c>
      <c r="I39" s="155">
        <f>IF('AW Schüler'!$G159=0,"x",(IF('AW Schüler'!$G177=0,"-",D39/'AW Schüler'!$G177)))</f>
        <v>0.10430085185954706</v>
      </c>
      <c r="J39" s="155">
        <f>IF('AW Schüler'!$J159=0,"x",(IF('AW Schüler'!$J177=0,"-",E39/'AW Schüler'!$J177)))</f>
        <v>4.8720066061106522E-2</v>
      </c>
      <c r="K39" s="155">
        <f>IF('AW Schüler'!$M159=0,"x",(IF('AW Schüler'!$M177=0,"-",F39/'AW Schüler'!$M177)))</f>
        <v>4.7986986579910532E-2</v>
      </c>
      <c r="L39" s="156">
        <f>IF('AW Schüler'!$P159=0,"x",(IF('AW Schüler'!$P177=0,"-",G39/'AW Schüler'!$P177)))</f>
        <v>5.0864295648718458E-2</v>
      </c>
    </row>
    <row r="40" spans="1:12" ht="9" customHeight="1">
      <c r="A40" s="21" t="s">
        <v>90</v>
      </c>
      <c r="B40" s="120"/>
      <c r="C40" s="36">
        <f>'3.3.9.1'!C40</f>
        <v>317</v>
      </c>
      <c r="D40" s="36">
        <f>'3.3.9.1'!D40</f>
        <v>299</v>
      </c>
      <c r="E40" s="36">
        <f>'3.3.9.1'!E40</f>
        <v>294</v>
      </c>
      <c r="F40" s="36">
        <f>'3.3.9.1'!F40</f>
        <v>330</v>
      </c>
      <c r="G40" s="37">
        <f>'3.3.9.1'!G40</f>
        <v>378</v>
      </c>
      <c r="H40" s="155">
        <f>IF('AW Schüler'!$D160=0,"x",(IF('AW Schüler'!$D178=0,"-",C40/'AW Schüler'!$D178)))</f>
        <v>0.41276041666666669</v>
      </c>
      <c r="I40" s="155">
        <f>IF('AW Schüler'!$G160=0,"x",(IF('AW Schüler'!$G178=0,"-",D40/'AW Schüler'!$G178)))</f>
        <v>0.38382541720154045</v>
      </c>
      <c r="J40" s="155">
        <f>IF('AW Schüler'!$J160=0,"x",(IF('AW Schüler'!$J178=0,"-",E40/'AW Schüler'!$J178)))</f>
        <v>0.38132295719844356</v>
      </c>
      <c r="K40" s="155">
        <f>IF('AW Schüler'!$M160=0,"x",(IF('AW Schüler'!$M178=0,"-",F40/'AW Schüler'!$M178)))</f>
        <v>0.43307086614173229</v>
      </c>
      <c r="L40" s="156">
        <f>IF('AW Schüler'!$P160=0,"x",(IF('AW Schüler'!$P178=0,"-",G40/'AW Schüler'!$P178)))</f>
        <v>0.46898263027295284</v>
      </c>
    </row>
    <row r="41" spans="1:12" ht="9" customHeight="1">
      <c r="A41" s="21" t="s">
        <v>91</v>
      </c>
      <c r="B41" s="120"/>
      <c r="C41" s="23">
        <f>'3.3.9.1'!C41</f>
        <v>0</v>
      </c>
      <c r="D41" s="23">
        <f>'3.3.9.1'!D41</f>
        <v>0</v>
      </c>
      <c r="E41" s="23">
        <f>'3.3.9.1'!E41</f>
        <v>0</v>
      </c>
      <c r="F41" s="23">
        <f>'3.3.9.1'!F41</f>
        <v>0</v>
      </c>
      <c r="G41" s="34">
        <f>'3.3.9.1'!G41</f>
        <v>0</v>
      </c>
      <c r="H41" s="155">
        <f>IF('AW Schüler'!$D161=0,"x",(IF('AW Schüler'!$D179=0,"-",C41/'AW Schüler'!$D179)))</f>
        <v>0</v>
      </c>
      <c r="I41" s="155">
        <f>IF('AW Schüler'!$G161=0,"x",(IF('AW Schüler'!$G179=0,"-",D41/'AW Schüler'!$G179)))</f>
        <v>0</v>
      </c>
      <c r="J41" s="155">
        <f>IF('AW Schüler'!$J161=0,"x",(IF('AW Schüler'!$J179=0,"-",E41/'AW Schüler'!$J179)))</f>
        <v>0</v>
      </c>
      <c r="K41" s="155">
        <f>IF('AW Schüler'!$M161=0,"x",(IF('AW Schüler'!$M179=0,"-",F41/'AW Schüler'!$M179)))</f>
        <v>0</v>
      </c>
      <c r="L41" s="156">
        <f>IF('AW Schüler'!$P161=0,"x",(IF('AW Schüler'!$P179=0,"-",G41/'AW Schüler'!$P179)))</f>
        <v>0</v>
      </c>
    </row>
    <row r="42" spans="1:12" ht="9" customHeight="1">
      <c r="A42" s="21" t="s">
        <v>244</v>
      </c>
      <c r="B42" s="120"/>
      <c r="C42" s="36">
        <f>'3.3.9.1'!C42</f>
        <v>0</v>
      </c>
      <c r="D42" s="36">
        <f>'3.3.9.1'!D42</f>
        <v>0</v>
      </c>
      <c r="E42" s="36">
        <f>'3.3.9.1'!E42</f>
        <v>0</v>
      </c>
      <c r="F42" s="36">
        <f>'3.3.9.1'!F42</f>
        <v>0</v>
      </c>
      <c r="G42" s="37">
        <f>'3.3.9.1'!G42</f>
        <v>0</v>
      </c>
      <c r="H42" s="189">
        <f>IF('AW Schüler'!$D162=0,"x",(IF('AW Schüler'!$D180=0,"-",C42/'AW Schüler'!$D180)))</f>
        <v>0</v>
      </c>
      <c r="I42" s="189">
        <f>IF('AW Schüler'!$G162=0,"x",(IF('AW Schüler'!$G180=0,"-",D42/'AW Schüler'!$G180)))</f>
        <v>0</v>
      </c>
      <c r="J42" s="189">
        <f>IF('AW Schüler'!$J162=0,"x",(IF('AW Schüler'!$J180=0,"-",E42/'AW Schüler'!$J180)))</f>
        <v>0</v>
      </c>
      <c r="K42" s="189">
        <f>IF('AW Schüler'!$M162=0,"x",(IF('AW Schüler'!$M180=0,"-",F42/'AW Schüler'!$M180)))</f>
        <v>0</v>
      </c>
      <c r="L42" s="190">
        <f>IF('AW Schüler'!$P162=0,"x",(IF('AW Schüler'!$P180=0,"-",G42/'AW Schüler'!$P180)))</f>
        <v>0</v>
      </c>
    </row>
    <row r="43" spans="1:12" ht="9" customHeight="1">
      <c r="A43" s="21" t="s">
        <v>93</v>
      </c>
      <c r="B43" s="120"/>
      <c r="C43" s="36">
        <f>'3.3.9.1'!C43</f>
        <v>0</v>
      </c>
      <c r="D43" s="36">
        <f>'3.3.9.1'!D43</f>
        <v>0</v>
      </c>
      <c r="E43" s="36">
        <f>'3.3.9.1'!E43</f>
        <v>0</v>
      </c>
      <c r="F43" s="36">
        <f>'3.3.9.1'!F43</f>
        <v>0</v>
      </c>
      <c r="G43" s="37">
        <f>'3.3.9.1'!G43</f>
        <v>0</v>
      </c>
      <c r="H43" s="189">
        <f>IF('AW Schüler'!$D163=0,"x",(IF('AW Schüler'!$D181=0,"-",C43/'AW Schüler'!$D181)))</f>
        <v>0</v>
      </c>
      <c r="I43" s="189">
        <f>IF('AW Schüler'!$G163=0,"x",(IF('AW Schüler'!$G181=0,"-",D43/'AW Schüler'!$G181)))</f>
        <v>0</v>
      </c>
      <c r="J43" s="189">
        <f>IF('AW Schüler'!$J163=0,"x",(IF('AW Schüler'!$J181=0,"-",E43/'AW Schüler'!$J181)))</f>
        <v>0</v>
      </c>
      <c r="K43" s="189">
        <f>IF('AW Schüler'!$M163=0,"x",(IF('AW Schüler'!$M181=0,"-",F43/'AW Schüler'!$M181)))</f>
        <v>0</v>
      </c>
      <c r="L43" s="190">
        <f>IF('AW Schüler'!$P163=0,"x",(IF('AW Schüler'!$P181=0,"-",G43/'AW Schüler'!$P181)))</f>
        <v>0</v>
      </c>
    </row>
    <row r="44" spans="1:12" ht="9" customHeight="1">
      <c r="A44" s="21" t="s">
        <v>94</v>
      </c>
      <c r="B44" s="120"/>
      <c r="C44" s="23">
        <f>'3.3.9.1'!C44</f>
        <v>0</v>
      </c>
      <c r="D44" s="23">
        <f>'3.3.9.1'!D44</f>
        <v>0</v>
      </c>
      <c r="E44" s="23">
        <f>'3.3.9.1'!E44</f>
        <v>0</v>
      </c>
      <c r="F44" s="23">
        <f>'3.3.9.1'!F44</f>
        <v>0</v>
      </c>
      <c r="G44" s="34">
        <f>'3.3.9.1'!G44</f>
        <v>0</v>
      </c>
      <c r="H44" s="155">
        <f>IF('AW Schüler'!$D164=0,"x",(IF('AW Schüler'!$D182=0,"-",C44/'AW Schüler'!$D182)))</f>
        <v>0</v>
      </c>
      <c r="I44" s="155">
        <f>IF('AW Schüler'!$G164=0,"x",(IF('AW Schüler'!$G182=0,"-",D44/'AW Schüler'!$G182)))</f>
        <v>0</v>
      </c>
      <c r="J44" s="155">
        <f>IF('AW Schüler'!$J164=0,"x",(IF('AW Schüler'!$J182=0,"-",E44/'AW Schüler'!$J182)))</f>
        <v>0</v>
      </c>
      <c r="K44" s="155">
        <f>IF('AW Schüler'!$M164=0,"x",(IF('AW Schüler'!$M182=0,"-",F44/'AW Schüler'!$M182)))</f>
        <v>0</v>
      </c>
      <c r="L44" s="156">
        <f>IF('AW Schüler'!$P164=0,"x",(IF('AW Schüler'!$P182=0,"-",G44/'AW Schüler'!$P182)))</f>
        <v>0</v>
      </c>
    </row>
    <row r="45" spans="1:12" ht="9" customHeight="1">
      <c r="A45" s="21" t="s">
        <v>95</v>
      </c>
      <c r="B45" s="120"/>
      <c r="C45" s="23">
        <f>'3.3.9.1'!C45</f>
        <v>308</v>
      </c>
      <c r="D45" s="23">
        <f>'3.3.9.1'!D45</f>
        <v>316</v>
      </c>
      <c r="E45" s="23">
        <f>'3.3.9.1'!E45</f>
        <v>343</v>
      </c>
      <c r="F45" s="23">
        <f>'3.3.9.1'!F45</f>
        <v>263</v>
      </c>
      <c r="G45" s="34">
        <f>'3.3.9.1'!G45</f>
        <v>350</v>
      </c>
      <c r="H45" s="155">
        <f>IF('AW Schüler'!$D165=0,"x",(IF('AW Schüler'!$D183=0,"-",C45/'AW Schüler'!$D183)))</f>
        <v>0.69683257918552033</v>
      </c>
      <c r="I45" s="155">
        <f>IF('AW Schüler'!$G165=0,"x",(IF('AW Schüler'!$G183=0,"-",D45/'AW Schüler'!$G183)))</f>
        <v>0.73317865429234341</v>
      </c>
      <c r="J45" s="155">
        <f>IF('AW Schüler'!$J165=0,"x",(IF('AW Schüler'!$J183=0,"-",E45/'AW Schüler'!$J183)))</f>
        <v>0.7282377919320594</v>
      </c>
      <c r="K45" s="155">
        <f>IF('AW Schüler'!$M165=0,"x",(IF('AW Schüler'!$M183=0,"-",F45/'AW Schüler'!$M183)))</f>
        <v>0.54451345755693581</v>
      </c>
      <c r="L45" s="156">
        <f>IF('AW Schüler'!$P165=0,"x",(IF('AW Schüler'!$P183=0,"-",G45/'AW Schüler'!$P183)))</f>
        <v>0.68226120857699801</v>
      </c>
    </row>
    <row r="46" spans="1:12" ht="9" customHeight="1">
      <c r="A46" s="21" t="s">
        <v>96</v>
      </c>
      <c r="B46" s="120"/>
      <c r="C46" s="23">
        <f>'3.3.9'!C46</f>
        <v>8093</v>
      </c>
      <c r="D46" s="23">
        <f>'3.3.9'!D46</f>
        <v>9821</v>
      </c>
      <c r="E46" s="23">
        <f>'3.3.9'!E46</f>
        <v>8542</v>
      </c>
      <c r="F46" s="23">
        <f>'3.3.9'!F46</f>
        <v>8254</v>
      </c>
      <c r="G46" s="34">
        <f>'3.3.9'!G46</f>
        <v>8088</v>
      </c>
      <c r="H46" s="155">
        <f>IF('AW Schüler'!$D166=0,"x",(IF('AW Schüler'!$D184=0,"-",C46/'AW Schüler'!$D184)))</f>
        <v>0.37387970063753118</v>
      </c>
      <c r="I46" s="155">
        <f>IF('AW Schüler'!$G166=0,"x",(IF('AW Schüler'!$G184=0,"-",D46/'AW Schüler'!$G184)))</f>
        <v>0.45824001493094441</v>
      </c>
      <c r="J46" s="155">
        <f>IF('AW Schüler'!$J166=0,"x",(IF('AW Schüler'!$J184=0,"-",E46/'AW Schüler'!$J184)))</f>
        <v>0.39376757479371227</v>
      </c>
      <c r="K46" s="155">
        <f>IF('AW Schüler'!$M166=0,"x",(IF('AW Schüler'!$M184=0,"-",F46/'AW Schüler'!$M184)))</f>
        <v>0.37259061978061664</v>
      </c>
      <c r="L46" s="156">
        <f>IF('AW Schüler'!$P166=0,"x",(IF('AW Schüler'!$P184=0,"-",G46/'AW Schüler'!$P184)))</f>
        <v>0.35224946648665129</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'3.3.9.1'!C48</f>
        <v>308</v>
      </c>
      <c r="D48" s="23">
        <f>'3.3.9.1'!D48</f>
        <v>309</v>
      </c>
      <c r="E48" s="23">
        <f>'3.3.9.1'!E48</f>
        <v>305</v>
      </c>
      <c r="F48" s="23">
        <f>'3.3.9.1'!F48</f>
        <v>421</v>
      </c>
      <c r="G48" s="34">
        <f>'3.3.9.1'!G48</f>
        <v>444</v>
      </c>
      <c r="H48" s="155">
        <f>IF('AW Schüler'!$D150=0,"x",(IF('AW Schüler'!$D168=0,"-",C48/'AW Schüler'!$D168)))</f>
        <v>4.3650793650793648E-2</v>
      </c>
      <c r="I48" s="155">
        <f>IF('AW Schüler'!$G150=0,"x",(IF('AW Schüler'!$G168=0,"-",D48/'AW Schüler'!$G168)))</f>
        <v>4.4199685309683878E-2</v>
      </c>
      <c r="J48" s="155">
        <f>IF('AW Schüler'!$J150=0,"x",(IF('AW Schüler'!$J168=0,"-",E48/'AW Schüler'!$J168)))</f>
        <v>4.3784094171691074E-2</v>
      </c>
      <c r="K48" s="155">
        <f>IF('AW Schüler'!$M150=0,"x",(IF('AW Schüler'!$M168=0,"-",F48/'AW Schüler'!$M168)))</f>
        <v>5.9801136363636362E-2</v>
      </c>
      <c r="L48" s="156">
        <f>IF('AW Schüler'!$P150=0,"x",(IF('AW Schüler'!$P168=0,"-",G48/'AW Schüler'!$P168)))</f>
        <v>6.1709520500347462E-2</v>
      </c>
    </row>
    <row r="49" spans="1:12" ht="9" customHeight="1">
      <c r="A49" s="21" t="s">
        <v>81</v>
      </c>
      <c r="B49" s="120"/>
      <c r="C49" s="23">
        <f>'3.3.9.1'!C49</f>
        <v>57</v>
      </c>
      <c r="D49" s="23">
        <f>'3.3.9.1'!D49</f>
        <v>58</v>
      </c>
      <c r="E49" s="23">
        <f>'3.3.9.1'!E49</f>
        <v>56</v>
      </c>
      <c r="F49" s="23">
        <f>'3.3.9.1'!F49</f>
        <v>131</v>
      </c>
      <c r="G49" s="34">
        <f>'3.3.9.1'!G49</f>
        <v>594</v>
      </c>
      <c r="H49" s="155">
        <f>IF('AW Schüler'!$D151=0,"x",(IF('AW Schüler'!$D169=0,"-",C49/'AW Schüler'!$D169)))</f>
        <v>2.2556390977443608E-2</v>
      </c>
      <c r="I49" s="155">
        <f>IF('AW Schüler'!$G151=0,"x",(IF('AW Schüler'!$G169=0,"-",D49/'AW Schüler'!$G169)))</f>
        <v>2.3255813953488372E-2</v>
      </c>
      <c r="J49" s="155">
        <f>IF('AW Schüler'!$J151=0,"x",(IF('AW Schüler'!$J169=0,"-",E49/'AW Schüler'!$J169)))</f>
        <v>2.1909233176838811E-2</v>
      </c>
      <c r="K49" s="155">
        <f>IF('AW Schüler'!$M151=0,"x",(IF('AW Schüler'!$M169=0,"-",F49/'AW Schüler'!$M169)))</f>
        <v>5.0893550893550896E-2</v>
      </c>
      <c r="L49" s="156">
        <f>IF('AW Schüler'!$P151=0,"x",(IF('AW Schüler'!$P169=0,"-",G49/'AW Schüler'!$P169)))</f>
        <v>0.21359223300970873</v>
      </c>
    </row>
    <row r="50" spans="1:12" ht="9" customHeight="1">
      <c r="A50" s="21" t="s">
        <v>82</v>
      </c>
      <c r="B50" s="120"/>
      <c r="C50" s="23">
        <f>'3.3.9.1'!C50</f>
        <v>1126</v>
      </c>
      <c r="D50" s="23">
        <f>'3.3.9.1'!D50</f>
        <v>1145</v>
      </c>
      <c r="E50" s="23">
        <f>'3.3.9.1'!E50</f>
        <v>1177</v>
      </c>
      <c r="F50" s="23">
        <f>'3.3.9.1'!F50</f>
        <v>1330</v>
      </c>
      <c r="G50" s="34">
        <f>'3.3.9.1'!G50</f>
        <v>1363</v>
      </c>
      <c r="H50" s="155">
        <f>IF('AW Schüler'!$D152=0,"x",(IF('AW Schüler'!$D170=0,"-",C50/'AW Schüler'!$D170)))</f>
        <v>0.72974724562540505</v>
      </c>
      <c r="I50" s="155">
        <f>IF('AW Schüler'!$G152=0,"x",(IF('AW Schüler'!$G170=0,"-",D50/'AW Schüler'!$G170)))</f>
        <v>0.76486305945223776</v>
      </c>
      <c r="J50" s="155">
        <f>IF('AW Schüler'!$J152=0,"x",(IF('AW Schüler'!$J170=0,"-",E50/'AW Schüler'!$J170)))</f>
        <v>0.75303902751119645</v>
      </c>
      <c r="K50" s="155">
        <f>IF('AW Schüler'!$M152=0,"x",(IF('AW Schüler'!$M170=0,"-",F50/'AW Schüler'!$M170)))</f>
        <v>0.84177215189873422</v>
      </c>
      <c r="L50" s="156">
        <f>IF('AW Schüler'!$P152=0,"x",(IF('AW Schüler'!$P170=0,"-",G50/'AW Schüler'!$P170)))</f>
        <v>0.81616766467065871</v>
      </c>
    </row>
    <row r="51" spans="1:12" ht="9" customHeight="1">
      <c r="A51" s="21" t="s">
        <v>83</v>
      </c>
      <c r="B51" s="120"/>
      <c r="C51" s="23">
        <f>'3.3.9.1'!C51</f>
        <v>374</v>
      </c>
      <c r="D51" s="23">
        <f>'3.3.9.1'!D51</f>
        <v>367</v>
      </c>
      <c r="E51" s="23">
        <f>'3.3.9.1'!E51</f>
        <v>371</v>
      </c>
      <c r="F51" s="23">
        <f>'3.3.9.1'!F51</f>
        <v>405</v>
      </c>
      <c r="G51" s="34">
        <f>'3.3.9.1'!G51</f>
        <v>420</v>
      </c>
      <c r="H51" s="155">
        <f>IF('AW Schüler'!$D153=0,"x",(IF('AW Schüler'!$D171=0,"-",C51/'AW Schüler'!$D171)))</f>
        <v>0.7857142857142857</v>
      </c>
      <c r="I51" s="155">
        <f>IF('AW Schüler'!$G153=0,"x",(IF('AW Schüler'!$G171=0,"-",D51/'AW Schüler'!$G171)))</f>
        <v>0.8191964285714286</v>
      </c>
      <c r="J51" s="155">
        <f>IF('AW Schüler'!$J153=0,"x",(IF('AW Schüler'!$J171=0,"-",E51/'AW Schüler'!$J171)))</f>
        <v>0.82261640798226165</v>
      </c>
      <c r="K51" s="155">
        <f>IF('AW Schüler'!$M153=0,"x",(IF('AW Schüler'!$M171=0,"-",F51/'AW Schüler'!$M171)))</f>
        <v>0.80516898608349896</v>
      </c>
      <c r="L51" s="156">
        <f>IF('AW Schüler'!$P153=0,"x",(IF('AW Schüler'!$P171=0,"-",G51/'AW Schüler'!$P171)))</f>
        <v>0.83333333333333337</v>
      </c>
    </row>
    <row r="52" spans="1:12" ht="9" customHeight="1">
      <c r="A52" s="21" t="s">
        <v>84</v>
      </c>
      <c r="B52" s="120"/>
      <c r="C52" s="23">
        <f>'3.3.9.1'!C52</f>
        <v>0</v>
      </c>
      <c r="D52" s="23">
        <f>'3.3.9.1'!D52</f>
        <v>0</v>
      </c>
      <c r="E52" s="23">
        <f>'3.3.9.1'!E52</f>
        <v>0</v>
      </c>
      <c r="F52" s="23">
        <f>'3.3.9.1'!F52</f>
        <v>0</v>
      </c>
      <c r="G52" s="34">
        <f>'3.3.9.1'!G52</f>
        <v>0</v>
      </c>
      <c r="H52" s="155">
        <f>IF('AW Schüler'!$D154=0,"x",(IF('AW Schüler'!$D172=0,"-",C52/'AW Schüler'!$D172)))</f>
        <v>0</v>
      </c>
      <c r="I52" s="155">
        <f>IF('AW Schüler'!$G154=0,"x",(IF('AW Schüler'!$G172=0,"-",D52/'AW Schüler'!$G172)))</f>
        <v>0</v>
      </c>
      <c r="J52" s="155">
        <f>IF('AW Schüler'!$J154=0,"x",(IF('AW Schüler'!$J172=0,"-",E52/'AW Schüler'!$J172)))</f>
        <v>0</v>
      </c>
      <c r="K52" s="155">
        <f>IF('AW Schüler'!$M154=0,"x",(IF('AW Schüler'!$M172=0,"-",F52/'AW Schüler'!$M172)))</f>
        <v>0</v>
      </c>
      <c r="L52" s="156">
        <f>IF('AW Schüler'!$P154=0,"x",(IF('AW Schüler'!$P172=0,"-",G52/'AW Schüler'!$P172)))</f>
        <v>0</v>
      </c>
    </row>
    <row r="53" spans="1:12" ht="9" customHeight="1">
      <c r="A53" s="21" t="s">
        <v>85</v>
      </c>
      <c r="B53" s="120"/>
      <c r="C53" s="36">
        <f>'3.3.9.1'!C53</f>
        <v>0</v>
      </c>
      <c r="D53" s="23">
        <f>'3.3.9.1'!D53</f>
        <v>0</v>
      </c>
      <c r="E53" s="23">
        <f>'3.3.9.1'!E53</f>
        <v>0</v>
      </c>
      <c r="F53" s="23">
        <f>'3.3.9.1'!F53</f>
        <v>0</v>
      </c>
      <c r="G53" s="34">
        <f>'3.3.9.1'!G53</f>
        <v>0</v>
      </c>
      <c r="H53" s="189">
        <f>IF('AW Schüler'!$D155=0,"x",(IF('AW Schüler'!$D173=0,"-",C53/'AW Schüler'!$D173)))</f>
        <v>0</v>
      </c>
      <c r="I53" s="155">
        <f>IF('AW Schüler'!$G155=0,"x",(IF('AW Schüler'!$G173=0,"-",D53/'AW Schüler'!$G173)))</f>
        <v>0</v>
      </c>
      <c r="J53" s="155">
        <f>IF('AW Schüler'!$J155=0,"x",(IF('AW Schüler'!$J173=0,"-",E53/'AW Schüler'!$J173)))</f>
        <v>0</v>
      </c>
      <c r="K53" s="155">
        <f>IF('AW Schüler'!$M155=0,"x",(IF('AW Schüler'!$M173=0,"-",F53/'AW Schüler'!$M173)))</f>
        <v>0</v>
      </c>
      <c r="L53" s="156">
        <f>IF('AW Schüler'!$P155=0,"x",(IF('AW Schüler'!$P173=0,"-",G53/'AW Schüler'!$P173)))</f>
        <v>0</v>
      </c>
    </row>
    <row r="54" spans="1:12" ht="9" customHeight="1">
      <c r="A54" s="21" t="s">
        <v>86</v>
      </c>
      <c r="B54" s="120"/>
      <c r="C54" s="36">
        <f>'3.3.9.1'!C54</f>
        <v>0</v>
      </c>
      <c r="D54" s="36">
        <f>'3.3.9.1'!D54</f>
        <v>0</v>
      </c>
      <c r="E54" s="36">
        <f>'3.3.9.1'!E54</f>
        <v>0</v>
      </c>
      <c r="F54" s="36">
        <f>'3.3.9.1'!F54</f>
        <v>0</v>
      </c>
      <c r="G54" s="37">
        <f>'3.3.9.1'!G54</f>
        <v>0</v>
      </c>
      <c r="H54" s="189">
        <f>IF('AW Schüler'!$D156=0,"x",(IF('AW Schüler'!$D174=0,"-",C54/'AW Schüler'!$D174)))</f>
        <v>0</v>
      </c>
      <c r="I54" s="189">
        <f>IF('AW Schüler'!$G156=0,"x",(IF('AW Schüler'!$G174=0,"-",D54/'AW Schüler'!$G174)))</f>
        <v>0</v>
      </c>
      <c r="J54" s="189">
        <f>IF('AW Schüler'!$J156=0,"x",(IF('AW Schüler'!$J174=0,"-",E54/'AW Schüler'!$J174)))</f>
        <v>0</v>
      </c>
      <c r="K54" s="189">
        <f>IF('AW Schüler'!$M156=0,"x",(IF('AW Schüler'!$M174=0,"-",F54/'AW Schüler'!$M174)))</f>
        <v>0</v>
      </c>
      <c r="L54" s="190">
        <f>IF('AW Schüler'!$P156=0,"x",(IF('AW Schüler'!$P174=0,"-",G54/'AW Schüler'!$P174)))</f>
        <v>0</v>
      </c>
    </row>
    <row r="55" spans="1:12" ht="9" customHeight="1">
      <c r="A55" s="21" t="s">
        <v>223</v>
      </c>
      <c r="B55" s="120"/>
      <c r="C55" s="23">
        <f>'3.3.9.1'!C55</f>
        <v>0</v>
      </c>
      <c r="D55" s="23">
        <f>'3.3.9.1'!D55</f>
        <v>0</v>
      </c>
      <c r="E55" s="23">
        <f>'3.3.9.1'!E55</f>
        <v>0</v>
      </c>
      <c r="F55" s="23">
        <f>'3.3.9.1'!F55</f>
        <v>0</v>
      </c>
      <c r="G55" s="34">
        <f>'3.3.9.1'!G55</f>
        <v>0</v>
      </c>
      <c r="H55" s="155">
        <f>IF('AW Schüler'!$D157=0,"x",(IF('AW Schüler'!$D175=0,"-",C55/'AW Schüler'!$D175)))</f>
        <v>0</v>
      </c>
      <c r="I55" s="155">
        <f>IF('AW Schüler'!$G157=0,"x",(IF('AW Schüler'!$G175=0,"-",D55/'AW Schüler'!$G175)))</f>
        <v>0</v>
      </c>
      <c r="J55" s="155">
        <f>IF('AW Schüler'!$J157=0,"x",(IF('AW Schüler'!$J175=0,"-",E55/'AW Schüler'!$J175)))</f>
        <v>0</v>
      </c>
      <c r="K55" s="155">
        <f>IF('AW Schüler'!$M157=0,"x",(IF('AW Schüler'!$M175=0,"-",F55/'AW Schüler'!$M175)))</f>
        <v>0</v>
      </c>
      <c r="L55" s="156">
        <f>IF('AW Schüler'!$P157=0,"x",(IF('AW Schüler'!$P175=0,"-",G55/'AW Schüler'!$P175)))</f>
        <v>0</v>
      </c>
    </row>
    <row r="56" spans="1:12" ht="9" customHeight="1">
      <c r="A56" s="21" t="s">
        <v>88</v>
      </c>
      <c r="B56" s="120"/>
      <c r="C56" s="36">
        <f>'3.3.9.1'!C56</f>
        <v>0</v>
      </c>
      <c r="D56" s="36">
        <f>'3.3.9.1'!D56</f>
        <v>0</v>
      </c>
      <c r="E56" s="36">
        <f>'3.3.9.1'!E56</f>
        <v>0</v>
      </c>
      <c r="F56" s="36">
        <f>'3.3.9.1'!F56</f>
        <v>0</v>
      </c>
      <c r="G56" s="37">
        <f>'3.3.9.1'!G56</f>
        <v>0</v>
      </c>
      <c r="H56" s="189">
        <f>IF('AW Schüler'!$D158=0,"x",(IF('AW Schüler'!$D176=0,"-",C56/'AW Schüler'!$D176)))</f>
        <v>0</v>
      </c>
      <c r="I56" s="189">
        <f>IF('AW Schüler'!$G158=0,"x",(IF('AW Schüler'!$G176=0,"-",D56/'AW Schüler'!$G176)))</f>
        <v>0</v>
      </c>
      <c r="J56" s="189">
        <f>IF('AW Schüler'!$J158=0,"x",(IF('AW Schüler'!$J176=0,"-",E56/'AW Schüler'!$J176)))</f>
        <v>0</v>
      </c>
      <c r="K56" s="189">
        <f>IF('AW Schüler'!$M158=0,"x",(IF('AW Schüler'!$M176=0,"-",F56/'AW Schüler'!$M176)))</f>
        <v>0</v>
      </c>
      <c r="L56" s="190">
        <f>IF('AW Schüler'!$P158=0,"x",(IF('AW Schüler'!$P176=0,"-",G56/'AW Schüler'!$P176)))</f>
        <v>0</v>
      </c>
    </row>
    <row r="57" spans="1:12" ht="9" customHeight="1">
      <c r="A57" s="21" t="s">
        <v>89</v>
      </c>
      <c r="B57" s="120"/>
      <c r="C57" s="23">
        <f>'3.3.9.1'!C57</f>
        <v>3074</v>
      </c>
      <c r="D57" s="23">
        <f>'3.3.9.1'!D57</f>
        <v>3134</v>
      </c>
      <c r="E57" s="23">
        <f>'3.3.9.1'!E57</f>
        <v>3039</v>
      </c>
      <c r="F57" s="23">
        <f>'3.3.9.1'!F57</f>
        <v>3050</v>
      </c>
      <c r="G57" s="34">
        <f>'3.3.9.1'!G57</f>
        <v>3090</v>
      </c>
      <c r="H57" s="155">
        <f>IF('AW Schüler'!$D159=0,"x",(IF('AW Schüler'!$D177=0,"-",C57/'AW Schüler'!$D177)))</f>
        <v>0.63095238095238093</v>
      </c>
      <c r="I57" s="155">
        <f>IF('AW Schüler'!$G159=0,"x",(IF('AW Schüler'!$G177=0,"-",D57/'AW Schüler'!$G177)))</f>
        <v>0.65115312694784955</v>
      </c>
      <c r="J57" s="155">
        <f>IF('AW Schüler'!$J159=0,"x",(IF('AW Schüler'!$J177=0,"-",E57/'AW Schüler'!$J177)))</f>
        <v>0.62737407101568954</v>
      </c>
      <c r="K57" s="155">
        <f>IF('AW Schüler'!$M159=0,"x",(IF('AW Schüler'!$M177=0,"-",F57/'AW Schüler'!$M177)))</f>
        <v>0.62017080113867429</v>
      </c>
      <c r="L57" s="156">
        <f>IF('AW Schüler'!$P159=0,"x",(IF('AW Schüler'!$P177=0,"-",G57/'AW Schüler'!$P177)))</f>
        <v>0.61394794357242199</v>
      </c>
    </row>
    <row r="58" spans="1:12" ht="9" customHeight="1">
      <c r="A58" s="21" t="s">
        <v>90</v>
      </c>
      <c r="B58" s="120"/>
      <c r="C58" s="23">
        <f>'3.3.9.1'!C58</f>
        <v>0</v>
      </c>
      <c r="D58" s="23">
        <f>'3.3.9.1'!D58</f>
        <v>0</v>
      </c>
      <c r="E58" s="23">
        <f>'3.3.9.1'!E58</f>
        <v>0</v>
      </c>
      <c r="F58" s="23">
        <f>'3.3.9.1'!F58</f>
        <v>0</v>
      </c>
      <c r="G58" s="34">
        <f>'3.3.9.1'!G58</f>
        <v>0</v>
      </c>
      <c r="H58" s="155">
        <f>IF('AW Schüler'!$D160=0,"x",(IF('AW Schüler'!$D178=0,"-",C58/'AW Schüler'!$D178)))</f>
        <v>0</v>
      </c>
      <c r="I58" s="155">
        <f>IF('AW Schüler'!$G160=0,"x",(IF('AW Schüler'!$G178=0,"-",D58/'AW Schüler'!$G178)))</f>
        <v>0</v>
      </c>
      <c r="J58" s="155">
        <f>IF('AW Schüler'!$J160=0,"x",(IF('AW Schüler'!$J178=0,"-",E58/'AW Schüler'!$J178)))</f>
        <v>0</v>
      </c>
      <c r="K58" s="155">
        <f>IF('AW Schüler'!$M160=0,"x",(IF('AW Schüler'!$M178=0,"-",F58/'AW Schüler'!$M178)))</f>
        <v>0</v>
      </c>
      <c r="L58" s="156">
        <f>IF('AW Schüler'!$P160=0,"x",(IF('AW Schüler'!$P178=0,"-",G58/'AW Schüler'!$P178)))</f>
        <v>0</v>
      </c>
    </row>
    <row r="59" spans="1:12" ht="9" customHeight="1">
      <c r="A59" s="21" t="s">
        <v>91</v>
      </c>
      <c r="B59" s="120"/>
      <c r="C59" s="23">
        <f>'3.3.9.1'!C59</f>
        <v>0</v>
      </c>
      <c r="D59" s="23">
        <f>'3.3.9.1'!D59</f>
        <v>73</v>
      </c>
      <c r="E59" s="23">
        <f>'3.3.9.1'!E59</f>
        <v>103</v>
      </c>
      <c r="F59" s="23">
        <f>'3.3.9.1'!F59</f>
        <v>110</v>
      </c>
      <c r="G59" s="34">
        <f>'3.3.9.1'!G59</f>
        <v>142</v>
      </c>
      <c r="H59" s="155">
        <f>IF('AW Schüler'!$D161=0,"x",(IF('AW Schüler'!$D179=0,"-",C59/'AW Schüler'!$D179)))</f>
        <v>0</v>
      </c>
      <c r="I59" s="155">
        <f>IF('AW Schüler'!$G161=0,"x",(IF('AW Schüler'!$G179=0,"-",D59/'AW Schüler'!$G179)))</f>
        <v>0.18911917098445596</v>
      </c>
      <c r="J59" s="155">
        <f>IF('AW Schüler'!$J161=0,"x",(IF('AW Schüler'!$J179=0,"-",E59/'AW Schüler'!$J179)))</f>
        <v>0.2689295039164491</v>
      </c>
      <c r="K59" s="155">
        <f>IF('AW Schüler'!$M161=0,"x",(IF('AW Schüler'!$M179=0,"-",F59/'AW Schüler'!$M179)))</f>
        <v>0.27777777777777779</v>
      </c>
      <c r="L59" s="156">
        <f>IF('AW Schüler'!$P161=0,"x",(IF('AW Schüler'!$P179=0,"-",G59/'AW Schüler'!$P179)))</f>
        <v>0.38069705093833778</v>
      </c>
    </row>
    <row r="60" spans="1:12" ht="9" customHeight="1">
      <c r="A60" s="21" t="s">
        <v>244</v>
      </c>
      <c r="B60" s="120"/>
      <c r="C60" s="36">
        <f>'3.3.9.1'!C60</f>
        <v>0</v>
      </c>
      <c r="D60" s="36">
        <f>'3.3.9.1'!D60</f>
        <v>0</v>
      </c>
      <c r="E60" s="36">
        <f>'3.3.9.1'!E60</f>
        <v>0</v>
      </c>
      <c r="F60" s="36">
        <f>'3.3.9.1'!F60</f>
        <v>0</v>
      </c>
      <c r="G60" s="37">
        <f>'3.3.9.1'!G60</f>
        <v>0</v>
      </c>
      <c r="H60" s="189">
        <f>IF('AW Schüler'!$D162=0,"x",(IF('AW Schüler'!$D180=0,"-",C60/'AW Schüler'!$D180)))</f>
        <v>0</v>
      </c>
      <c r="I60" s="189">
        <f>IF('AW Schüler'!$G162=0,"x",(IF('AW Schüler'!$G180=0,"-",D60/'AW Schüler'!$G180)))</f>
        <v>0</v>
      </c>
      <c r="J60" s="189">
        <f>IF('AW Schüler'!$J162=0,"x",(IF('AW Schüler'!$J180=0,"-",E60/'AW Schüler'!$J180)))</f>
        <v>0</v>
      </c>
      <c r="K60" s="189">
        <f>IF('AW Schüler'!$M162=0,"x",(IF('AW Schüler'!$M180=0,"-",F60/'AW Schüler'!$M180)))</f>
        <v>0</v>
      </c>
      <c r="L60" s="190">
        <f>IF('AW Schüler'!$P162=0,"x",(IF('AW Schüler'!$P180=0,"-",G60/'AW Schüler'!$P180)))</f>
        <v>0</v>
      </c>
    </row>
    <row r="61" spans="1:12" ht="9" customHeight="1">
      <c r="A61" s="21" t="s">
        <v>93</v>
      </c>
      <c r="B61" s="120"/>
      <c r="C61" s="36">
        <f>'3.3.9.1'!C61</f>
        <v>0</v>
      </c>
      <c r="D61" s="36">
        <f>'3.3.9.1'!D61</f>
        <v>0</v>
      </c>
      <c r="E61" s="36">
        <f>'3.3.9.1'!E61</f>
        <v>0</v>
      </c>
      <c r="F61" s="36">
        <f>'3.3.9.1'!F61</f>
        <v>0</v>
      </c>
      <c r="G61" s="37">
        <f>'3.3.9.1'!G61</f>
        <v>0</v>
      </c>
      <c r="H61" s="189">
        <f>IF('AW Schüler'!$D163=0,"x",(IF('AW Schüler'!$D181=0,"-",C61/'AW Schüler'!$D181)))</f>
        <v>0</v>
      </c>
      <c r="I61" s="189">
        <f>IF('AW Schüler'!$G163=0,"x",(IF('AW Schüler'!$G181=0,"-",D61/'AW Schüler'!$G181)))</f>
        <v>0</v>
      </c>
      <c r="J61" s="189">
        <f>IF('AW Schüler'!$J163=0,"x",(IF('AW Schüler'!$J181=0,"-",E61/'AW Schüler'!$J181)))</f>
        <v>0</v>
      </c>
      <c r="K61" s="189">
        <f>IF('AW Schüler'!$M163=0,"x",(IF('AW Schüler'!$M181=0,"-",F61/'AW Schüler'!$M181)))</f>
        <v>0</v>
      </c>
      <c r="L61" s="190">
        <f>IF('AW Schüler'!$P163=0,"x",(IF('AW Schüler'!$P181=0,"-",G61/'AW Schüler'!$P181)))</f>
        <v>0</v>
      </c>
    </row>
    <row r="62" spans="1:12" ht="9" customHeight="1">
      <c r="A62" s="21" t="s">
        <v>94</v>
      </c>
      <c r="B62" s="120"/>
      <c r="C62" s="23">
        <f>'3.3.9.1'!C62</f>
        <v>425</v>
      </c>
      <c r="D62" s="23">
        <f>'3.3.9.1'!D62</f>
        <v>410</v>
      </c>
      <c r="E62" s="23">
        <f>'3.3.9.1'!E62</f>
        <v>414</v>
      </c>
      <c r="F62" s="23">
        <f>'3.3.9.1'!F62</f>
        <v>412</v>
      </c>
      <c r="G62" s="34">
        <f>'3.3.9.1'!G62</f>
        <v>440</v>
      </c>
      <c r="H62" s="155">
        <f>IF('AW Schüler'!$D164=0,"x",(IF('AW Schüler'!$D182=0,"-",C62/'AW Schüler'!$D182)))</f>
        <v>0.2848525469168901</v>
      </c>
      <c r="I62" s="155">
        <f>IF('AW Schüler'!$G164=0,"x",(IF('AW Schüler'!$G182=0,"-",D62/'AW Schüler'!$G182)))</f>
        <v>0.28256374913852517</v>
      </c>
      <c r="J62" s="155">
        <f>IF('AW Schüler'!$J164=0,"x",(IF('AW Schüler'!$J182=0,"-",E62/'AW Schüler'!$J182)))</f>
        <v>0.28010825439783493</v>
      </c>
      <c r="K62" s="155">
        <f>IF('AW Schüler'!$M164=0,"x",(IF('AW Schüler'!$M182=0,"-",F62/'AW Schüler'!$M182)))</f>
        <v>0.2789438050101557</v>
      </c>
      <c r="L62" s="156">
        <f>IF('AW Schüler'!$P164=0,"x",(IF('AW Schüler'!$P182=0,"-",G62/'AW Schüler'!$P182)))</f>
        <v>0.28007638446849142</v>
      </c>
    </row>
    <row r="63" spans="1:12" ht="9" customHeight="1">
      <c r="A63" s="21" t="s">
        <v>95</v>
      </c>
      <c r="B63" s="120"/>
      <c r="C63" s="23">
        <f>'3.3.9.1'!C63</f>
        <v>124</v>
      </c>
      <c r="D63" s="23">
        <f>'3.3.9.1'!D63</f>
        <v>115</v>
      </c>
      <c r="E63" s="23">
        <f>'3.3.9.1'!E63</f>
        <v>84</v>
      </c>
      <c r="F63" s="23">
        <f>'3.3.9.1'!F63</f>
        <v>111</v>
      </c>
      <c r="G63" s="34">
        <f>'3.3.9.1'!G63</f>
        <v>163</v>
      </c>
      <c r="H63" s="155">
        <f>IF('AW Schüler'!$D165=0,"x",(IF('AW Schüler'!$D183=0,"-",C63/'AW Schüler'!$D183)))</f>
        <v>0.28054298642533937</v>
      </c>
      <c r="I63" s="155">
        <f>IF('AW Schüler'!$G165=0,"x",(IF('AW Schüler'!$G183=0,"-",D63/'AW Schüler'!$G183)))</f>
        <v>0.26682134570765659</v>
      </c>
      <c r="J63" s="155">
        <f>IF('AW Schüler'!$J165=0,"x",(IF('AW Schüler'!$J183=0,"-",E63/'AW Schüler'!$J183)))</f>
        <v>0.17834394904458598</v>
      </c>
      <c r="K63" s="155">
        <f>IF('AW Schüler'!$M165=0,"x",(IF('AW Schüler'!$M183=0,"-",F63/'AW Schüler'!$M183)))</f>
        <v>0.22981366459627328</v>
      </c>
      <c r="L63" s="156">
        <f>IF('AW Schüler'!$P165=0,"x",(IF('AW Schüler'!$P183=0,"-",G63/'AW Schüler'!$P183)))</f>
        <v>0.31773879142300193</v>
      </c>
    </row>
    <row r="64" spans="1:12" ht="8.65" customHeight="1">
      <c r="A64" s="24" t="s">
        <v>96</v>
      </c>
      <c r="B64" s="121"/>
      <c r="C64" s="26">
        <f>'3.3.9'!C64</f>
        <v>8951</v>
      </c>
      <c r="D64" s="26">
        <f>'3.3.9'!D64</f>
        <v>9568</v>
      </c>
      <c r="E64" s="26">
        <f>'3.3.9'!E64</f>
        <v>9687</v>
      </c>
      <c r="F64" s="26">
        <f>'3.3.9'!F64</f>
        <v>10654</v>
      </c>
      <c r="G64" s="47">
        <f>'3.3.9'!G64</f>
        <v>11761</v>
      </c>
      <c r="H64" s="157">
        <f>IF('AW Schüler'!$D166=0,"x",(IF('AW Schüler'!$D184=0,"-",C64/'AW Schüler'!$D184)))</f>
        <v>0.4135175090085928</v>
      </c>
      <c r="I64" s="157">
        <f>IF('AW Schüler'!$G166=0,"x",(IF('AW Schüler'!$G184=0,"-",D64/'AW Schüler'!$G184)))</f>
        <v>0.44643523702874205</v>
      </c>
      <c r="J64" s="157">
        <f>IF('AW Schüler'!$J166=0,"x",(IF('AW Schüler'!$J184=0,"-",E64/'AW Schüler'!$J184)))</f>
        <v>0.44654957820495089</v>
      </c>
      <c r="K64" s="157">
        <f>IF('AW Schüler'!$M166=0,"x",(IF('AW Schüler'!$M184=0,"-",F64/'AW Schüler'!$M184)))</f>
        <v>0.48092809100347583</v>
      </c>
      <c r="L64" s="158">
        <f>IF('AW Schüler'!$P166=0,"x",(IF('AW Schüler'!$P184=0,"-",G64/'AW Schüler'!$P184)))</f>
        <v>0.51221636688297545</v>
      </c>
    </row>
    <row r="65" spans="1:12" ht="18.75" customHeight="1">
      <c r="A65" s="396" t="s">
        <v>312</v>
      </c>
      <c r="B65" s="396"/>
      <c r="C65" s="396"/>
      <c r="D65" s="396"/>
      <c r="E65" s="396"/>
      <c r="F65" s="396"/>
      <c r="G65" s="396"/>
      <c r="H65" s="396"/>
      <c r="I65" s="396"/>
      <c r="J65" s="396"/>
      <c r="K65" s="396"/>
      <c r="L65" s="396"/>
    </row>
    <row r="66" spans="1:12" ht="10.15" customHeight="1">
      <c r="A66" s="399" t="s">
        <v>287</v>
      </c>
      <c r="B66" s="399"/>
      <c r="C66" s="399"/>
      <c r="D66" s="399"/>
      <c r="E66" s="399"/>
      <c r="F66" s="399"/>
      <c r="G66" s="399"/>
      <c r="H66" s="399"/>
      <c r="I66" s="399"/>
      <c r="J66" s="289"/>
      <c r="K66" s="325"/>
      <c r="L66" s="350"/>
    </row>
    <row r="67" spans="1:12" ht="18.600000000000001" customHeight="1">
      <c r="A67" s="381" t="s">
        <v>207</v>
      </c>
      <c r="B67" s="381"/>
      <c r="C67" s="381"/>
      <c r="D67" s="381"/>
      <c r="E67" s="381"/>
      <c r="F67" s="381"/>
      <c r="G67" s="381"/>
      <c r="H67" s="381"/>
      <c r="I67" s="381"/>
      <c r="J67" s="395"/>
      <c r="K67" s="395"/>
      <c r="L67" s="395"/>
    </row>
    <row r="68" spans="1:12" ht="10.15" customHeight="1">
      <c r="A68" s="288" t="s">
        <v>191</v>
      </c>
    </row>
    <row r="69" spans="1:12" ht="10.15" customHeight="1">
      <c r="A69" s="306" t="s">
        <v>222</v>
      </c>
    </row>
    <row r="70" spans="1:12" ht="10.5" customHeight="1">
      <c r="A70" s="306" t="s">
        <v>309</v>
      </c>
    </row>
    <row r="83" spans="1:1" ht="10.5" customHeight="1"/>
    <row r="84" spans="1:1" ht="10.15" customHeight="1">
      <c r="A84" s="288"/>
    </row>
  </sheetData>
  <mergeCells count="9">
    <mergeCell ref="A1:L1"/>
    <mergeCell ref="A67:L67"/>
    <mergeCell ref="A66:I66"/>
    <mergeCell ref="C9:G9"/>
    <mergeCell ref="H9:L9"/>
    <mergeCell ref="A11:L11"/>
    <mergeCell ref="A29:L29"/>
    <mergeCell ref="A47:L47"/>
    <mergeCell ref="A65:L65"/>
  </mergeCells>
  <conditionalFormatting sqref="N25">
    <cfRule type="cellIs" dxfId="25"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M85"/>
  <sheetViews>
    <sheetView view="pageBreakPreview" topLeftCell="A49"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'3.1.9.1'!A1:J1+1</f>
        <v>46</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38</v>
      </c>
      <c r="B4" s="12" t="s">
        <v>1</v>
      </c>
      <c r="C4" s="14"/>
      <c r="D4" s="14"/>
      <c r="E4" s="14"/>
      <c r="F4" s="14"/>
      <c r="G4" s="14"/>
      <c r="H4" s="14"/>
      <c r="I4" s="14"/>
      <c r="J4" s="14"/>
      <c r="K4" s="14"/>
      <c r="L4" s="14"/>
    </row>
    <row r="5" spans="1:13" s="1" customFormat="1" ht="12.6" customHeight="1">
      <c r="A5" s="13" t="s">
        <v>48</v>
      </c>
      <c r="B5" s="39" t="s">
        <v>106</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136</v>
      </c>
      <c r="I9" s="385"/>
      <c r="J9" s="385"/>
      <c r="K9" s="385"/>
      <c r="L9" s="386"/>
    </row>
    <row r="10" spans="1:13" ht="10.15" customHeight="1">
      <c r="A10" s="352"/>
      <c r="B10" s="353"/>
      <c r="C10" s="354">
        <v>2012</v>
      </c>
      <c r="D10" s="354">
        <v>2013</v>
      </c>
      <c r="E10" s="354">
        <v>2014</v>
      </c>
      <c r="F10" s="354">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42">
        <f t="shared" ref="C12:C28" si="0">SUM(C30+C48)</f>
        <v>26760</v>
      </c>
      <c r="D12" s="42">
        <f t="shared" ref="D12:E12" si="1">SUM(D30+D48)</f>
        <v>26890</v>
      </c>
      <c r="E12" s="42">
        <f t="shared" si="1"/>
        <v>27726</v>
      </c>
      <c r="F12" s="42">
        <f t="shared" ref="F12:G12" si="2">SUM(F30+F48)</f>
        <v>26888</v>
      </c>
      <c r="G12" s="44">
        <f t="shared" si="2"/>
        <v>27686</v>
      </c>
      <c r="H12" s="153">
        <f>IF('AW Schüler'!$D186=0,"x",C12/'AW Schüler'!$D186)</f>
        <v>0.51338129496402873</v>
      </c>
      <c r="I12" s="153">
        <f>IF('AW Schüler'!$G186=0,"x",D12/'AW Schüler'!$G186)</f>
        <v>0.51537105182459364</v>
      </c>
      <c r="J12" s="153">
        <f>IF('AW Schüler'!$J186=0,"x",E12/'AW Schüler'!$J186)</f>
        <v>0.5281947725367675</v>
      </c>
      <c r="K12" s="153">
        <f>IF('AW Schüler'!$M186=0,"x",F12/'AW Schüler'!$M186)</f>
        <v>0.5467819013726487</v>
      </c>
      <c r="L12" s="154">
        <f>IF('AW Schüler'!$P186=0,"x",G12/'AW Schüler'!$P186)</f>
        <v>0.56113824763371778</v>
      </c>
    </row>
    <row r="13" spans="1:13" ht="9" customHeight="1">
      <c r="A13" s="21" t="s">
        <v>81</v>
      </c>
      <c r="B13" s="120"/>
      <c r="C13" s="42">
        <f t="shared" si="0"/>
        <v>16229</v>
      </c>
      <c r="D13" s="42">
        <f t="shared" ref="D13:E13" si="3">SUM(D31+D49)</f>
        <v>16944</v>
      </c>
      <c r="E13" s="42">
        <f t="shared" si="3"/>
        <v>19508</v>
      </c>
      <c r="F13" s="42">
        <f t="shared" ref="F13:G13" si="4">SUM(F31+F49)</f>
        <v>20146</v>
      </c>
      <c r="G13" s="44">
        <f t="shared" si="4"/>
        <v>22409</v>
      </c>
      <c r="H13" s="153">
        <f>IF('AW Schüler'!$D187=0,"x",C13/'AW Schüler'!$D187)</f>
        <v>0.29378009485536366</v>
      </c>
      <c r="I13" s="153">
        <f>IF('AW Schüler'!$G187=0,"x",D13/'AW Schüler'!$G187)</f>
        <v>0.31162525518179979</v>
      </c>
      <c r="J13" s="153">
        <f>IF('AW Schüler'!$J187=0,"x",E13/'AW Schüler'!$J187)</f>
        <v>0.35969392458744354</v>
      </c>
      <c r="K13" s="153">
        <f>IF('AW Schüler'!$M187=0,"x",F13/'AW Schüler'!$M187)</f>
        <v>0.3725290778305812</v>
      </c>
      <c r="L13" s="154">
        <f>IF('AW Schüler'!$P187=0,"x",G13/'AW Schüler'!$P187)</f>
        <v>0.4113328071366949</v>
      </c>
    </row>
    <row r="14" spans="1:13" ht="9" customHeight="1">
      <c r="A14" s="21" t="s">
        <v>82</v>
      </c>
      <c r="B14" s="120"/>
      <c r="C14" s="42">
        <f t="shared" si="0"/>
        <v>2633</v>
      </c>
      <c r="D14" s="42">
        <f t="shared" ref="D14:E14" si="5">SUM(D32+D50)</f>
        <v>4451</v>
      </c>
      <c r="E14" s="42">
        <f t="shared" si="5"/>
        <v>4627</v>
      </c>
      <c r="F14" s="42">
        <f t="shared" ref="F14:G14" si="6">SUM(F32+F50)</f>
        <v>4337</v>
      </c>
      <c r="G14" s="44">
        <f t="shared" si="6"/>
        <v>3449</v>
      </c>
      <c r="H14" s="153">
        <f>IF('AW Schüler'!$D188=0,"x",C14/'AW Schüler'!$D188)</f>
        <v>0.25650267900633222</v>
      </c>
      <c r="I14" s="153">
        <f>IF('AW Schüler'!$G188=0,"x",D14/'AW Schüler'!$G188)</f>
        <v>0.47175410704822468</v>
      </c>
      <c r="J14" s="153">
        <f>IF('AW Schüler'!$J188=0,"x",E14/'AW Schüler'!$J188)</f>
        <v>0.51451128655621037</v>
      </c>
      <c r="K14" s="153">
        <f>IF('AW Schüler'!$M188=0,"x",F14/'AW Schüler'!$M188)</f>
        <v>0.50981544610320917</v>
      </c>
      <c r="L14" s="154">
        <f>IF('AW Schüler'!$P188=0,"x",G14/'AW Schüler'!$P188)</f>
        <v>0.42066105622636907</v>
      </c>
    </row>
    <row r="15" spans="1:13" ht="9" customHeight="1">
      <c r="A15" s="21" t="s">
        <v>83</v>
      </c>
      <c r="B15" s="120"/>
      <c r="C15" s="42">
        <f t="shared" si="0"/>
        <v>4401</v>
      </c>
      <c r="D15" s="42">
        <f t="shared" ref="D15:E15" si="7">SUM(D33+D51)</f>
        <v>4511</v>
      </c>
      <c r="E15" s="42">
        <f t="shared" si="7"/>
        <v>4533</v>
      </c>
      <c r="F15" s="42">
        <f t="shared" ref="F15:G15" si="8">SUM(F33+F51)</f>
        <v>4553</v>
      </c>
      <c r="G15" s="44">
        <f t="shared" si="8"/>
        <v>4649</v>
      </c>
      <c r="H15" s="153">
        <f>IF('AW Schüler'!$D189=0,"x",C15/'AW Schüler'!$D189)</f>
        <v>0.46883988494726747</v>
      </c>
      <c r="I15" s="153">
        <f>IF('AW Schüler'!$G189=0,"x",D15/'AW Schüler'!$G189)</f>
        <v>0.49658740642888594</v>
      </c>
      <c r="J15" s="153">
        <f>IF('AW Schüler'!$J189=0,"x",E15/'AW Schüler'!$J189)</f>
        <v>0.51705258355195616</v>
      </c>
      <c r="K15" s="153">
        <f>IF('AW Schüler'!$M189=0,"x",F15/'AW Schüler'!$M189)</f>
        <v>0.52978822434256456</v>
      </c>
      <c r="L15" s="154">
        <f>IF('AW Schüler'!$P189=0,"x",G15/'AW Schüler'!$P189)</f>
        <v>0.54139979038080821</v>
      </c>
    </row>
    <row r="16" spans="1:13" ht="9" customHeight="1">
      <c r="A16" s="21" t="s">
        <v>84</v>
      </c>
      <c r="B16" s="120"/>
      <c r="C16" s="42">
        <f t="shared" si="0"/>
        <v>45</v>
      </c>
      <c r="D16" s="42">
        <f t="shared" ref="D16:E16" si="9">SUM(D34+D52)</f>
        <v>0</v>
      </c>
      <c r="E16" s="42">
        <f t="shared" si="9"/>
        <v>0</v>
      </c>
      <c r="F16" s="42">
        <f t="shared" ref="F16:G16" si="10">SUM(F34+F52)</f>
        <v>0</v>
      </c>
      <c r="G16" s="44">
        <f t="shared" si="10"/>
        <v>0</v>
      </c>
      <c r="H16" s="153">
        <f>IF('AW Schüler'!$D190=0,"x",C16/'AW Schüler'!$D190)</f>
        <v>3.6644951140065149E-2</v>
      </c>
      <c r="I16" s="153">
        <f>IF('AW Schüler'!$G190=0,"x",D16/'AW Schüler'!$G190)</f>
        <v>0</v>
      </c>
      <c r="J16" s="153">
        <f>IF('AW Schüler'!$J190=0,"x",E16/'AW Schüler'!$J190)</f>
        <v>0</v>
      </c>
      <c r="K16" s="153">
        <f>IF('AW Schüler'!$M190=0,"x",F16/'AW Schüler'!$M190)</f>
        <v>0</v>
      </c>
      <c r="L16" s="154">
        <f>IF('AW Schüler'!$P190=0,"x",G16/'AW Schüler'!$P190)</f>
        <v>0</v>
      </c>
    </row>
    <row r="17" spans="1:12" ht="9" customHeight="1">
      <c r="A17" s="21" t="s">
        <v>85</v>
      </c>
      <c r="B17" s="120"/>
      <c r="C17" s="42">
        <f t="shared" si="0"/>
        <v>3663</v>
      </c>
      <c r="D17" s="42">
        <f t="shared" ref="D17:E17" si="11">SUM(D35+D53)</f>
        <v>4631</v>
      </c>
      <c r="E17" s="42">
        <f t="shared" si="11"/>
        <v>4389</v>
      </c>
      <c r="F17" s="42">
        <f t="shared" ref="F17:G17" si="12">SUM(F35+F53)</f>
        <v>4253</v>
      </c>
      <c r="G17" s="44">
        <f t="shared" si="12"/>
        <v>4058</v>
      </c>
      <c r="H17" s="153">
        <f>IF('AW Schüler'!$D191=0,"x",C17/'AW Schüler'!$D191)</f>
        <v>0.66202783300198809</v>
      </c>
      <c r="I17" s="153">
        <f>IF('AW Schüler'!$G191=0,"x",D17/'AW Schüler'!$G191)</f>
        <v>0.8854684512428298</v>
      </c>
      <c r="J17" s="153">
        <f>IF('AW Schüler'!$J191=0,"x",E17/'AW Schüler'!$J191)</f>
        <v>0.88541456526124673</v>
      </c>
      <c r="K17" s="153">
        <f>IF('AW Schüler'!$M191=0,"x",F17/'AW Schüler'!$M191)</f>
        <v>0.8944269190325973</v>
      </c>
      <c r="L17" s="154">
        <f>IF('AW Schüler'!$P191=0,"x",G17/'AW Schüler'!$P191)</f>
        <v>0.87287588728758869</v>
      </c>
    </row>
    <row r="18" spans="1:12" ht="9" customHeight="1">
      <c r="A18" s="21" t="s">
        <v>86</v>
      </c>
      <c r="B18" s="120"/>
      <c r="C18" s="42">
        <f t="shared" si="0"/>
        <v>10102</v>
      </c>
      <c r="D18" s="42">
        <f t="shared" ref="D18:E18" si="13">SUM(D36+D54)</f>
        <v>10443</v>
      </c>
      <c r="E18" s="42">
        <f t="shared" si="13"/>
        <v>10753</v>
      </c>
      <c r="F18" s="42">
        <f t="shared" ref="F18:G18" si="14">SUM(F36+F54)</f>
        <v>10609</v>
      </c>
      <c r="G18" s="44">
        <f t="shared" si="14"/>
        <v>10623</v>
      </c>
      <c r="H18" s="182">
        <v>0</v>
      </c>
      <c r="I18" s="182">
        <v>0</v>
      </c>
      <c r="J18" s="182">
        <v>0</v>
      </c>
      <c r="K18" s="182">
        <v>0</v>
      </c>
      <c r="L18" s="196">
        <v>0</v>
      </c>
    </row>
    <row r="19" spans="1:12" ht="9" customHeight="1">
      <c r="A19" s="21" t="s">
        <v>174</v>
      </c>
      <c r="B19" s="120"/>
      <c r="C19" s="42">
        <f t="shared" si="0"/>
        <v>2275</v>
      </c>
      <c r="D19" s="42">
        <f t="shared" ref="D19:E19" si="15">SUM(D37+D55)</f>
        <v>2469</v>
      </c>
      <c r="E19" s="42">
        <f t="shared" si="15"/>
        <v>2283</v>
      </c>
      <c r="F19" s="42">
        <f t="shared" ref="F19:G19" si="16">SUM(F37+F55)</f>
        <v>2193</v>
      </c>
      <c r="G19" s="44">
        <f t="shared" si="16"/>
        <v>2124</v>
      </c>
      <c r="H19" s="153">
        <f>IF('AW Schüler'!$D193=0,"x",C19/'AW Schüler'!$D193)</f>
        <v>0.26285384170999421</v>
      </c>
      <c r="I19" s="153">
        <f>IF('AW Schüler'!$G193=0,"x",D19/'AW Schüler'!$G193)</f>
        <v>0.29938159330665698</v>
      </c>
      <c r="J19" s="153">
        <f>IF('AW Schüler'!$J193=0,"x",E19/'AW Schüler'!$J193)</f>
        <v>0.26849347289192049</v>
      </c>
      <c r="K19" s="153">
        <f>IF('AW Schüler'!$M193=0,"x",F19/'AW Schüler'!$M193)</f>
        <v>0.26639941690962099</v>
      </c>
      <c r="L19" s="154">
        <f>IF('AW Schüler'!$P193=0,"x",G19/'AW Schüler'!$P193)</f>
        <v>0.2599437033410843</v>
      </c>
    </row>
    <row r="20" spans="1:12" ht="9" customHeight="1">
      <c r="A20" s="21" t="s">
        <v>88</v>
      </c>
      <c r="B20" s="120"/>
      <c r="C20" s="42">
        <f t="shared" si="0"/>
        <v>10931</v>
      </c>
      <c r="D20" s="42">
        <f t="shared" ref="D20:E20" si="17">SUM(D38+D56)</f>
        <v>10721</v>
      </c>
      <c r="E20" s="42">
        <f t="shared" si="17"/>
        <v>10608</v>
      </c>
      <c r="F20" s="42">
        <f t="shared" ref="F20:G20" si="18">SUM(F38+F56)</f>
        <v>10054</v>
      </c>
      <c r="G20" s="44">
        <f t="shared" si="18"/>
        <v>9977</v>
      </c>
      <c r="H20" s="182">
        <v>0</v>
      </c>
      <c r="I20" s="182">
        <v>0</v>
      </c>
      <c r="J20" s="182">
        <v>0</v>
      </c>
      <c r="K20" s="182">
        <v>0</v>
      </c>
      <c r="L20" s="196">
        <v>0</v>
      </c>
    </row>
    <row r="21" spans="1:12" ht="9" customHeight="1">
      <c r="A21" s="21" t="s">
        <v>89</v>
      </c>
      <c r="B21" s="120"/>
      <c r="C21" s="42">
        <f t="shared" si="0"/>
        <v>40726</v>
      </c>
      <c r="D21" s="42">
        <f t="shared" ref="D21:E21" si="19">SUM(D39+D57)</f>
        <v>38990</v>
      </c>
      <c r="E21" s="42">
        <f t="shared" si="19"/>
        <v>40440</v>
      </c>
      <c r="F21" s="42">
        <f t="shared" ref="F21:G21" si="20">SUM(F39+F57)</f>
        <v>40869</v>
      </c>
      <c r="G21" s="44">
        <f t="shared" si="20"/>
        <v>43058</v>
      </c>
      <c r="H21" s="153">
        <f>IF('AW Schüler'!$D195=0,"x",C21/'AW Schüler'!$D195)</f>
        <v>0.45145270532418441</v>
      </c>
      <c r="I21" s="153">
        <f>IF('AW Schüler'!$G195=0,"x",D21/'AW Schüler'!$G195)</f>
        <v>0.45244090650637642</v>
      </c>
      <c r="J21" s="153">
        <f>IF('AW Schüler'!$J195=0,"x",E21/'AW Schüler'!$J195)</f>
        <v>0.49153428220679929</v>
      </c>
      <c r="K21" s="153">
        <f>IF('AW Schüler'!$M195=0,"x",F21/'AW Schüler'!$M195)</f>
        <v>0.52116196329971054</v>
      </c>
      <c r="L21" s="154">
        <f>IF('AW Schüler'!$P195=0,"x",G21/'AW Schüler'!$P195)</f>
        <v>0.55747171081591962</v>
      </c>
    </row>
    <row r="22" spans="1:12" ht="9" customHeight="1">
      <c r="A22" s="21" t="s">
        <v>90</v>
      </c>
      <c r="B22" s="120"/>
      <c r="C22" s="42">
        <f t="shared" si="0"/>
        <v>12183</v>
      </c>
      <c r="D22" s="42">
        <f t="shared" ref="D22:E22" si="21">SUM(D40+D58)</f>
        <v>12074</v>
      </c>
      <c r="E22" s="42">
        <f t="shared" si="21"/>
        <v>12026</v>
      </c>
      <c r="F22" s="42">
        <f t="shared" ref="F22:G22" si="22">SUM(F40+F58)</f>
        <v>11983</v>
      </c>
      <c r="G22" s="44">
        <f t="shared" si="22"/>
        <v>11985</v>
      </c>
      <c r="H22" s="153">
        <f>IF('AW Schüler'!$D196=0,"x",C22/'AW Schüler'!$D196)</f>
        <v>0.82445692630439193</v>
      </c>
      <c r="I22" s="153">
        <f>IF('AW Schüler'!$G196=0,"x",D22/'AW Schüler'!$G196)</f>
        <v>0.82551620402023795</v>
      </c>
      <c r="J22" s="153">
        <f>IF('AW Schüler'!$J196=0,"x",E22/'AW Schüler'!$J196)</f>
        <v>0.82290953879841244</v>
      </c>
      <c r="K22" s="153">
        <f>IF('AW Schüler'!$M196=0,"x",F22/'AW Schüler'!$M196)</f>
        <v>0.82199204280422555</v>
      </c>
      <c r="L22" s="154">
        <f>IF('AW Schüler'!$P196=0,"x",G22/'AW Schüler'!$P196)</f>
        <v>0.82388121262115899</v>
      </c>
    </row>
    <row r="23" spans="1:12" ht="9" customHeight="1">
      <c r="A23" s="21" t="s">
        <v>91</v>
      </c>
      <c r="B23" s="120"/>
      <c r="C23" s="42">
        <f t="shared" si="0"/>
        <v>1412</v>
      </c>
      <c r="D23" s="42">
        <f t="shared" ref="D23:E23" si="23">SUM(D41+D59)</f>
        <v>1507</v>
      </c>
      <c r="E23" s="42">
        <f t="shared" si="23"/>
        <v>1339</v>
      </c>
      <c r="F23" s="42">
        <f t="shared" ref="F23:G23" si="24">SUM(F41+F59)</f>
        <v>1306</v>
      </c>
      <c r="G23" s="44">
        <f t="shared" si="24"/>
        <v>1172</v>
      </c>
      <c r="H23" s="153">
        <f>IF('AW Schüler'!$D197=0,"x",C23/'AW Schüler'!$D197)</f>
        <v>0.38018309100700054</v>
      </c>
      <c r="I23" s="153">
        <f>IF('AW Schüler'!$G197=0,"x",D23/'AW Schüler'!$G197)</f>
        <v>0.42083216978497628</v>
      </c>
      <c r="J23" s="153">
        <f>IF('AW Schüler'!$J197=0,"x",E23/'AW Schüler'!$J197)</f>
        <v>0.37985815602836881</v>
      </c>
      <c r="K23" s="153">
        <f>IF('AW Schüler'!$M197=0,"x",F23/'AW Schüler'!$M197)</f>
        <v>0.3733562035448828</v>
      </c>
      <c r="L23" s="154">
        <f>IF('AW Schüler'!$P197=0,"x",G23/'AW Schüler'!$P197)</f>
        <v>0.34891336707353376</v>
      </c>
    </row>
    <row r="24" spans="1:12" ht="9" customHeight="1">
      <c r="A24" s="21" t="s">
        <v>92</v>
      </c>
      <c r="B24" s="120"/>
      <c r="C24" s="42">
        <f t="shared" si="0"/>
        <v>18244</v>
      </c>
      <c r="D24" s="42">
        <f t="shared" ref="D24:E24" si="25">SUM(D42+D60)</f>
        <v>17796</v>
      </c>
      <c r="E24" s="42">
        <f t="shared" si="25"/>
        <v>17879</v>
      </c>
      <c r="F24" s="42">
        <f t="shared" ref="F24:G24" si="26">SUM(F42+F60)</f>
        <v>17934</v>
      </c>
      <c r="G24" s="44">
        <f t="shared" si="26"/>
        <v>17831</v>
      </c>
      <c r="H24" s="153">
        <f>IF('AW Schüler'!$D198=0,"x",C24/'AW Schüler'!$D198)</f>
        <v>0.96284568292168038</v>
      </c>
      <c r="I24" s="153">
        <f>IF('AW Schüler'!$G198=0,"x",D24/'AW Schüler'!$G198)</f>
        <v>0.95930138537006093</v>
      </c>
      <c r="J24" s="153">
        <f>IF('AW Schüler'!$J198=0,"x",E24/'AW Schüler'!$J198)</f>
        <v>0.9557384936120169</v>
      </c>
      <c r="K24" s="153">
        <f>IF('AW Schüler'!$M198=0,"x",F24/'AW Schüler'!$M198)</f>
        <v>0.95673512936783145</v>
      </c>
      <c r="L24" s="154">
        <f>IF('AW Schüler'!$P198=0,"x",G24/'AW Schüler'!$P198)</f>
        <v>0.9546525323910483</v>
      </c>
    </row>
    <row r="25" spans="1:12" ht="9" customHeight="1">
      <c r="A25" s="21" t="s">
        <v>93</v>
      </c>
      <c r="B25" s="120"/>
      <c r="C25" s="42">
        <f t="shared" si="0"/>
        <v>7512</v>
      </c>
      <c r="D25" s="42">
        <f t="shared" ref="D25:E25" si="27">SUM(D43+D61)</f>
        <v>7157</v>
      </c>
      <c r="E25" s="42">
        <f t="shared" si="27"/>
        <v>6783</v>
      </c>
      <c r="F25" s="42">
        <f t="shared" ref="F25:G25" si="28">SUM(F43+F61)</f>
        <v>6595</v>
      </c>
      <c r="G25" s="44">
        <f t="shared" si="28"/>
        <v>6440</v>
      </c>
      <c r="H25" s="182">
        <v>0</v>
      </c>
      <c r="I25" s="182">
        <v>0</v>
      </c>
      <c r="J25" s="182">
        <v>0</v>
      </c>
      <c r="K25" s="182">
        <v>0</v>
      </c>
      <c r="L25" s="196">
        <v>0</v>
      </c>
    </row>
    <row r="26" spans="1:12" ht="9" customHeight="1">
      <c r="A26" s="21" t="s">
        <v>94</v>
      </c>
      <c r="B26" s="120"/>
      <c r="C26" s="42">
        <f t="shared" si="0"/>
        <v>1635</v>
      </c>
      <c r="D26" s="42">
        <f t="shared" ref="D26:E26" si="29">SUM(D44+D62)</f>
        <v>1547</v>
      </c>
      <c r="E26" s="42">
        <f t="shared" si="29"/>
        <v>1368</v>
      </c>
      <c r="F26" s="42">
        <f t="shared" ref="F26:G26" si="30">SUM(F44+F62)</f>
        <v>1391</v>
      </c>
      <c r="G26" s="44">
        <f t="shared" si="30"/>
        <v>1367</v>
      </c>
      <c r="H26" s="153">
        <f>IF('AW Schüler'!$D200=0,"x",C26/'AW Schüler'!$D200)</f>
        <v>0.23420713364847442</v>
      </c>
      <c r="I26" s="153">
        <f>IF('AW Schüler'!$G200=0,"x",D26/'AW Schüler'!$G200)</f>
        <v>0.24190774042220484</v>
      </c>
      <c r="J26" s="153">
        <f>IF('AW Schüler'!$J200=0,"x",E26/'AW Schüler'!$J200)</f>
        <v>0.23061362103843561</v>
      </c>
      <c r="K26" s="153">
        <f>IF('AW Schüler'!$M200=0,"x",F26/'AW Schüler'!$M200)</f>
        <v>0.24663120567375887</v>
      </c>
      <c r="L26" s="154">
        <f>IF('AW Schüler'!$P200=0,"x",G26/'AW Schüler'!$P200)</f>
        <v>0.25114826382509647</v>
      </c>
    </row>
    <row r="27" spans="1:12" ht="9" customHeight="1">
      <c r="A27" s="21" t="s">
        <v>95</v>
      </c>
      <c r="B27" s="120"/>
      <c r="C27" s="42">
        <f t="shared" si="0"/>
        <v>8070</v>
      </c>
      <c r="D27" s="42">
        <f t="shared" ref="D27:E27" si="31">SUM(D45+D63)</f>
        <v>7599</v>
      </c>
      <c r="E27" s="42">
        <f t="shared" si="31"/>
        <v>7309</v>
      </c>
      <c r="F27" s="42">
        <f t="shared" ref="F27:G27" si="32">SUM(F45+F63)</f>
        <v>7062</v>
      </c>
      <c r="G27" s="44">
        <f t="shared" si="32"/>
        <v>6754</v>
      </c>
      <c r="H27" s="153">
        <f>IF('AW Schüler'!$D201=0,"x",C27/'AW Schüler'!$D201)</f>
        <v>1</v>
      </c>
      <c r="I27" s="153">
        <f>IF('AW Schüler'!$G201=0,"x",D27/'AW Schüler'!$G201)</f>
        <v>1</v>
      </c>
      <c r="J27" s="153">
        <f>IF('AW Schüler'!$J201=0,"x",E27/'AW Schüler'!$J201)</f>
        <v>1</v>
      </c>
      <c r="K27" s="153">
        <f>IF('AW Schüler'!$M201=0,"x",F27/'AW Schüler'!$M201)</f>
        <v>1</v>
      </c>
      <c r="L27" s="154">
        <f>IF('AW Schüler'!$P201=0,"x",G27/'AW Schüler'!$P201)</f>
        <v>1</v>
      </c>
    </row>
    <row r="28" spans="1:12" ht="9" customHeight="1">
      <c r="A28" s="21" t="s">
        <v>96</v>
      </c>
      <c r="B28" s="120"/>
      <c r="C28" s="42">
        <f t="shared" si="0"/>
        <v>166821</v>
      </c>
      <c r="D28" s="42">
        <f t="shared" ref="D28:E28" si="33">SUM(D46+D64)</f>
        <v>167730</v>
      </c>
      <c r="E28" s="42">
        <f t="shared" si="33"/>
        <v>171571</v>
      </c>
      <c r="F28" s="42">
        <f t="shared" ref="F28:G28" si="34">SUM(F46+F64)</f>
        <v>170173</v>
      </c>
      <c r="G28" s="44">
        <f t="shared" si="34"/>
        <v>173582</v>
      </c>
      <c r="H28" s="153">
        <f>IF('AW Schüler'!$D202=0,"x",C28/'AW Schüler'!$D202)</f>
        <v>0.4831022379760912</v>
      </c>
      <c r="I28" s="153">
        <f>IF('AW Schüler'!$G202=0,"x",D28/'AW Schüler'!$G202)</f>
        <v>0.502372138159077</v>
      </c>
      <c r="J28" s="153">
        <f>IF('AW Schüler'!$J202=0,"x",E28/'AW Schüler'!$J202)</f>
        <v>0.52732341207639488</v>
      </c>
      <c r="K28" s="153">
        <f>IF('AW Schüler'!$M202=0,"x",F28/'AW Schüler'!$M202)</f>
        <v>0.54377578311982544</v>
      </c>
      <c r="L28" s="154">
        <f>IF('AW Schüler'!$P202=0,"x",G28/'AW Schüler'!$P202)</f>
        <v>0.56262620696808319</v>
      </c>
    </row>
    <row r="29" spans="1:12" ht="12.75" customHeight="1">
      <c r="A29" s="391" t="s">
        <v>105</v>
      </c>
      <c r="B29" s="392"/>
      <c r="C29" s="392"/>
      <c r="D29" s="392"/>
      <c r="E29" s="392"/>
      <c r="F29" s="392"/>
      <c r="G29" s="392"/>
      <c r="H29" s="392"/>
      <c r="I29" s="392"/>
      <c r="J29" s="392"/>
      <c r="K29" s="392"/>
      <c r="L29" s="393"/>
    </row>
    <row r="30" spans="1:12" ht="9" customHeight="1">
      <c r="A30" s="21" t="s">
        <v>172</v>
      </c>
      <c r="B30" s="120"/>
      <c r="C30" s="23">
        <f>'3.2.9'!C30+'3.3.10'!C30</f>
        <v>26310</v>
      </c>
      <c r="D30" s="23">
        <f>'3.2.9'!D30+'3.3.10'!D30</f>
        <v>26338</v>
      </c>
      <c r="E30" s="23">
        <f>'3.2.9'!E30+'3.3.10'!E30</f>
        <v>26998</v>
      </c>
      <c r="F30" s="23">
        <f>'3.2.9'!F30+'3.3.10'!F30</f>
        <v>26200</v>
      </c>
      <c r="G30" s="34">
        <f>'3.2.9'!G30+'3.3.10'!G30</f>
        <v>26775</v>
      </c>
      <c r="H30" s="155">
        <f>IF('AW Schüler'!$D186=0,"x",C30/'AW Schüler'!$D186)</f>
        <v>0.50474820143884891</v>
      </c>
      <c r="I30" s="155">
        <f>IF('AW Schüler'!$G186=0,"x",D30/'AW Schüler'!$G186)</f>
        <v>0.50479147500766641</v>
      </c>
      <c r="J30" s="155">
        <f>IF('AW Schüler'!$J186=0,"x",E30/'AW Schüler'!$J186)</f>
        <v>0.51432599253219535</v>
      </c>
      <c r="K30" s="155">
        <f>IF('AW Schüler'!$M186=0,"x",F30/'AW Schüler'!$M186)</f>
        <v>0.53279105236400615</v>
      </c>
      <c r="L30" s="156">
        <f>IF('AW Schüler'!$P186=0,"x",G30/'AW Schüler'!$P186)</f>
        <v>0.54267415229331761</v>
      </c>
    </row>
    <row r="31" spans="1:12" ht="9" customHeight="1">
      <c r="A31" s="21" t="s">
        <v>81</v>
      </c>
      <c r="B31" s="120"/>
      <c r="C31" s="23">
        <f>'3.2.9'!C31+'3.3.10'!C31</f>
        <v>3782</v>
      </c>
      <c r="D31" s="23">
        <f>'3.2.9'!D31+'3.3.10'!D31</f>
        <v>4650</v>
      </c>
      <c r="E31" s="23">
        <f>'3.2.9'!E31+'3.3.10'!E31</f>
        <v>5367</v>
      </c>
      <c r="F31" s="23">
        <f>'3.2.9'!F31+'3.3.10'!F31</f>
        <v>5580</v>
      </c>
      <c r="G31" s="34">
        <f>'3.2.9'!G31+'3.3.10'!G31</f>
        <v>5849</v>
      </c>
      <c r="H31" s="155">
        <f>IF('AW Schüler'!$D187=0,"x",C31/'AW Schüler'!$D187)</f>
        <v>6.8462401795735123E-2</v>
      </c>
      <c r="I31" s="155">
        <f>IF('AW Schüler'!$G187=0,"x",D31/'AW Schüler'!$G187)</f>
        <v>8.5520386956761632E-2</v>
      </c>
      <c r="J31" s="155">
        <f>IF('AW Schüler'!$J187=0,"x",E31/'AW Schüler'!$J187)</f>
        <v>9.8958237300636118E-2</v>
      </c>
      <c r="K31" s="155">
        <f>IF('AW Schüler'!$M187=0,"x",F31/'AW Schüler'!$M187)</f>
        <v>0.10318238133101573</v>
      </c>
      <c r="L31" s="156">
        <f>IF('AW Schüler'!$P187=0,"x",G31/'AW Schüler'!$P187)</f>
        <v>0.10736246994254667</v>
      </c>
    </row>
    <row r="32" spans="1:12" ht="9" customHeight="1">
      <c r="A32" s="21" t="s">
        <v>82</v>
      </c>
      <c r="B32" s="120"/>
      <c r="C32" s="23">
        <f>'3.2.9'!C32+'3.3.10'!C32</f>
        <v>1247</v>
      </c>
      <c r="D32" s="23">
        <f>'3.2.9'!D32+'3.3.10'!D32</f>
        <v>3392</v>
      </c>
      <c r="E32" s="23">
        <f>'3.2.9'!E32+'3.3.10'!E32</f>
        <v>3774</v>
      </c>
      <c r="F32" s="23">
        <f>'3.2.9'!F32+'3.3.10'!F32</f>
        <v>3132</v>
      </c>
      <c r="G32" s="34">
        <f>'3.2.9'!G32+'3.3.10'!G32</f>
        <v>2784</v>
      </c>
      <c r="H32" s="155">
        <f>IF('AW Schüler'!$D188=0,"x",C32/'AW Schüler'!$D188)</f>
        <v>0.12148075986361423</v>
      </c>
      <c r="I32" s="155">
        <f>IF('AW Schüler'!$G188=0,"x",D32/'AW Schüler'!$G188)</f>
        <v>0.3595124536301007</v>
      </c>
      <c r="J32" s="155">
        <f>IF('AW Schüler'!$J188=0,"x",E32/'AW Schüler'!$J188)</f>
        <v>0.41965973534971646</v>
      </c>
      <c r="K32" s="155">
        <f>IF('AW Schüler'!$M188=0,"x",F32/'AW Schüler'!$M188)</f>
        <v>0.36816739155989187</v>
      </c>
      <c r="L32" s="156">
        <f>IF('AW Schüler'!$P188=0,"x",G32/'AW Schüler'!$P188)</f>
        <v>0.33955360409806074</v>
      </c>
    </row>
    <row r="33" spans="1:12" ht="9" customHeight="1">
      <c r="A33" s="21" t="s">
        <v>83</v>
      </c>
      <c r="B33" s="120"/>
      <c r="C33" s="23">
        <f>'3.2.9'!C33+'3.3.10'!C33</f>
        <v>4104</v>
      </c>
      <c r="D33" s="23">
        <f>'3.2.9'!D33+'3.3.10'!D33</f>
        <v>4141</v>
      </c>
      <c r="E33" s="23">
        <f>'3.2.9'!E33+'3.3.10'!E33</f>
        <v>4166</v>
      </c>
      <c r="F33" s="23">
        <f>'3.2.9'!F33+'3.3.10'!F33</f>
        <v>4209</v>
      </c>
      <c r="G33" s="34">
        <f>'3.2.9'!G33+'3.3.10'!G33</f>
        <v>4317</v>
      </c>
      <c r="H33" s="155">
        <f>IF('AW Schüler'!$D189=0,"x",C33/'AW Schüler'!$D189)</f>
        <v>0.43720038350910834</v>
      </c>
      <c r="I33" s="155">
        <f>IF('AW Schüler'!$G189=0,"x",D33/'AW Schüler'!$G189)</f>
        <v>0.45585645090268606</v>
      </c>
      <c r="J33" s="155">
        <f>IF('AW Schüler'!$J189=0,"x",E33/'AW Schüler'!$J189)</f>
        <v>0.47519105737424433</v>
      </c>
      <c r="K33" s="155">
        <f>IF('AW Schüler'!$M189=0,"x",F33/'AW Schüler'!$M189)</f>
        <v>0.4897602978822434</v>
      </c>
      <c r="L33" s="156">
        <f>IF('AW Schüler'!$P189=0,"x",G33/'AW Schüler'!$P189)</f>
        <v>0.50273669500407592</v>
      </c>
    </row>
    <row r="34" spans="1:12" ht="9" customHeight="1">
      <c r="A34" s="21" t="s">
        <v>84</v>
      </c>
      <c r="B34" s="120"/>
      <c r="C34" s="23">
        <f>'3.2.9'!C34+'3.3.10'!C34</f>
        <v>0</v>
      </c>
      <c r="D34" s="23">
        <f>'3.2.9'!D34+'3.3.10'!D34</f>
        <v>0</v>
      </c>
      <c r="E34" s="23">
        <f>'3.2.9'!E34+'3.3.10'!E34</f>
        <v>0</v>
      </c>
      <c r="F34" s="23">
        <f>'3.2.9'!F34+'3.3.10'!F34</f>
        <v>0</v>
      </c>
      <c r="G34" s="34">
        <f>'3.2.9'!G34+'3.3.10'!G34</f>
        <v>0</v>
      </c>
      <c r="H34" s="155">
        <f>IF('AW Schüler'!$D190=0,"x",C34/'AW Schüler'!$D190)</f>
        <v>0</v>
      </c>
      <c r="I34" s="155">
        <f>IF('AW Schüler'!$G190=0,"x",D34/'AW Schüler'!$G190)</f>
        <v>0</v>
      </c>
      <c r="J34" s="155">
        <f>IF('AW Schüler'!$J190=0,"x",E34/'AW Schüler'!$J190)</f>
        <v>0</v>
      </c>
      <c r="K34" s="155">
        <f>IF('AW Schüler'!$M190=0,"x",F34/'AW Schüler'!$M190)</f>
        <v>0</v>
      </c>
      <c r="L34" s="156">
        <f>IF('AW Schüler'!$P190=0,"x",G34/'AW Schüler'!$P190)</f>
        <v>0</v>
      </c>
    </row>
    <row r="35" spans="1:12" ht="9" customHeight="1">
      <c r="A35" s="21" t="s">
        <v>85</v>
      </c>
      <c r="B35" s="120"/>
      <c r="C35" s="23">
        <f>'3.2.9'!C35+'3.3.10'!C35</f>
        <v>3418</v>
      </c>
      <c r="D35" s="23">
        <f>'3.2.9'!D35+'3.3.10'!D35</f>
        <v>3432</v>
      </c>
      <c r="E35" s="23">
        <f>'3.2.9'!E35+'3.3.10'!E35</f>
        <v>3266</v>
      </c>
      <c r="F35" s="23">
        <f>'3.2.9'!F35+'3.3.10'!F35</f>
        <v>3114</v>
      </c>
      <c r="G35" s="34">
        <f>'3.2.9'!G35+'3.3.10'!G35</f>
        <v>3398</v>
      </c>
      <c r="H35" s="155">
        <f>IF('AW Schüler'!$D191=0,"x",C35/'AW Schüler'!$D191)</f>
        <v>0.61774805711187419</v>
      </c>
      <c r="I35" s="155">
        <f>IF('AW Schüler'!$G191=0,"x",D35/'AW Schüler'!$G191)</f>
        <v>0.65621414913957932</v>
      </c>
      <c r="J35" s="155">
        <f>IF('AW Schüler'!$J191=0,"x",E35/'AW Schüler'!$J191)</f>
        <v>0.65886624974783137</v>
      </c>
      <c r="K35" s="155">
        <f>IF('AW Schüler'!$M191=0,"x",F35/'AW Schüler'!$M191)</f>
        <v>0.65488958990536272</v>
      </c>
      <c r="L35" s="156">
        <f>IF('AW Schüler'!$P191=0,"x",G35/'AW Schüler'!$P191)</f>
        <v>0.73090987309098732</v>
      </c>
    </row>
    <row r="36" spans="1:12" ht="9" customHeight="1">
      <c r="A36" s="21" t="s">
        <v>86</v>
      </c>
      <c r="B36" s="120"/>
      <c r="C36" s="23">
        <f>'3.2.9'!C36+'3.3.10'!C36</f>
        <v>6432</v>
      </c>
      <c r="D36" s="23">
        <f>'3.2.9'!D36+'3.3.10'!D36</f>
        <v>6559</v>
      </c>
      <c r="E36" s="23">
        <f>'3.2.9'!E36+'3.3.10'!E36</f>
        <v>6521</v>
      </c>
      <c r="F36" s="23">
        <f>'3.2.9'!F36+'3.3.10'!F36</f>
        <v>6491</v>
      </c>
      <c r="G36" s="34">
        <f>'3.2.9'!G36+'3.3.10'!G36</f>
        <v>6811</v>
      </c>
      <c r="H36" s="183">
        <v>0</v>
      </c>
      <c r="I36" s="183">
        <v>0</v>
      </c>
      <c r="J36" s="183">
        <v>0</v>
      </c>
      <c r="K36" s="183">
        <v>0</v>
      </c>
      <c r="L36" s="197">
        <v>0</v>
      </c>
    </row>
    <row r="37" spans="1:12" ht="9" customHeight="1">
      <c r="A37" s="21" t="s">
        <v>174</v>
      </c>
      <c r="B37" s="120"/>
      <c r="C37" s="23">
        <f>'3.2.9'!C37+'3.3.10'!C37</f>
        <v>1778</v>
      </c>
      <c r="D37" s="23">
        <f>'3.2.9'!D37+'3.3.10'!D37</f>
        <v>1851</v>
      </c>
      <c r="E37" s="23">
        <f>'3.2.9'!E37+'3.3.10'!E37</f>
        <v>1678</v>
      </c>
      <c r="F37" s="23">
        <f>'3.2.9'!F37+'3.3.10'!F37</f>
        <v>1588</v>
      </c>
      <c r="G37" s="34">
        <f>'3.2.9'!G37+'3.3.10'!G37</f>
        <v>1923</v>
      </c>
      <c r="H37" s="155">
        <f>IF('AW Schüler'!$D193=0,"x",C37/'AW Schüler'!$D193)</f>
        <v>0.20543038705950317</v>
      </c>
      <c r="I37" s="155">
        <f>IF('AW Schüler'!$G193=0,"x",D37/'AW Schüler'!$G193)</f>
        <v>0.22444525281920699</v>
      </c>
      <c r="J37" s="155">
        <f>IF('AW Schüler'!$J193=0,"x",E37/'AW Schüler'!$J193)</f>
        <v>0.19734211454780665</v>
      </c>
      <c r="K37" s="155">
        <f>IF('AW Schüler'!$M193=0,"x",F37/'AW Schüler'!$M193)</f>
        <v>0.19290573372206024</v>
      </c>
      <c r="L37" s="156">
        <f>IF('AW Schüler'!$P193=0,"x",G37/'AW Schüler'!$P193)</f>
        <v>0.23534451107575571</v>
      </c>
    </row>
    <row r="38" spans="1:12" ht="9" customHeight="1">
      <c r="A38" s="21" t="s">
        <v>88</v>
      </c>
      <c r="B38" s="120"/>
      <c r="C38" s="23">
        <f>'3.2.9'!C38+'3.3.10'!C38</f>
        <v>5201</v>
      </c>
      <c r="D38" s="23">
        <f>'3.2.9'!D38+'3.3.10'!D38</f>
        <v>5297</v>
      </c>
      <c r="E38" s="23">
        <f>'3.2.9'!E38+'3.3.10'!E38</f>
        <v>5636</v>
      </c>
      <c r="F38" s="23">
        <f>'3.2.9'!F38+'3.3.10'!F38</f>
        <v>6328</v>
      </c>
      <c r="G38" s="34">
        <f>'3.2.9'!G38+'3.3.10'!G38</f>
        <v>6410</v>
      </c>
      <c r="H38" s="183">
        <v>0</v>
      </c>
      <c r="I38" s="183">
        <v>0</v>
      </c>
      <c r="J38" s="183">
        <v>0</v>
      </c>
      <c r="K38" s="183">
        <v>0</v>
      </c>
      <c r="L38" s="197">
        <v>0</v>
      </c>
    </row>
    <row r="39" spans="1:12" ht="9" customHeight="1">
      <c r="A39" s="21" t="s">
        <v>89</v>
      </c>
      <c r="B39" s="120"/>
      <c r="C39" s="23">
        <f>'3.2.9'!C39+'3.3.10'!C39</f>
        <v>32782</v>
      </c>
      <c r="D39" s="23">
        <f>'3.2.9'!D39+'3.3.10'!D39</f>
        <v>31476</v>
      </c>
      <c r="E39" s="23">
        <f>'3.2.9'!E39+'3.3.10'!E39</f>
        <v>33187</v>
      </c>
      <c r="F39" s="23">
        <f>'3.2.9'!F39+'3.3.10'!F39</f>
        <v>33976</v>
      </c>
      <c r="G39" s="34">
        <f>'3.2.9'!G39+'3.3.10'!G39</f>
        <v>36027</v>
      </c>
      <c r="H39" s="155">
        <f>IF('AW Schüler'!$D195=0,"x",C39/'AW Schüler'!$D195)</f>
        <v>0.3633924909379122</v>
      </c>
      <c r="I39" s="155">
        <f>IF('AW Schüler'!$G195=0,"x",D39/'AW Schüler'!$G195)</f>
        <v>0.36524826809937688</v>
      </c>
      <c r="J39" s="155">
        <f>IF('AW Schüler'!$J195=0,"x",E39/'AW Schüler'!$J195)</f>
        <v>0.40337656339260752</v>
      </c>
      <c r="K39" s="155">
        <f>IF('AW Schüler'!$M195=0,"x",F39/'AW Schüler'!$M195)</f>
        <v>0.43326234713526057</v>
      </c>
      <c r="L39" s="156">
        <f>IF('AW Schüler'!$P195=0,"x",G39/'AW Schüler'!$P195)</f>
        <v>0.46644138895362386</v>
      </c>
    </row>
    <row r="40" spans="1:12" ht="9" customHeight="1">
      <c r="A40" s="21" t="s">
        <v>90</v>
      </c>
      <c r="B40" s="120"/>
      <c r="C40" s="23">
        <f>'3.2.9'!C40+'3.3.10'!C40</f>
        <v>12183</v>
      </c>
      <c r="D40" s="23">
        <f>'3.2.9'!D40+'3.3.10'!D40</f>
        <v>12074</v>
      </c>
      <c r="E40" s="23">
        <f>'3.2.9'!E40+'3.3.10'!E40</f>
        <v>12026</v>
      </c>
      <c r="F40" s="23">
        <f>'3.2.9'!F40+'3.3.10'!F40</f>
        <v>11983</v>
      </c>
      <c r="G40" s="34">
        <f>'3.2.9'!G40+'3.3.10'!G40</f>
        <v>11985</v>
      </c>
      <c r="H40" s="155">
        <f>IF('AW Schüler'!$D196=0,"x",C40/'AW Schüler'!$D196)</f>
        <v>0.82445692630439193</v>
      </c>
      <c r="I40" s="155">
        <f>IF('AW Schüler'!$G196=0,"x",D40/'AW Schüler'!$G196)</f>
        <v>0.82551620402023795</v>
      </c>
      <c r="J40" s="155">
        <f>IF('AW Schüler'!$J196=0,"x",E40/'AW Schüler'!$J196)</f>
        <v>0.82290953879841244</v>
      </c>
      <c r="K40" s="155">
        <f>IF('AW Schüler'!$M196=0,"x",F40/'AW Schüler'!$M196)</f>
        <v>0.82199204280422555</v>
      </c>
      <c r="L40" s="156">
        <f>IF('AW Schüler'!$P196=0,"x",G40/'AW Schüler'!$P196)</f>
        <v>0.82388121262115899</v>
      </c>
    </row>
    <row r="41" spans="1:12" ht="9" customHeight="1">
      <c r="A41" s="21" t="s">
        <v>91</v>
      </c>
      <c r="B41" s="120"/>
      <c r="C41" s="23">
        <f>'3.2.9'!C41+'3.3.10'!C41</f>
        <v>1108</v>
      </c>
      <c r="D41" s="23">
        <f>'3.2.9'!D41+'3.3.10'!D41</f>
        <v>1215</v>
      </c>
      <c r="E41" s="23">
        <f>'3.2.9'!E41+'3.3.10'!E41</f>
        <v>1015</v>
      </c>
      <c r="F41" s="23">
        <f>'3.2.9'!F41+'3.3.10'!F41</f>
        <v>996</v>
      </c>
      <c r="G41" s="34">
        <f>'3.2.9'!G41+'3.3.10'!G41</f>
        <v>926</v>
      </c>
      <c r="H41" s="155">
        <f>IF('AW Schüler'!$D197=0,"x",C41/'AW Schüler'!$D197)</f>
        <v>0.29833064081852451</v>
      </c>
      <c r="I41" s="155">
        <f>IF('AW Schüler'!$G197=0,"x",D41/'AW Schüler'!$G197)</f>
        <v>0.3392907009215303</v>
      </c>
      <c r="J41" s="155">
        <f>IF('AW Schüler'!$J197=0,"x",E41/'AW Schüler'!$J197)</f>
        <v>0.28794326241134754</v>
      </c>
      <c r="K41" s="155">
        <f>IF('AW Schüler'!$M197=0,"x",F41/'AW Schüler'!$M197)</f>
        <v>0.28473413379073759</v>
      </c>
      <c r="L41" s="156">
        <f>IF('AW Schüler'!$P197=0,"x",G41/'AW Schüler'!$P197)</f>
        <v>0.27567728490622206</v>
      </c>
    </row>
    <row r="42" spans="1:12" ht="9" customHeight="1">
      <c r="A42" s="21" t="s">
        <v>92</v>
      </c>
      <c r="B42" s="120"/>
      <c r="C42" s="23">
        <f>'3.2.9'!C42+'3.3.10'!C42</f>
        <v>6803</v>
      </c>
      <c r="D42" s="23">
        <f>'3.2.9'!D42+'3.3.10'!D42</f>
        <v>5765</v>
      </c>
      <c r="E42" s="23">
        <f>'3.2.9'!E42+'3.3.10'!E42</f>
        <v>7001</v>
      </c>
      <c r="F42" s="23">
        <f>'3.2.9'!F42+'3.3.10'!F42</f>
        <v>6935</v>
      </c>
      <c r="G42" s="34">
        <f>'3.2.9'!G42+'3.3.10'!G42</f>
        <v>7227</v>
      </c>
      <c r="H42" s="155">
        <f>IF('AW Schüler'!$D198=0,"x",C42/'AW Schüler'!$D198)</f>
        <v>0.35903525438040956</v>
      </c>
      <c r="I42" s="155">
        <f>IF('AW Schüler'!$G198=0,"x",D42/'AW Schüler'!$G198)</f>
        <v>0.31076491833324349</v>
      </c>
      <c r="J42" s="155">
        <f>IF('AW Schüler'!$J198=0,"x",E42/'AW Schüler'!$J198)</f>
        <v>0.37424493505105039</v>
      </c>
      <c r="K42" s="155">
        <f>IF('AW Schüler'!$M198=0,"x",F42/'AW Schüler'!$M198)</f>
        <v>0.36996532408642302</v>
      </c>
      <c r="L42" s="156">
        <f>IF('AW Schüler'!$P198=0,"x",G42/'AW Schüler'!$P198)</f>
        <v>0.38692579505300351</v>
      </c>
    </row>
    <row r="43" spans="1:12" ht="9" customHeight="1">
      <c r="A43" s="21" t="s">
        <v>93</v>
      </c>
      <c r="B43" s="120"/>
      <c r="C43" s="36">
        <f>'3.2.9'!C43+'3.3.10'!C43</f>
        <v>0</v>
      </c>
      <c r="D43" s="36">
        <f>'3.2.9'!D43+'3.3.10'!D43</f>
        <v>0</v>
      </c>
      <c r="E43" s="36">
        <f>'3.2.9'!E43+'3.3.10'!E43</f>
        <v>0</v>
      </c>
      <c r="F43" s="36">
        <f>'3.2.9'!F43+'3.3.10'!F43</f>
        <v>0</v>
      </c>
      <c r="G43" s="37">
        <f>'3.2.9'!G43+'3.3.10'!G43</f>
        <v>0</v>
      </c>
      <c r="H43" s="183">
        <v>0</v>
      </c>
      <c r="I43" s="183">
        <v>0</v>
      </c>
      <c r="J43" s="183">
        <v>0</v>
      </c>
      <c r="K43" s="183">
        <v>0</v>
      </c>
      <c r="L43" s="197">
        <v>0</v>
      </c>
    </row>
    <row r="44" spans="1:12" ht="9" customHeight="1">
      <c r="A44" s="21" t="s">
        <v>94</v>
      </c>
      <c r="B44" s="120"/>
      <c r="C44" s="23">
        <f>'3.2.9'!C44+'3.3.10'!C44</f>
        <v>0</v>
      </c>
      <c r="D44" s="23">
        <f>'3.2.9'!D44+'3.3.10'!D44</f>
        <v>0</v>
      </c>
      <c r="E44" s="23">
        <f>'3.2.9'!E44+'3.3.10'!E44</f>
        <v>0</v>
      </c>
      <c r="F44" s="23">
        <f>'3.2.9'!F44+'3.3.10'!F44</f>
        <v>0</v>
      </c>
      <c r="G44" s="34">
        <f>'3.2.9'!G44+'3.3.10'!G44</f>
        <v>0</v>
      </c>
      <c r="H44" s="155">
        <f>IF('AW Schüler'!$D200=0,"x",C44/'AW Schüler'!$D200)</f>
        <v>0</v>
      </c>
      <c r="I44" s="155">
        <f>IF('AW Schüler'!$G200=0,"x",D44/'AW Schüler'!$G200)</f>
        <v>0</v>
      </c>
      <c r="J44" s="155">
        <f>IF('AW Schüler'!$J200=0,"x",E44/'AW Schüler'!$J200)</f>
        <v>0</v>
      </c>
      <c r="K44" s="155">
        <f>IF('AW Schüler'!$M200=0,"x",F44/'AW Schüler'!$M200)</f>
        <v>0</v>
      </c>
      <c r="L44" s="156">
        <f>IF('AW Schüler'!$P200=0,"x",G44/'AW Schüler'!$P200)</f>
        <v>0</v>
      </c>
    </row>
    <row r="45" spans="1:12" ht="9" customHeight="1">
      <c r="A45" s="21" t="s">
        <v>95</v>
      </c>
      <c r="B45" s="120"/>
      <c r="C45" s="23">
        <f>'3.2.9'!C45+'3.3.10'!C45</f>
        <v>8070</v>
      </c>
      <c r="D45" s="23">
        <f>'3.2.9'!D45+'3.3.10'!D45</f>
        <v>7599</v>
      </c>
      <c r="E45" s="23">
        <f>'3.2.9'!E45+'3.3.10'!E45</f>
        <v>7309</v>
      </c>
      <c r="F45" s="23">
        <f>'3.2.9'!F45+'3.3.10'!F45</f>
        <v>7062</v>
      </c>
      <c r="G45" s="34">
        <f>'3.2.9'!G45+'3.3.10'!G45</f>
        <v>6754</v>
      </c>
      <c r="H45" s="155">
        <f>IF('AW Schüler'!$D201=0,"x",C45/'AW Schüler'!$D201)</f>
        <v>1</v>
      </c>
      <c r="I45" s="155">
        <f>IF('AW Schüler'!$G201=0,"x",D45/'AW Schüler'!$G201)</f>
        <v>1</v>
      </c>
      <c r="J45" s="155">
        <f>IF('AW Schüler'!$J201=0,"x",E45/'AW Schüler'!$J201)</f>
        <v>1</v>
      </c>
      <c r="K45" s="155">
        <f>IF('AW Schüler'!$M201=0,"x",F45/'AW Schüler'!$M201)</f>
        <v>1</v>
      </c>
      <c r="L45" s="156">
        <f>IF('AW Schüler'!$P201=0,"x",G45/'AW Schüler'!$P201)</f>
        <v>1</v>
      </c>
    </row>
    <row r="46" spans="1:12" ht="9" customHeight="1">
      <c r="A46" s="21" t="s">
        <v>96</v>
      </c>
      <c r="B46" s="120"/>
      <c r="C46" s="23">
        <f>'3.2.9'!C46+'3.3.10'!C46</f>
        <v>113218</v>
      </c>
      <c r="D46" s="23">
        <f>'3.2.9'!D46+'3.3.10'!D46</f>
        <v>113789</v>
      </c>
      <c r="E46" s="23">
        <f>'3.2.9'!E46+'3.3.10'!E46</f>
        <v>117944</v>
      </c>
      <c r="F46" s="23">
        <f>'3.2.9'!F46+'3.3.10'!F46</f>
        <v>117594</v>
      </c>
      <c r="G46" s="34">
        <f>'3.2.9'!G46+'3.3.10'!G46</f>
        <v>121186</v>
      </c>
      <c r="H46" s="155">
        <f>IF('AW Schüler'!$D202=0,"x",C46/'AW Schüler'!$D202)</f>
        <v>0.32787160596793624</v>
      </c>
      <c r="I46" s="155">
        <f>IF('AW Schüler'!$G202=0,"x",D46/'AW Schüler'!$G202)</f>
        <v>0.34081215780709007</v>
      </c>
      <c r="J46" s="155">
        <f>IF('AW Schüler'!$J202=0,"x",E46/'AW Schüler'!$J202)</f>
        <v>0.36250084521240955</v>
      </c>
      <c r="K46" s="155">
        <f>IF('AW Schüler'!$M202=0,"x",F46/'AW Schüler'!$M202)</f>
        <v>0.37576330816400222</v>
      </c>
      <c r="L46" s="156">
        <f>IF('AW Schüler'!$P202=0,"x",G46/'AW Schüler'!$P202)</f>
        <v>0.39279660055555377</v>
      </c>
    </row>
    <row r="47" spans="1:12" ht="12.75" customHeight="1">
      <c r="A47" s="391" t="s">
        <v>100</v>
      </c>
      <c r="B47" s="392"/>
      <c r="C47" s="392"/>
      <c r="D47" s="392"/>
      <c r="E47" s="392"/>
      <c r="F47" s="392"/>
      <c r="G47" s="392"/>
      <c r="H47" s="392"/>
      <c r="I47" s="392"/>
      <c r="J47" s="392"/>
      <c r="K47" s="392"/>
      <c r="L47" s="393"/>
    </row>
    <row r="48" spans="1:12" ht="9" customHeight="1">
      <c r="A48" s="21" t="s">
        <v>172</v>
      </c>
      <c r="B48" s="120"/>
      <c r="C48" s="23">
        <f>'3.2.9'!C48+'3.3.10'!C48</f>
        <v>450</v>
      </c>
      <c r="D48" s="23">
        <f>'3.2.9'!D48+'3.3.10'!D48</f>
        <v>552</v>
      </c>
      <c r="E48" s="23">
        <f>'3.2.9'!E48+'3.3.10'!E48</f>
        <v>728</v>
      </c>
      <c r="F48" s="23">
        <f>'3.2.9'!F48+'3.3.10'!F48</f>
        <v>688</v>
      </c>
      <c r="G48" s="34">
        <f>'3.2.9'!G48+'3.3.10'!G48</f>
        <v>911</v>
      </c>
      <c r="H48" s="155">
        <f>IF('AW Schüler'!$D186=0,"x",C48/'AW Schüler'!$D186)</f>
        <v>8.6330935251798559E-3</v>
      </c>
      <c r="I48" s="155">
        <f>IF('AW Schüler'!$G186=0,"x",D48/'AW Schüler'!$G186)</f>
        <v>1.0579576816927323E-2</v>
      </c>
      <c r="J48" s="155">
        <f>IF('AW Schüler'!$J186=0,"x",E48/'AW Schüler'!$J186)</f>
        <v>1.3868780004572125E-2</v>
      </c>
      <c r="K48" s="155">
        <f>IF('AW Schüler'!$M186=0,"x",F48/'AW Schüler'!$M186)</f>
        <v>1.3990849008642604E-2</v>
      </c>
      <c r="L48" s="156">
        <f>IF('AW Schüler'!$P186=0,"x",G48/'AW Schüler'!$P186)</f>
        <v>1.846409534040009E-2</v>
      </c>
    </row>
    <row r="49" spans="1:12" ht="9" customHeight="1">
      <c r="A49" s="21" t="s">
        <v>81</v>
      </c>
      <c r="B49" s="120"/>
      <c r="C49" s="23">
        <f>'3.2.9'!C49+'3.3.10'!C49</f>
        <v>12447</v>
      </c>
      <c r="D49" s="23">
        <f>'3.2.9'!D49+'3.3.10'!D49</f>
        <v>12294</v>
      </c>
      <c r="E49" s="23">
        <f>'3.2.9'!E49+'3.3.10'!E49</f>
        <v>14141</v>
      </c>
      <c r="F49" s="23">
        <f>'3.2.9'!F49+'3.3.10'!F49</f>
        <v>14566</v>
      </c>
      <c r="G49" s="34">
        <f>'3.2.9'!G49+'3.3.10'!G49</f>
        <v>16560</v>
      </c>
      <c r="H49" s="155">
        <f>IF('AW Schüler'!$D187=0,"x",C49/'AW Schüler'!$D187)</f>
        <v>0.22531769305962854</v>
      </c>
      <c r="I49" s="155">
        <f>IF('AW Schüler'!$G187=0,"x",D49/'AW Schüler'!$G187)</f>
        <v>0.22610486822503817</v>
      </c>
      <c r="J49" s="155">
        <f>IF('AW Schüler'!$J187=0,"x",E49/'AW Schüler'!$J187)</f>
        <v>0.2607356872868074</v>
      </c>
      <c r="K49" s="155">
        <f>IF('AW Schüler'!$M187=0,"x",F49/'AW Schüler'!$M187)</f>
        <v>0.26934669649956544</v>
      </c>
      <c r="L49" s="156">
        <f>IF('AW Schüler'!$P187=0,"x",G49/'AW Schüler'!$P187)</f>
        <v>0.30397033719414818</v>
      </c>
    </row>
    <row r="50" spans="1:12" ht="9" customHeight="1">
      <c r="A50" s="21" t="s">
        <v>82</v>
      </c>
      <c r="B50" s="120"/>
      <c r="C50" s="23">
        <f>'3.2.9'!C50+'3.3.10'!C50</f>
        <v>1386</v>
      </c>
      <c r="D50" s="23">
        <f>'3.2.9'!D50+'3.3.10'!D50</f>
        <v>1059</v>
      </c>
      <c r="E50" s="23">
        <f>'3.2.9'!E50+'3.3.10'!E50</f>
        <v>853</v>
      </c>
      <c r="F50" s="23">
        <f>'3.2.9'!F50+'3.3.10'!F50</f>
        <v>1205</v>
      </c>
      <c r="G50" s="34">
        <f>'3.2.9'!G50+'3.3.10'!G50</f>
        <v>665</v>
      </c>
      <c r="H50" s="155">
        <f>IF('AW Schüler'!$D188=0,"x",C50/'AW Schüler'!$D188)</f>
        <v>0.13502191914271797</v>
      </c>
      <c r="I50" s="155">
        <f>IF('AW Schüler'!$G188=0,"x",D50/'AW Schüler'!$G188)</f>
        <v>0.112241653418124</v>
      </c>
      <c r="J50" s="155">
        <f>IF('AW Schüler'!$J188=0,"x",E50/'AW Schüler'!$J188)</f>
        <v>9.4851551206493939E-2</v>
      </c>
      <c r="K50" s="155">
        <f>IF('AW Schüler'!$M188=0,"x",F50/'AW Schüler'!$M188)</f>
        <v>0.14164805454331728</v>
      </c>
      <c r="L50" s="156">
        <f>IF('AW Schüler'!$P188=0,"x",G50/'AW Schüler'!$P188)</f>
        <v>8.1107452128308333E-2</v>
      </c>
    </row>
    <row r="51" spans="1:12" ht="9" customHeight="1">
      <c r="A51" s="21" t="s">
        <v>83</v>
      </c>
      <c r="B51" s="120"/>
      <c r="C51" s="23">
        <f>'3.2.9'!C51+'3.3.10'!C51</f>
        <v>297</v>
      </c>
      <c r="D51" s="23">
        <f>'3.2.9'!D51+'3.3.10'!D51</f>
        <v>370</v>
      </c>
      <c r="E51" s="23">
        <f>'3.2.9'!E51+'3.3.10'!E51</f>
        <v>367</v>
      </c>
      <c r="F51" s="23">
        <f>'3.2.9'!F51+'3.3.10'!F51</f>
        <v>344</v>
      </c>
      <c r="G51" s="34">
        <f>'3.2.9'!G51+'3.3.10'!G51</f>
        <v>332</v>
      </c>
      <c r="H51" s="155">
        <f>IF('AW Schüler'!$D189=0,"x",C51/'AW Schüler'!$D189)</f>
        <v>3.1639501438159155E-2</v>
      </c>
      <c r="I51" s="155">
        <f>IF('AW Schüler'!$G189=0,"x",D51/'AW Schüler'!$G189)</f>
        <v>4.0730955526199909E-2</v>
      </c>
      <c r="J51" s="155">
        <f>IF('AW Schüler'!$J189=0,"x",E51/'AW Schüler'!$J189)</f>
        <v>4.1861526177711876E-2</v>
      </c>
      <c r="K51" s="155">
        <f>IF('AW Schüler'!$M189=0,"x",F51/'AW Schüler'!$M189)</f>
        <v>4.0027926460321155E-2</v>
      </c>
      <c r="L51" s="156">
        <f>IF('AW Schüler'!$P189=0,"x",G51/'AW Schüler'!$P189)</f>
        <v>3.8663095376732272E-2</v>
      </c>
    </row>
    <row r="52" spans="1:12" ht="9" customHeight="1">
      <c r="A52" s="21" t="s">
        <v>84</v>
      </c>
      <c r="B52" s="120"/>
      <c r="C52" s="23">
        <f>'3.2.9'!C52+'3.3.10'!C52</f>
        <v>45</v>
      </c>
      <c r="D52" s="23">
        <f>'3.2.9'!D52+'3.3.10'!D52</f>
        <v>0</v>
      </c>
      <c r="E52" s="23">
        <f>'3.2.9'!E52+'3.3.10'!E52</f>
        <v>0</v>
      </c>
      <c r="F52" s="23">
        <f>'3.2.9'!F52+'3.3.10'!F52</f>
        <v>0</v>
      </c>
      <c r="G52" s="34">
        <f>'3.2.9'!G52+'3.3.10'!G52</f>
        <v>0</v>
      </c>
      <c r="H52" s="155">
        <f>IF('AW Schüler'!$D190=0,"x",C52/'AW Schüler'!$D190)</f>
        <v>3.6644951140065149E-2</v>
      </c>
      <c r="I52" s="155">
        <f>IF('AW Schüler'!$G190=0,"x",D52/'AW Schüler'!$G190)</f>
        <v>0</v>
      </c>
      <c r="J52" s="155">
        <f>IF('AW Schüler'!$J190=0,"x",E52/'AW Schüler'!$J190)</f>
        <v>0</v>
      </c>
      <c r="K52" s="155">
        <f>IF('AW Schüler'!$M190=0,"x",F52/'AW Schüler'!$M190)</f>
        <v>0</v>
      </c>
      <c r="L52" s="156">
        <f>IF('AW Schüler'!$P190=0,"x",G52/'AW Schüler'!$P190)</f>
        <v>0</v>
      </c>
    </row>
    <row r="53" spans="1:12" ht="9" customHeight="1">
      <c r="A53" s="21" t="s">
        <v>85</v>
      </c>
      <c r="B53" s="120"/>
      <c r="C53" s="23">
        <f>'3.2.9'!C53+'3.3.10'!C53</f>
        <v>245</v>
      </c>
      <c r="D53" s="23">
        <f>'3.2.9'!D53+'3.3.10'!D53</f>
        <v>1199</v>
      </c>
      <c r="E53" s="23">
        <f>'3.2.9'!E53+'3.3.10'!E53</f>
        <v>1123</v>
      </c>
      <c r="F53" s="23">
        <f>'3.2.9'!F53+'3.3.10'!F53</f>
        <v>1139</v>
      </c>
      <c r="G53" s="34">
        <f>'3.2.9'!G53+'3.3.10'!G53</f>
        <v>660</v>
      </c>
      <c r="H53" s="155">
        <f>IF('AW Schüler'!$D191=0,"x",C53/'AW Schüler'!$D191)</f>
        <v>4.4279775890113865E-2</v>
      </c>
      <c r="I53" s="155">
        <f>IF('AW Schüler'!$G191=0,"x",D53/'AW Schüler'!$G191)</f>
        <v>0.22925430210325048</v>
      </c>
      <c r="J53" s="155">
        <f>IF('AW Schüler'!$J191=0,"x",E53/'AW Schüler'!$J191)</f>
        <v>0.22654831551341537</v>
      </c>
      <c r="K53" s="155">
        <f>IF('AW Schüler'!$M191=0,"x",F53/'AW Schüler'!$M191)</f>
        <v>0.23953732912723449</v>
      </c>
      <c r="L53" s="156">
        <f>IF('AW Schüler'!$P191=0,"x",G53/'AW Schüler'!$P191)</f>
        <v>0.14196601419660143</v>
      </c>
    </row>
    <row r="54" spans="1:12" ht="9" customHeight="1">
      <c r="A54" s="21" t="s">
        <v>114</v>
      </c>
      <c r="B54" s="120"/>
      <c r="C54" s="23">
        <f>'3.2.9'!C54+'3.3.10'!C54</f>
        <v>3670</v>
      </c>
      <c r="D54" s="23">
        <f>'3.2.9'!D54+'3.3.10'!D54</f>
        <v>3884</v>
      </c>
      <c r="E54" s="23">
        <f>'3.2.9'!E54+'3.3.10'!E54</f>
        <v>4232</v>
      </c>
      <c r="F54" s="23">
        <f>'3.2.9'!F54+'3.3.10'!F54</f>
        <v>4118</v>
      </c>
      <c r="G54" s="34">
        <f>'3.2.9'!G54+'3.3.10'!G54</f>
        <v>3812</v>
      </c>
      <c r="H54" s="183">
        <v>0</v>
      </c>
      <c r="I54" s="183">
        <v>0</v>
      </c>
      <c r="J54" s="183">
        <v>0</v>
      </c>
      <c r="K54" s="183">
        <v>0</v>
      </c>
      <c r="L54" s="197">
        <v>0</v>
      </c>
    </row>
    <row r="55" spans="1:12" ht="9" customHeight="1">
      <c r="A55" s="21" t="s">
        <v>174</v>
      </c>
      <c r="B55" s="120"/>
      <c r="C55" s="23">
        <f>'3.2.9'!C55+'3.3.10'!C55</f>
        <v>497</v>
      </c>
      <c r="D55" s="23">
        <f>'3.2.9'!D55+'3.3.10'!D55</f>
        <v>618</v>
      </c>
      <c r="E55" s="23">
        <f>'3.2.9'!E55+'3.3.10'!E55</f>
        <v>605</v>
      </c>
      <c r="F55" s="23">
        <f>'3.2.9'!F55+'3.3.10'!F55</f>
        <v>605</v>
      </c>
      <c r="G55" s="34">
        <f>'3.2.9'!G55+'3.3.10'!G55</f>
        <v>201</v>
      </c>
      <c r="H55" s="155">
        <f>IF('AW Schüler'!$D193=0,"x",C55/'AW Schüler'!$D193)</f>
        <v>5.7423454650491049E-2</v>
      </c>
      <c r="I55" s="155">
        <f>IF('AW Schüler'!$G193=0,"x",D55/'AW Schüler'!$G193)</f>
        <v>7.4936340487449987E-2</v>
      </c>
      <c r="J55" s="155">
        <f>IF('AW Schüler'!$J193=0,"x",E55/'AW Schüler'!$J193)</f>
        <v>7.1151358344113846E-2</v>
      </c>
      <c r="K55" s="155">
        <f>IF('AW Schüler'!$M193=0,"x",F55/'AW Schüler'!$M193)</f>
        <v>7.3493683187560735E-2</v>
      </c>
      <c r="L55" s="156">
        <f>IF('AW Schüler'!$P193=0,"x",G55/'AW Schüler'!$P193)</f>
        <v>2.4599192265328602E-2</v>
      </c>
    </row>
    <row r="56" spans="1:12" ht="9" customHeight="1">
      <c r="A56" s="21" t="s">
        <v>88</v>
      </c>
      <c r="B56" s="120"/>
      <c r="C56" s="23">
        <f>'3.2.9'!C56+'3.3.10'!C56</f>
        <v>5730</v>
      </c>
      <c r="D56" s="23">
        <f>'3.2.9'!D56+'3.3.10'!D56</f>
        <v>5424</v>
      </c>
      <c r="E56" s="23">
        <f>'3.2.9'!E56+'3.3.10'!E56</f>
        <v>4972</v>
      </c>
      <c r="F56" s="23">
        <f>'3.2.9'!F56+'3.3.10'!F56</f>
        <v>3726</v>
      </c>
      <c r="G56" s="34">
        <f>'3.2.9'!G56+'3.3.10'!G56</f>
        <v>3567</v>
      </c>
      <c r="H56" s="183">
        <v>0</v>
      </c>
      <c r="I56" s="183">
        <v>0</v>
      </c>
      <c r="J56" s="183">
        <v>0</v>
      </c>
      <c r="K56" s="183">
        <v>0</v>
      </c>
      <c r="L56" s="197">
        <v>0</v>
      </c>
    </row>
    <row r="57" spans="1:12" ht="9" customHeight="1">
      <c r="A57" s="21" t="s">
        <v>89</v>
      </c>
      <c r="B57" s="120"/>
      <c r="C57" s="23">
        <f>'3.2.9'!C57+'3.3.10'!C57</f>
        <v>7944</v>
      </c>
      <c r="D57" s="23">
        <f>'3.2.9'!D57+'3.3.10'!D57</f>
        <v>7514</v>
      </c>
      <c r="E57" s="23">
        <f>'3.2.9'!E57+'3.3.10'!E57</f>
        <v>7253</v>
      </c>
      <c r="F57" s="23">
        <f>'3.2.9'!F57+'3.3.10'!F57</f>
        <v>6893</v>
      </c>
      <c r="G57" s="34">
        <f>'3.2.9'!G57+'3.3.10'!G57</f>
        <v>7031</v>
      </c>
      <c r="H57" s="155">
        <f>IF('AW Schüler'!$D195=0,"x",C57/'AW Schüler'!$D195)</f>
        <v>8.8060214386272179E-2</v>
      </c>
      <c r="I57" s="155">
        <f>IF('AW Schüler'!$G195=0,"x",D57/'AW Schüler'!$G195)</f>
        <v>8.7192638406999548E-2</v>
      </c>
      <c r="J57" s="155">
        <f>IF('AW Schüler'!$J195=0,"x",E57/'AW Schüler'!$J195)</f>
        <v>8.8157718814191779E-2</v>
      </c>
      <c r="K57" s="155">
        <f>IF('AW Schüler'!$M195=0,"x",F57/'AW Schüler'!$M195)</f>
        <v>8.789961616444994E-2</v>
      </c>
      <c r="L57" s="156">
        <f>IF('AW Schüler'!$P195=0,"x",G57/'AW Schüler'!$P195)</f>
        <v>9.103032186229576E-2</v>
      </c>
    </row>
    <row r="58" spans="1:12" ht="9" customHeight="1">
      <c r="A58" s="21" t="s">
        <v>90</v>
      </c>
      <c r="B58" s="120"/>
      <c r="C58" s="23">
        <f>'3.2.9'!C58+'3.3.10'!C58</f>
        <v>0</v>
      </c>
      <c r="D58" s="23">
        <f>'3.2.9'!D58+'3.3.10'!D58</f>
        <v>0</v>
      </c>
      <c r="E58" s="23">
        <f>'3.2.9'!E58+'3.3.10'!E58</f>
        <v>0</v>
      </c>
      <c r="F58" s="23">
        <f>'3.2.9'!F58+'3.3.10'!F58</f>
        <v>0</v>
      </c>
      <c r="G58" s="34">
        <f>'3.2.9'!G58+'3.3.10'!G58</f>
        <v>0</v>
      </c>
      <c r="H58" s="155">
        <f>IF('AW Schüler'!$D196=0,"x",C58/'AW Schüler'!$D196)</f>
        <v>0</v>
      </c>
      <c r="I58" s="155">
        <f>IF('AW Schüler'!$G196=0,"x",D58/'AW Schüler'!$G196)</f>
        <v>0</v>
      </c>
      <c r="J58" s="155">
        <f>IF('AW Schüler'!$J196=0,"x",E58/'AW Schüler'!$J196)</f>
        <v>0</v>
      </c>
      <c r="K58" s="155">
        <f>IF('AW Schüler'!$M196=0,"x",F58/'AW Schüler'!$M196)</f>
        <v>0</v>
      </c>
      <c r="L58" s="156">
        <f>IF('AW Schüler'!$P196=0,"x",G58/'AW Schüler'!$P196)</f>
        <v>0</v>
      </c>
    </row>
    <row r="59" spans="1:12" ht="9" customHeight="1">
      <c r="A59" s="21" t="s">
        <v>91</v>
      </c>
      <c r="B59" s="120"/>
      <c r="C59" s="23">
        <f>'3.2.9'!C59+'3.3.10'!C59</f>
        <v>304</v>
      </c>
      <c r="D59" s="23">
        <f>'3.2.9'!D59+'3.3.10'!D59</f>
        <v>292</v>
      </c>
      <c r="E59" s="23">
        <f>'3.2.9'!E59+'3.3.10'!E59</f>
        <v>324</v>
      </c>
      <c r="F59" s="23">
        <f>'3.2.9'!F59+'3.3.10'!F59</f>
        <v>310</v>
      </c>
      <c r="G59" s="34">
        <f>'3.2.9'!G59+'3.3.10'!G59</f>
        <v>246</v>
      </c>
      <c r="H59" s="155">
        <f>IF('AW Schüler'!$D197=0,"x",C59/'AW Schüler'!$D197)</f>
        <v>8.1852450188476034E-2</v>
      </c>
      <c r="I59" s="155">
        <f>IF('AW Schüler'!$G197=0,"x",D59/'AW Schüler'!$G197)</f>
        <v>8.1541468863445959E-2</v>
      </c>
      <c r="J59" s="155">
        <f>IF('AW Schüler'!$J197=0,"x",E59/'AW Schüler'!$J197)</f>
        <v>9.1914893617021279E-2</v>
      </c>
      <c r="K59" s="155">
        <f>IF('AW Schüler'!$M197=0,"x",F59/'AW Schüler'!$M197)</f>
        <v>8.862206975414523E-2</v>
      </c>
      <c r="L59" s="156">
        <f>IF('AW Schüler'!$P197=0,"x",G59/'AW Schüler'!$P197)</f>
        <v>7.32360821673117E-2</v>
      </c>
    </row>
    <row r="60" spans="1:12" ht="9" customHeight="1">
      <c r="A60" s="21" t="s">
        <v>92</v>
      </c>
      <c r="B60" s="120"/>
      <c r="C60" s="23">
        <f>'3.2.9'!C60+'3.3.10'!C60</f>
        <v>11441</v>
      </c>
      <c r="D60" s="23">
        <f>'3.2.9'!D60+'3.3.10'!D60</f>
        <v>12031</v>
      </c>
      <c r="E60" s="23">
        <f>'3.2.9'!E60+'3.3.10'!E60</f>
        <v>10878</v>
      </c>
      <c r="F60" s="23">
        <f>'3.2.9'!F60+'3.3.10'!F60</f>
        <v>10999</v>
      </c>
      <c r="G60" s="34">
        <f>'3.2.9'!G60+'3.3.10'!G60</f>
        <v>10604</v>
      </c>
      <c r="H60" s="155">
        <f>IF('AW Schüler'!$D198=0,"x",C60/'AW Schüler'!$D198)</f>
        <v>0.60381042854127087</v>
      </c>
      <c r="I60" s="155">
        <f>IF('AW Schüler'!$G198=0,"x",D60/'AW Schüler'!$G198)</f>
        <v>0.64853646703681744</v>
      </c>
      <c r="J60" s="155">
        <f>IF('AW Schüler'!$J198=0,"x",E60/'AW Schüler'!$J198)</f>
        <v>0.58149355856096652</v>
      </c>
      <c r="K60" s="155">
        <f>IF('AW Schüler'!$M198=0,"x",F60/'AW Schüler'!$M198)</f>
        <v>0.58676980528140843</v>
      </c>
      <c r="L60" s="156">
        <f>IF('AW Schüler'!$P198=0,"x",G60/'AW Schüler'!$P198)</f>
        <v>0.5677267373380448</v>
      </c>
    </row>
    <row r="61" spans="1:12" ht="9" customHeight="1">
      <c r="A61" s="21" t="s">
        <v>93</v>
      </c>
      <c r="B61" s="120"/>
      <c r="C61" s="23">
        <f>'3.2.9'!C61+'3.3.10'!C61</f>
        <v>7512</v>
      </c>
      <c r="D61" s="23">
        <f>'3.2.9'!D61+'3.3.10'!D61</f>
        <v>7157</v>
      </c>
      <c r="E61" s="23">
        <f>'3.2.9'!E61+'3.3.10'!E61</f>
        <v>6783</v>
      </c>
      <c r="F61" s="23">
        <f>'3.2.9'!F61+'3.3.10'!F61</f>
        <v>6595</v>
      </c>
      <c r="G61" s="34">
        <f>'3.2.9'!G61+'3.3.10'!G61</f>
        <v>6440</v>
      </c>
      <c r="H61" s="183">
        <v>0</v>
      </c>
      <c r="I61" s="183">
        <v>0</v>
      </c>
      <c r="J61" s="183">
        <v>0</v>
      </c>
      <c r="K61" s="183">
        <v>0</v>
      </c>
      <c r="L61" s="197">
        <v>0</v>
      </c>
    </row>
    <row r="62" spans="1:12" ht="9" customHeight="1">
      <c r="A62" s="21" t="s">
        <v>94</v>
      </c>
      <c r="B62" s="120"/>
      <c r="C62" s="23">
        <f>'3.2.9'!C62+'3.3.10'!C62</f>
        <v>1635</v>
      </c>
      <c r="D62" s="23">
        <f>'3.2.9'!D62+'3.3.10'!D62</f>
        <v>1547</v>
      </c>
      <c r="E62" s="23">
        <f>'3.2.9'!E62+'3.3.10'!E62</f>
        <v>1368</v>
      </c>
      <c r="F62" s="23">
        <f>'3.2.9'!F62+'3.3.10'!F62</f>
        <v>1391</v>
      </c>
      <c r="G62" s="34">
        <f>'3.2.9'!G62+'3.3.10'!G62</f>
        <v>1367</v>
      </c>
      <c r="H62" s="155">
        <f>IF('AW Schüler'!$D200=0,"x",C62/'AW Schüler'!$D200)</f>
        <v>0.23420713364847442</v>
      </c>
      <c r="I62" s="155">
        <f>IF('AW Schüler'!$G200=0,"x",D62/'AW Schüler'!$G200)</f>
        <v>0.24190774042220484</v>
      </c>
      <c r="J62" s="155">
        <f>IF('AW Schüler'!$J200=0,"x",E62/'AW Schüler'!$J200)</f>
        <v>0.23061362103843561</v>
      </c>
      <c r="K62" s="155">
        <f>IF('AW Schüler'!$M200=0,"x",F62/'AW Schüler'!$M200)</f>
        <v>0.24663120567375887</v>
      </c>
      <c r="L62" s="156">
        <f>IF('AW Schüler'!$P200=0,"x",G62/'AW Schüler'!$P200)</f>
        <v>0.25114826382509647</v>
      </c>
    </row>
    <row r="63" spans="1:12" ht="9" customHeight="1">
      <c r="A63" s="21" t="s">
        <v>95</v>
      </c>
      <c r="B63" s="120"/>
      <c r="C63" s="23">
        <f>'3.2.9'!C63+'3.3.10'!C63</f>
        <v>0</v>
      </c>
      <c r="D63" s="23">
        <f>'3.2.9'!D63+'3.3.10'!D63</f>
        <v>0</v>
      </c>
      <c r="E63" s="23">
        <f>'3.2.9'!E63+'3.3.10'!E63</f>
        <v>0</v>
      </c>
      <c r="F63" s="23">
        <f>'3.2.9'!F63+'3.3.10'!F63</f>
        <v>0</v>
      </c>
      <c r="G63" s="34">
        <f>'3.2.9'!G63+'3.3.10'!G63</f>
        <v>0</v>
      </c>
      <c r="H63" s="155">
        <f>IF('AW Schüler'!$D201=0,"x",C63/'AW Schüler'!$D201)</f>
        <v>0</v>
      </c>
      <c r="I63" s="155">
        <f>IF('AW Schüler'!$G201=0,"x",D63/'AW Schüler'!$G201)</f>
        <v>0</v>
      </c>
      <c r="J63" s="155">
        <f>IF('AW Schüler'!$J201=0,"x",E63/'AW Schüler'!$J201)</f>
        <v>0</v>
      </c>
      <c r="K63" s="155">
        <f>IF('AW Schüler'!$M201=0,"x",F63/'AW Schüler'!$M201)</f>
        <v>0</v>
      </c>
      <c r="L63" s="156">
        <f>IF('AW Schüler'!$P201=0,"x",G63/'AW Schüler'!$P201)</f>
        <v>0</v>
      </c>
    </row>
    <row r="64" spans="1:12" ht="8.65" customHeight="1">
      <c r="A64" s="24" t="s">
        <v>96</v>
      </c>
      <c r="B64" s="121"/>
      <c r="C64" s="26">
        <f>'3.2.9'!C64+'3.3.10'!C64</f>
        <v>53603</v>
      </c>
      <c r="D64" s="26">
        <f>'3.2.9'!D64+'3.3.10'!D64</f>
        <v>53941</v>
      </c>
      <c r="E64" s="26">
        <f>'3.2.9'!E64+'3.3.10'!E64</f>
        <v>53627</v>
      </c>
      <c r="F64" s="26">
        <f>'3.2.9'!F64+'3.3.10'!F64</f>
        <v>52579</v>
      </c>
      <c r="G64" s="47">
        <f>'3.2.9'!G64+'3.3.10'!G64</f>
        <v>52396</v>
      </c>
      <c r="H64" s="157">
        <f>IF('AW Schüler'!$D202=0,"x",C64/'AW Schüler'!$D202)</f>
        <v>0.15523063200815496</v>
      </c>
      <c r="I64" s="157">
        <f>IF('AW Schüler'!$G202=0,"x",D64/'AW Schüler'!$G202)</f>
        <v>0.16155998035198696</v>
      </c>
      <c r="J64" s="157">
        <f>IF('AW Schüler'!$J202=0,"x",E64/'AW Schüler'!$J202)</f>
        <v>0.16482256686398536</v>
      </c>
      <c r="K64" s="157">
        <f>IF('AW Schüler'!$M202=0,"x",F64/'AW Schüler'!$M202)</f>
        <v>0.16801247495582319</v>
      </c>
      <c r="L64" s="158">
        <f>IF('AW Schüler'!$P202=0,"x",G64/'AW Schüler'!$P202)</f>
        <v>0.16982960641252945</v>
      </c>
    </row>
    <row r="65" spans="1:12" ht="18.75" customHeight="1">
      <c r="A65" s="396" t="s">
        <v>312</v>
      </c>
      <c r="B65" s="396"/>
      <c r="C65" s="396"/>
      <c r="D65" s="396"/>
      <c r="E65" s="396"/>
      <c r="F65" s="396"/>
      <c r="G65" s="396"/>
      <c r="H65" s="396"/>
      <c r="I65" s="396"/>
      <c r="J65" s="396"/>
      <c r="K65" s="396"/>
      <c r="L65" s="396"/>
    </row>
    <row r="66" spans="1:12" ht="18.600000000000001" customHeight="1">
      <c r="A66" s="381" t="s">
        <v>208</v>
      </c>
      <c r="B66" s="381"/>
      <c r="C66" s="381"/>
      <c r="D66" s="381"/>
      <c r="E66" s="381"/>
      <c r="F66" s="381"/>
      <c r="G66" s="381"/>
      <c r="H66" s="381"/>
      <c r="I66" s="381"/>
      <c r="J66" s="395"/>
      <c r="K66" s="395"/>
      <c r="L66" s="395"/>
    </row>
    <row r="67" spans="1:12" ht="10.15" customHeight="1">
      <c r="A67" s="399" t="s">
        <v>301</v>
      </c>
      <c r="B67" s="399"/>
      <c r="C67" s="399"/>
      <c r="D67" s="399"/>
      <c r="E67" s="399"/>
      <c r="F67" s="399"/>
      <c r="G67" s="399"/>
      <c r="H67" s="399"/>
      <c r="I67" s="399"/>
      <c r="J67" s="257"/>
      <c r="K67" s="325"/>
      <c r="L67" s="350"/>
    </row>
    <row r="68" spans="1:12" ht="10.15" customHeight="1">
      <c r="A68" s="306" t="s">
        <v>227</v>
      </c>
    </row>
    <row r="69" spans="1:12" ht="10.15" customHeight="1">
      <c r="A69" s="214"/>
    </row>
    <row r="84" spans="1:1" ht="10.5" customHeight="1"/>
    <row r="85" spans="1:1" ht="10.15" customHeight="1">
      <c r="A85" s="214"/>
    </row>
  </sheetData>
  <mergeCells count="9">
    <mergeCell ref="A1:L1"/>
    <mergeCell ref="A67:I67"/>
    <mergeCell ref="C9:G9"/>
    <mergeCell ref="H9:L9"/>
    <mergeCell ref="A11:L11"/>
    <mergeCell ref="A29:L29"/>
    <mergeCell ref="A47:L47"/>
    <mergeCell ref="A66:L66"/>
    <mergeCell ref="A65:L65"/>
  </mergeCells>
  <phoneticPr fontId="18" type="noConversion"/>
  <conditionalFormatting sqref="N25">
    <cfRule type="cellIs" dxfId="24"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M84"/>
  <sheetViews>
    <sheetView view="pageBreakPreview"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28515625" style="2" customWidth="1"/>
    <col min="3" max="12" width="6.7109375" style="2" customWidth="1"/>
    <col min="13" max="16384" width="11.42578125" style="2"/>
  </cols>
  <sheetData>
    <row r="1" spans="1:13" ht="12.75" customHeight="1">
      <c r="A1" s="383">
        <f>'1_1 '!A1:E1+1</f>
        <v>2</v>
      </c>
      <c r="B1" s="383"/>
      <c r="C1" s="383"/>
      <c r="D1" s="383"/>
      <c r="E1" s="383"/>
      <c r="F1" s="383"/>
      <c r="G1" s="383"/>
      <c r="H1" s="383"/>
      <c r="I1" s="383"/>
      <c r="J1" s="383"/>
      <c r="K1" s="383"/>
      <c r="L1" s="383"/>
      <c r="M1" s="58" t="s">
        <v>108</v>
      </c>
    </row>
    <row r="2" spans="1:13" ht="12" customHeight="1"/>
    <row r="3" spans="1:13" s="1" customFormat="1" ht="12.6" customHeight="1">
      <c r="A3" s="11">
        <v>1</v>
      </c>
      <c r="B3" s="12" t="s">
        <v>263</v>
      </c>
      <c r="C3" s="14"/>
      <c r="D3" s="14"/>
      <c r="E3" s="14"/>
      <c r="F3" s="14"/>
      <c r="G3" s="14"/>
    </row>
    <row r="4" spans="1:13" s="1" customFormat="1" ht="12.6" customHeight="1">
      <c r="A4" s="13" t="s">
        <v>2</v>
      </c>
      <c r="B4" s="12" t="s">
        <v>3</v>
      </c>
      <c r="C4" s="14"/>
      <c r="D4" s="14"/>
      <c r="E4" s="14"/>
      <c r="F4" s="14"/>
      <c r="G4" s="14"/>
    </row>
    <row r="5" spans="1:13" s="1" customFormat="1" ht="12.6" customHeight="1">
      <c r="A5" s="13"/>
      <c r="B5" s="12"/>
      <c r="C5" s="14"/>
      <c r="D5" s="14"/>
      <c r="E5" s="14"/>
      <c r="F5" s="14"/>
      <c r="G5" s="14"/>
    </row>
    <row r="6" spans="1:13" ht="13.5">
      <c r="A6" s="15"/>
      <c r="B6" s="12"/>
    </row>
    <row r="9" spans="1:13" ht="10.15" customHeight="1">
      <c r="A9" s="118" t="s">
        <v>77</v>
      </c>
      <c r="B9" s="119"/>
      <c r="C9" s="375" t="s">
        <v>78</v>
      </c>
      <c r="D9" s="375"/>
      <c r="E9" s="375"/>
      <c r="F9" s="375"/>
      <c r="G9" s="376"/>
      <c r="H9" s="377" t="s">
        <v>138</v>
      </c>
      <c r="I9" s="375"/>
      <c r="J9" s="375"/>
      <c r="K9" s="375"/>
      <c r="L9" s="376"/>
    </row>
    <row r="10" spans="1:13" ht="10.15" customHeight="1">
      <c r="A10" s="115"/>
      <c r="B10" s="18"/>
      <c r="C10" s="19">
        <v>2012</v>
      </c>
      <c r="D10" s="19">
        <v>2013</v>
      </c>
      <c r="E10" s="19">
        <v>2014</v>
      </c>
      <c r="F10" s="19">
        <v>2015</v>
      </c>
      <c r="G10" s="20">
        <v>2016</v>
      </c>
      <c r="H10" s="18">
        <v>2012</v>
      </c>
      <c r="I10" s="18">
        <v>2013</v>
      </c>
      <c r="J10" s="19">
        <v>2014</v>
      </c>
      <c r="K10" s="19">
        <v>2015</v>
      </c>
      <c r="L10" s="20">
        <v>2016</v>
      </c>
    </row>
    <row r="11" spans="1:13" ht="10.15" customHeight="1">
      <c r="A11" s="378" t="s">
        <v>79</v>
      </c>
      <c r="B11" s="379"/>
      <c r="C11" s="379"/>
      <c r="D11" s="379"/>
      <c r="E11" s="379"/>
      <c r="F11" s="379"/>
      <c r="G11" s="379"/>
      <c r="H11" s="379"/>
      <c r="I11" s="379"/>
      <c r="J11" s="379"/>
      <c r="K11" s="379"/>
      <c r="L11" s="380"/>
    </row>
    <row r="12" spans="1:13" ht="10.15" customHeight="1">
      <c r="A12" s="116" t="s">
        <v>80</v>
      </c>
      <c r="B12" s="22"/>
      <c r="C12" s="23">
        <f>[1]GtS_VE!$E$6</f>
        <v>1058</v>
      </c>
      <c r="D12" s="252">
        <f>[2]GtS_VE!$E$6</f>
        <v>1132</v>
      </c>
      <c r="E12" s="252">
        <f>[3]GtS_VE!$E$6</f>
        <v>1258</v>
      </c>
      <c r="F12" s="252">
        <f>[4]GtS_VE!$E$6</f>
        <v>1349</v>
      </c>
      <c r="G12" s="239">
        <f>[5]GtS_VE!$E$6</f>
        <v>1462</v>
      </c>
      <c r="H12" s="240">
        <f>[1]GtS_VE!$F$6/100</f>
        <v>0.28425577646426653</v>
      </c>
      <c r="I12" s="240">
        <f>[2]GtS_VE!$F$6/100</f>
        <v>0.30586328019454201</v>
      </c>
      <c r="J12" s="240">
        <f>[3]GtS_VE!$F$6/100</f>
        <v>0.3433406113537118</v>
      </c>
      <c r="K12" s="240">
        <f>[4]GtS_VE!$F$6/100</f>
        <v>0.37203530060672918</v>
      </c>
      <c r="L12" s="212">
        <f>[5]GtS_VE!$F$6/100</f>
        <v>0.40644981929385599</v>
      </c>
    </row>
    <row r="13" spans="1:13" ht="10.15" customHeight="1">
      <c r="A13" s="116" t="s">
        <v>81</v>
      </c>
      <c r="B13" s="22"/>
      <c r="C13" s="23">
        <f>[6]GtS_VE!$E$6</f>
        <v>1810</v>
      </c>
      <c r="D13" s="23">
        <f>[7]GtS_VE!$E$6</f>
        <v>1836</v>
      </c>
      <c r="E13" s="23">
        <f>[8]GtS_VE!$E$6</f>
        <v>1834</v>
      </c>
      <c r="F13" s="23">
        <f>[9]GtS_VE!$E$6</f>
        <v>1910</v>
      </c>
      <c r="G13" s="34">
        <f>[10]GtS_VE!$E$6</f>
        <v>2889</v>
      </c>
      <c r="H13" s="29">
        <f>[6]GtS_VE!$F$6/100</f>
        <v>0.45216087934049459</v>
      </c>
      <c r="I13" s="29">
        <f>[7]GtS_VE!$F$6/100</f>
        <v>0.45945945945945943</v>
      </c>
      <c r="J13" s="29">
        <f>[8]GtS_VE!$F$6/100</f>
        <v>0.46091982910278967</v>
      </c>
      <c r="K13" s="29">
        <f>[9]GtS_VE!$F$6/100</f>
        <v>0.48050314465408805</v>
      </c>
      <c r="L13" s="30">
        <f>[10]GtS_VE!$F$6/100</f>
        <v>0.7295454545454545</v>
      </c>
    </row>
    <row r="14" spans="1:13" ht="10.15" customHeight="1">
      <c r="A14" s="116" t="s">
        <v>82</v>
      </c>
      <c r="B14" s="22"/>
      <c r="C14" s="23">
        <f>[11]GtS_VE!$E$6</f>
        <v>564</v>
      </c>
      <c r="D14" s="23">
        <f>[12]GtS_VE!$E$6</f>
        <v>562</v>
      </c>
      <c r="E14" s="23">
        <f>[13]GtS_VE!$E$6</f>
        <v>566</v>
      </c>
      <c r="F14" s="23">
        <f>[14]GtS_VE!$E$6</f>
        <v>573</v>
      </c>
      <c r="G14" s="34">
        <f>[15]GtS_VE!$E$6</f>
        <v>588</v>
      </c>
      <c r="H14" s="29">
        <f>[11]GtS_VE!$F$6/100</f>
        <v>0.87306501547987625</v>
      </c>
      <c r="I14" s="29">
        <f>[12]GtS_VE!$F$6/100</f>
        <v>0.87538940809968846</v>
      </c>
      <c r="J14" s="29">
        <f>[13]GtS_VE!$F$6/100</f>
        <v>0.88714733542319746</v>
      </c>
      <c r="K14" s="29">
        <f>[14]GtS_VE!$F$6/100</f>
        <v>0.90236220472440953</v>
      </c>
      <c r="L14" s="30">
        <f>[15]GtS_VE!$F$6/100</f>
        <v>0.928909952606635</v>
      </c>
    </row>
    <row r="15" spans="1:13" ht="10.15" customHeight="1">
      <c r="A15" s="116" t="s">
        <v>83</v>
      </c>
      <c r="B15" s="22"/>
      <c r="C15" s="23">
        <f>[16]GtS_VE!$E$6</f>
        <v>379</v>
      </c>
      <c r="D15" s="23">
        <f>[17]GtS_VE!$E$6</f>
        <v>380</v>
      </c>
      <c r="E15" s="23">
        <f>[18]GtS_VE!$E$6</f>
        <v>379</v>
      </c>
      <c r="F15" s="23">
        <f>[19]GtS_VE!$E$6</f>
        <v>377</v>
      </c>
      <c r="G15" s="34">
        <f>[20]GtS_VE!$E$6</f>
        <v>379</v>
      </c>
      <c r="H15" s="29">
        <f>[16]GtS_VE!$F$6/100</f>
        <v>0.53081232492997199</v>
      </c>
      <c r="I15" s="29">
        <f>[17]GtS_VE!$F$6/100</f>
        <v>0.5374823196605375</v>
      </c>
      <c r="J15" s="29">
        <f>[18]GtS_VE!$F$6/100</f>
        <v>0.54142857142857148</v>
      </c>
      <c r="K15" s="29">
        <f>[19]GtS_VE!$F$6/100</f>
        <v>0.54088952654232425</v>
      </c>
      <c r="L15" s="30">
        <f>[20]GtS_VE!$F$6/100</f>
        <v>0.54142857142857148</v>
      </c>
    </row>
    <row r="16" spans="1:13" ht="10.15" customHeight="1">
      <c r="A16" s="116" t="s">
        <v>84</v>
      </c>
      <c r="B16" s="22"/>
      <c r="C16" s="23">
        <f>[21]GtS_VE!$E$6</f>
        <v>71</v>
      </c>
      <c r="D16" s="23">
        <f>[22]GtS_VE!$E$6</f>
        <v>70</v>
      </c>
      <c r="E16" s="23">
        <f>[23]GtS_VE!$E$6</f>
        <v>72</v>
      </c>
      <c r="F16" s="23">
        <f>[24]GtS_VE!$E$6</f>
        <v>77</v>
      </c>
      <c r="G16" s="34">
        <f>[25]GtS_VE!$E$6</f>
        <v>79</v>
      </c>
      <c r="H16" s="29">
        <f>[21]GtS_VE!$F$6/100</f>
        <v>0.43292682926829262</v>
      </c>
      <c r="I16" s="29">
        <f>[22]GtS_VE!$F$6/100</f>
        <v>0.43209876543209874</v>
      </c>
      <c r="J16" s="29">
        <f>[23]GtS_VE!$F$6/100</f>
        <v>0.45</v>
      </c>
      <c r="K16" s="29">
        <f>[24]GtS_VE!$F$6/100</f>
        <v>0.48427672955974843</v>
      </c>
      <c r="L16" s="30">
        <f>[25]GtS_VE!$F$6/100</f>
        <v>0.51298701298701299</v>
      </c>
    </row>
    <row r="17" spans="1:12" ht="10.15" customHeight="1">
      <c r="A17" s="116" t="s">
        <v>85</v>
      </c>
      <c r="B17" s="22"/>
      <c r="C17" s="23">
        <f>[26]GtS_VE!$E$6</f>
        <v>245</v>
      </c>
      <c r="D17" s="23">
        <f>[27]GtS_VE!$E$6</f>
        <v>335</v>
      </c>
      <c r="E17" s="23">
        <f>[28]GtS_VE!$E$6</f>
        <v>328</v>
      </c>
      <c r="F17" s="23">
        <f>[29]GtS_VE!$E$6</f>
        <v>333</v>
      </c>
      <c r="G17" s="34">
        <f>[30]GtS_VE!$E$6</f>
        <v>335</v>
      </c>
      <c r="H17" s="29">
        <f>[26]GtS_VE!$F$6/100</f>
        <v>0.70809248554913296</v>
      </c>
      <c r="I17" s="29">
        <f>[27]GtS_VE!$F$6/100</f>
        <v>1</v>
      </c>
      <c r="J17" s="29">
        <f>[28]GtS_VE!$F$6/100</f>
        <v>0.9791044776119403</v>
      </c>
      <c r="K17" s="29">
        <f>[29]GtS_VE!$F$6/100</f>
        <v>0.99700598802395202</v>
      </c>
      <c r="L17" s="30">
        <f>[30]GtS_VE!$F$6/100</f>
        <v>0.99702380952380953</v>
      </c>
    </row>
    <row r="18" spans="1:12" ht="10.15" customHeight="1">
      <c r="A18" s="116" t="s">
        <v>86</v>
      </c>
      <c r="B18" s="22"/>
      <c r="C18" s="23">
        <f>[66]GtS_VE!$E$6</f>
        <v>847</v>
      </c>
      <c r="D18" s="23">
        <f>[67]GtS_VE!$E$6</f>
        <v>917</v>
      </c>
      <c r="E18" s="23">
        <f>[68]GtS_VE!$E$6</f>
        <v>958</v>
      </c>
      <c r="F18" s="23">
        <f>[69]GtS_VE!$E$6</f>
        <v>955</v>
      </c>
      <c r="G18" s="34">
        <f>[70]GtS_VE!$E$6</f>
        <v>1071</v>
      </c>
      <c r="H18" s="29">
        <f>[66]GtS_VE!$F$6/100</f>
        <v>0.49852854620364923</v>
      </c>
      <c r="I18" s="29">
        <f>[67]GtS_VE!$F$6/100</f>
        <v>0.54260355029585794</v>
      </c>
      <c r="J18" s="29">
        <f>[68]GtS_VE!$F$6/100</f>
        <v>0.56753554502369663</v>
      </c>
      <c r="K18" s="29">
        <f>[69]GtS_VE!$F$6/100</f>
        <v>0.57083084279737006</v>
      </c>
      <c r="L18" s="30">
        <f>[70]GtS_VE!$F$6/100</f>
        <v>0.64055023923444976</v>
      </c>
    </row>
    <row r="19" spans="1:12" ht="10.15" customHeight="1">
      <c r="A19" s="116" t="s">
        <v>87</v>
      </c>
      <c r="B19" s="22"/>
      <c r="C19" s="23">
        <f>[31]GtS_VE!$E$6</f>
        <v>193</v>
      </c>
      <c r="D19" s="23">
        <f>[32]GtS_VE!$E$6</f>
        <v>195</v>
      </c>
      <c r="E19" s="23">
        <f>[33]GtS_VE!$E$6</f>
        <v>191</v>
      </c>
      <c r="F19" s="23">
        <f>[34]GtS_VE!$E$6</f>
        <v>194</v>
      </c>
      <c r="G19" s="34">
        <f>[35]GtS_VE!$E$6</f>
        <v>192</v>
      </c>
      <c r="H19" s="29">
        <f>[31]GtS_VE!$F$6/100</f>
        <v>0.39307535641547858</v>
      </c>
      <c r="I19" s="29">
        <f>[32]GtS_VE!$F$6/100</f>
        <v>0.39634146341463411</v>
      </c>
      <c r="J19" s="29">
        <f>[33]GtS_VE!$F$6/100</f>
        <v>0.38821138211382111</v>
      </c>
      <c r="K19" s="29">
        <f>[34]GtS_VE!$F$6/100</f>
        <v>0.3991769547325103</v>
      </c>
      <c r="L19" s="30">
        <f>[35]GtS_VE!$F$6/100</f>
        <v>0.39751552795031053</v>
      </c>
    </row>
    <row r="20" spans="1:12" ht="10.15" customHeight="1">
      <c r="A20" s="116" t="s">
        <v>252</v>
      </c>
      <c r="B20" s="22"/>
      <c r="C20" s="23">
        <f>[71]GtS_VE!$E$6</f>
        <v>1458</v>
      </c>
      <c r="D20" s="23">
        <f>[72]GtS_VE!$E$6</f>
        <v>1580</v>
      </c>
      <c r="E20" s="23">
        <f>[73]GtS_VE!$E$6</f>
        <v>1647</v>
      </c>
      <c r="F20" s="23">
        <f>[74]GtS_VE!$E$6</f>
        <v>1675</v>
      </c>
      <c r="G20" s="34">
        <f>[75]GtS_VE!$E$6</f>
        <v>1742</v>
      </c>
      <c r="H20" s="29">
        <f>[71]GtS_VE!$F$6/100</f>
        <v>0.51338028169014083</v>
      </c>
      <c r="I20" s="29">
        <f>[72]GtS_VE!$F$6/100</f>
        <v>0.56388294075660239</v>
      </c>
      <c r="J20" s="29">
        <f>[73]GtS_VE!$F$6/100</f>
        <v>0.59803921568627449</v>
      </c>
      <c r="K20" s="29">
        <f>[74]GtS_VE!$F$6/100</f>
        <v>0.61991117690599562</v>
      </c>
      <c r="L20" s="30">
        <f>[75]GtS_VE!$F$6/100</f>
        <v>0.65219019093972297</v>
      </c>
    </row>
    <row r="21" spans="1:12" ht="10.15" customHeight="1">
      <c r="A21" s="116" t="s">
        <v>89</v>
      </c>
      <c r="B21" s="22"/>
      <c r="C21" s="23">
        <f>[36]GtS_VE!$E$6</f>
        <v>3945</v>
      </c>
      <c r="D21" s="23">
        <f>[37]GtS_VE!$E$6</f>
        <v>3959</v>
      </c>
      <c r="E21" s="23">
        <f>[38]GtS_VE!$E$6</f>
        <v>3947</v>
      </c>
      <c r="F21" s="23">
        <f>[39]GtS_VE!$E$6</f>
        <v>3887</v>
      </c>
      <c r="G21" s="34">
        <f>[40]GtS_VE!$E$6</f>
        <v>3833</v>
      </c>
      <c r="H21" s="29">
        <f>[36]GtS_VE!$F$6/100</f>
        <v>0.7198905109489051</v>
      </c>
      <c r="I21" s="29">
        <f>[37]GtS_VE!$F$6/100</f>
        <v>0.73396366332962559</v>
      </c>
      <c r="J21" s="29">
        <f>[38]GtS_VE!$F$6/100</f>
        <v>0.74654813693966338</v>
      </c>
      <c r="K21" s="29">
        <f>[39]GtS_VE!$F$6/100</f>
        <v>0.75607858393308691</v>
      </c>
      <c r="L21" s="30">
        <f>[40]GtS_VE!$F$6/100</f>
        <v>0.76798236826287325</v>
      </c>
    </row>
    <row r="22" spans="1:12" ht="10.15" customHeight="1">
      <c r="A22" s="116" t="s">
        <v>90</v>
      </c>
      <c r="B22" s="22"/>
      <c r="C22" s="23">
        <f>[41]GtS_VE!$E$6</f>
        <v>975</v>
      </c>
      <c r="D22" s="23">
        <f>[42]GtS_VE!$E$6</f>
        <v>973</v>
      </c>
      <c r="E22" s="23">
        <f>[43]GtS_VE!$E$6</f>
        <v>985</v>
      </c>
      <c r="F22" s="23">
        <f>[44]GtS_VE!$E$6</f>
        <v>997</v>
      </c>
      <c r="G22" s="34">
        <f>[45]GtS_VE!$E$6</f>
        <v>1023</v>
      </c>
      <c r="H22" s="29">
        <f>[41]GtS_VE!$F$6/100</f>
        <v>0.67802503477051457</v>
      </c>
      <c r="I22" s="29">
        <f>[42]GtS_VE!$F$6/100</f>
        <v>0.68666196189131967</v>
      </c>
      <c r="J22" s="29">
        <f>[43]GtS_VE!$F$6/100</f>
        <v>0.70056899004267426</v>
      </c>
      <c r="K22" s="29">
        <f>[44]GtS_VE!$F$6/100</f>
        <v>0.71572146446518303</v>
      </c>
      <c r="L22" s="30">
        <f>[45]GtS_VE!$F$6/100</f>
        <v>0.7365010799136068</v>
      </c>
    </row>
    <row r="23" spans="1:12" ht="10.15" customHeight="1">
      <c r="A23" s="116" t="s">
        <v>91</v>
      </c>
      <c r="B23" s="22"/>
      <c r="C23" s="23">
        <f>[46]GtS_VE!$E$6</f>
        <v>266</v>
      </c>
      <c r="D23" s="23">
        <f>[47]GtS_VE!$E$6</f>
        <v>267</v>
      </c>
      <c r="E23" s="23">
        <f>[48]GtS_VE!$E$6</f>
        <v>267</v>
      </c>
      <c r="F23" s="23">
        <f>[49]GtS_VE!$E$6</f>
        <v>267</v>
      </c>
      <c r="G23" s="34">
        <f>[50]GtS_VE!$E$6</f>
        <v>266</v>
      </c>
      <c r="H23" s="29">
        <f>[46]GtS_VE!$F$6/100</f>
        <v>0.95340501792114696</v>
      </c>
      <c r="I23" s="29">
        <f>[47]GtS_VE!$F$6/100</f>
        <v>0.956989247311828</v>
      </c>
      <c r="J23" s="29">
        <f>[48]GtS_VE!$F$6/100</f>
        <v>0.96043165467625902</v>
      </c>
      <c r="K23" s="29">
        <f>[49]GtS_VE!$F$6/100</f>
        <v>0.97445255474452552</v>
      </c>
      <c r="L23" s="30">
        <f>[50]GtS_VE!$F$6/100</f>
        <v>0.97794117647058831</v>
      </c>
    </row>
    <row r="24" spans="1:12" ht="10.15" customHeight="1">
      <c r="A24" s="116" t="s">
        <v>92</v>
      </c>
      <c r="B24" s="22"/>
      <c r="C24" s="23">
        <f>[51]GtS_VE!$E$6</f>
        <v>1272</v>
      </c>
      <c r="D24" s="23">
        <f>[52]GtS_VE!$E$6</f>
        <v>1265</v>
      </c>
      <c r="E24" s="23">
        <f>[53]GtS_VE!$E$6</f>
        <v>1266</v>
      </c>
      <c r="F24" s="23">
        <f>[54]GtS_VE!$E$6</f>
        <v>1269</v>
      </c>
      <c r="G24" s="34">
        <f>[55]GtS_VE!$E$6</f>
        <v>1271</v>
      </c>
      <c r="H24" s="29">
        <f>[51]GtS_VE!$F$6/100</f>
        <v>0.98604651162790702</v>
      </c>
      <c r="I24" s="29">
        <f>[52]GtS_VE!$F$6/100</f>
        <v>0.9890539483971853</v>
      </c>
      <c r="J24" s="29">
        <f>[53]GtS_VE!$F$6/100</f>
        <v>0.98983580922595782</v>
      </c>
      <c r="K24" s="29">
        <f>[54]GtS_VE!$F$6/100</f>
        <v>0.99140625000000004</v>
      </c>
      <c r="L24" s="30">
        <f>[55]GtS_VE!$F$6/100</f>
        <v>0.99219359875097579</v>
      </c>
    </row>
    <row r="25" spans="1:12" ht="10.15" customHeight="1">
      <c r="A25" s="116" t="s">
        <v>93</v>
      </c>
      <c r="B25" s="22"/>
      <c r="C25" s="23">
        <f>[76]GtS_VE!$E$6</f>
        <v>219</v>
      </c>
      <c r="D25" s="23">
        <f>[77]GtS_VE!$E$6</f>
        <v>225</v>
      </c>
      <c r="E25" s="23">
        <f>[78]GtS_VE!$E$6</f>
        <v>221</v>
      </c>
      <c r="F25" s="23">
        <f>[79]GtS_VE!$E$6</f>
        <v>219</v>
      </c>
      <c r="G25" s="34">
        <f>[80]GtS_VE!$E$6</f>
        <v>510</v>
      </c>
      <c r="H25" s="29">
        <f>[76]GtS_VE!$F$6/100</f>
        <v>0.26322115384615385</v>
      </c>
      <c r="I25" s="29">
        <f>[77]GtS_VE!$F$6/100</f>
        <v>0.27339003645200483</v>
      </c>
      <c r="J25" s="29">
        <f>[78]GtS_VE!$F$6/100</f>
        <v>0.28333333333333333</v>
      </c>
      <c r="K25" s="29">
        <f>[79]GtS_VE!$F$6/100</f>
        <v>0.28367875647668395</v>
      </c>
      <c r="L25" s="30">
        <f>[80]GtS_VE!$F$6/100</f>
        <v>0.66666666666666674</v>
      </c>
    </row>
    <row r="26" spans="1:12" ht="10.15" customHeight="1">
      <c r="A26" s="116" t="s">
        <v>94</v>
      </c>
      <c r="B26" s="22"/>
      <c r="C26" s="23">
        <f>[56]GtS_VE!$E$6</f>
        <v>474</v>
      </c>
      <c r="D26" s="23">
        <f>[57]GtS_VE!$E$6</f>
        <v>483</v>
      </c>
      <c r="E26" s="23">
        <f>[58]GtS_VE!$E$6</f>
        <v>495</v>
      </c>
      <c r="F26" s="23">
        <f>[59]GtS_VE!$E$6</f>
        <v>504</v>
      </c>
      <c r="G26" s="34">
        <f>[60]GtS_VE!$E$6</f>
        <v>510</v>
      </c>
      <c r="H26" s="29">
        <f>[56]GtS_VE!$F$6/100</f>
        <v>0.5962264150943396</v>
      </c>
      <c r="I26" s="29">
        <f>[57]GtS_VE!$F$6/100</f>
        <v>0.61764705882352944</v>
      </c>
      <c r="J26" s="29">
        <f>[58]GtS_VE!$F$6/100</f>
        <v>0.63953488372093026</v>
      </c>
      <c r="K26" s="29">
        <f>[59]GtS_VE!$F$6/100</f>
        <v>0.65454545454545454</v>
      </c>
      <c r="L26" s="30">
        <f>[60]GtS_VE!$F$6/100</f>
        <v>0.6640625</v>
      </c>
    </row>
    <row r="27" spans="1:12" ht="10.15" customHeight="1">
      <c r="A27" s="116" t="s">
        <v>95</v>
      </c>
      <c r="B27" s="22"/>
      <c r="C27" s="23">
        <f>[61]GtS_VE!$E$6</f>
        <v>608</v>
      </c>
      <c r="D27" s="23">
        <f>[62]GtS_VE!$E$6</f>
        <v>606</v>
      </c>
      <c r="E27" s="23">
        <f>[63]GtS_VE!$E$6</f>
        <v>608</v>
      </c>
      <c r="F27" s="23">
        <f>[64]GtS_VE!$E$6</f>
        <v>608</v>
      </c>
      <c r="G27" s="34">
        <f>[65]GtS_VE!$E$6</f>
        <v>591</v>
      </c>
      <c r="H27" s="29">
        <f>[61]GtS_VE!$F$6/100</f>
        <v>0.75247524752475248</v>
      </c>
      <c r="I27" s="29">
        <f>[62]GtS_VE!$F$6/100</f>
        <v>0.74907292954264515</v>
      </c>
      <c r="J27" s="29">
        <f>[63]GtS_VE!$F$6/100</f>
        <v>0.75340768277571257</v>
      </c>
      <c r="K27" s="29">
        <f>[64]GtS_VE!$F$6/100</f>
        <v>0.7562189054726367</v>
      </c>
      <c r="L27" s="30">
        <f>[65]GtS_VE!$F$6/100</f>
        <v>0.74715549936788872</v>
      </c>
    </row>
    <row r="28" spans="1:12" ht="10.15" customHeight="1">
      <c r="A28" s="117" t="s">
        <v>96</v>
      </c>
      <c r="B28" s="25"/>
      <c r="C28" s="26">
        <f>SUM(C12:C27)</f>
        <v>14384</v>
      </c>
      <c r="D28" s="26">
        <f>SUM(D12:D27)</f>
        <v>14785</v>
      </c>
      <c r="E28" s="26">
        <f>SUM(E12:E27)</f>
        <v>15022</v>
      </c>
      <c r="F28" s="26">
        <f>SUM(F12:F27)</f>
        <v>15194</v>
      </c>
      <c r="G28" s="47">
        <f>SUM(G12:G27)</f>
        <v>16741</v>
      </c>
      <c r="H28" s="31">
        <f>GtS_VE!F34/100</f>
        <v>0.56304067013739389</v>
      </c>
      <c r="I28" s="31">
        <f>GtS_VE!F27/100</f>
        <v>0.58415645989727383</v>
      </c>
      <c r="J28" s="31">
        <f>GtS_VE!F20/100</f>
        <v>0.60037568442508293</v>
      </c>
      <c r="K28" s="31">
        <f>GtS_VE!F13/100</f>
        <v>0.61461914971077225</v>
      </c>
      <c r="L28" s="32">
        <f>GtS_VE!F6/100</f>
        <v>0.68433961492866768</v>
      </c>
    </row>
    <row r="29" spans="1:12">
      <c r="A29" s="2" t="s">
        <v>253</v>
      </c>
    </row>
    <row r="30" spans="1:12" ht="9" customHeight="1">
      <c r="C30" s="209"/>
      <c r="D30" s="209"/>
      <c r="E30" s="209"/>
      <c r="F30" s="209"/>
      <c r="G30" s="209"/>
    </row>
    <row r="64" ht="8.65" customHeight="1"/>
    <row r="65" spans="1:1" ht="12.6" customHeight="1"/>
    <row r="66" spans="1:1" ht="10.15" customHeight="1">
      <c r="A66" s="214"/>
    </row>
    <row r="67" spans="1:1" ht="10.15" customHeight="1">
      <c r="A67" s="214"/>
    </row>
    <row r="68" spans="1:1" ht="10.15" customHeight="1">
      <c r="A68" s="214"/>
    </row>
    <row r="83" spans="1:1" ht="10.5" customHeight="1"/>
    <row r="84" spans="1:1" ht="10.15" customHeight="1">
      <c r="A84" s="214"/>
    </row>
  </sheetData>
  <mergeCells count="4">
    <mergeCell ref="C9:G9"/>
    <mergeCell ref="H9:L9"/>
    <mergeCell ref="A11:L11"/>
    <mergeCell ref="A1:L1"/>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M84"/>
  <sheetViews>
    <sheetView view="pageBreakPreview" topLeftCell="A43"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'3.1.10'!A1:E1+1</f>
        <v>47</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50</v>
      </c>
      <c r="B5" s="39" t="s">
        <v>248</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175</v>
      </c>
      <c r="B12" s="120"/>
      <c r="C12" s="42">
        <f t="shared" ref="C12:C28" si="0">SUM(C30+C48)</f>
        <v>168370</v>
      </c>
      <c r="D12" s="42">
        <f t="shared" ref="D12:E12" si="1">SUM(D30+D48)</f>
        <v>175306</v>
      </c>
      <c r="E12" s="42">
        <f t="shared" si="1"/>
        <v>188374</v>
      </c>
      <c r="F12" s="42">
        <f t="shared" ref="F12:G12" si="2">SUM(F30+F48)</f>
        <v>208738</v>
      </c>
      <c r="G12" s="44">
        <f t="shared" si="2"/>
        <v>227933</v>
      </c>
      <c r="H12" s="50">
        <f>IF('AW Schüler'!$B204=0,"x",C12/'AW Schüler'!$B204)</f>
        <v>0.17552986311652297</v>
      </c>
      <c r="I12" s="50">
        <f>IF('AW Schüler'!$E204=0,"x",D12/'AW Schüler'!$E204)</f>
        <v>0.18653066957217521</v>
      </c>
      <c r="J12" s="50">
        <f>IF('AW Schüler'!$H204=0,"x",E12/'AW Schüler'!$H204)</f>
        <v>0.20309733845387523</v>
      </c>
      <c r="K12" s="50">
        <f>IF('AW Schüler'!$K204=0,"x",F12/'AW Schüler'!$K204)</f>
        <v>0.22775608893854651</v>
      </c>
      <c r="L12" s="51">
        <f>IF('AW Schüler'!$N204=0,"x",G12/'AW Schüler'!$N204)</f>
        <v>0.24880038597226589</v>
      </c>
    </row>
    <row r="13" spans="1:13" ht="9" customHeight="1">
      <c r="A13" s="21" t="s">
        <v>81</v>
      </c>
      <c r="B13" s="120"/>
      <c r="C13" s="42">
        <f t="shared" si="0"/>
        <v>112754</v>
      </c>
      <c r="D13" s="42">
        <f t="shared" ref="D13:E13" si="3">SUM(D31+D49)</f>
        <v>127849</v>
      </c>
      <c r="E13" s="42">
        <f t="shared" si="3"/>
        <v>132969</v>
      </c>
      <c r="F13" s="42">
        <f t="shared" ref="F13:G13" si="4">SUM(F31+F49)</f>
        <v>143399</v>
      </c>
      <c r="G13" s="44">
        <f t="shared" si="4"/>
        <v>206651</v>
      </c>
      <c r="H13" s="50">
        <f>IF('AW Schüler'!$B205=0,"x",C13/'AW Schüler'!$B205)</f>
        <v>0.10718519328298264</v>
      </c>
      <c r="I13" s="50">
        <f>IF('AW Schüler'!$E205=0,"x",D13/'AW Schüler'!$E205)</f>
        <v>0.12349422320704981</v>
      </c>
      <c r="J13" s="50">
        <f>IF('AW Schüler'!$H205=0,"x",E13/'AW Schüler'!$H205)</f>
        <v>0.12992295628978598</v>
      </c>
      <c r="K13" s="50">
        <f>IF('AW Schüler'!$K205=0,"x",F13/'AW Schüler'!$K205)</f>
        <v>0.1411371362543872</v>
      </c>
      <c r="L13" s="51">
        <f>IF('AW Schüler'!$N205=0,"x",G13/'AW Schüler'!$N205)</f>
        <v>0.20373333491074325</v>
      </c>
    </row>
    <row r="14" spans="1:13" ht="9" customHeight="1">
      <c r="A14" s="21" t="s">
        <v>82</v>
      </c>
      <c r="B14" s="120"/>
      <c r="C14" s="42">
        <f t="shared" si="0"/>
        <v>134719</v>
      </c>
      <c r="D14" s="42">
        <f t="shared" ref="D14:E14" si="5">SUM(D32+D50)</f>
        <v>167372</v>
      </c>
      <c r="E14" s="42">
        <f t="shared" si="5"/>
        <v>168099</v>
      </c>
      <c r="F14" s="42">
        <f t="shared" ref="F14:G14" si="6">SUM(F32+F50)</f>
        <v>172009</v>
      </c>
      <c r="G14" s="44">
        <f t="shared" si="6"/>
        <v>174822</v>
      </c>
      <c r="H14" s="50">
        <f>IF('AW Schüler'!$B206=0,"x",C14/'AW Schüler'!$B206)</f>
        <v>0.54003816212489275</v>
      </c>
      <c r="I14" s="50">
        <f>IF('AW Schüler'!$E206=0,"x",D14/'AW Schüler'!$E206)</f>
        <v>0.66542888380876652</v>
      </c>
      <c r="J14" s="50">
        <f>IF('AW Schüler'!$H206=0,"x",E14/'AW Schüler'!$H206)</f>
        <v>0.66366482555499839</v>
      </c>
      <c r="K14" s="50">
        <f>IF('AW Schüler'!$K206=0,"x",F14/'AW Schüler'!$K206)</f>
        <v>0.67030770190014499</v>
      </c>
      <c r="L14" s="51">
        <f>IF('AW Schüler'!$N206=0,"x",G14/'AW Schüler'!$N206)</f>
        <v>0.65630772003063387</v>
      </c>
    </row>
    <row r="15" spans="1:13" ht="9" customHeight="1">
      <c r="A15" s="21" t="s">
        <v>83</v>
      </c>
      <c r="B15" s="120"/>
      <c r="C15" s="42">
        <f t="shared" si="0"/>
        <v>76710</v>
      </c>
      <c r="D15" s="42">
        <f t="shared" ref="D15:E15" si="7">SUM(D33+D51)</f>
        <v>78785</v>
      </c>
      <c r="E15" s="42">
        <f t="shared" si="7"/>
        <v>79845</v>
      </c>
      <c r="F15" s="42">
        <f t="shared" ref="F15:G15" si="8">SUM(F33+F51)</f>
        <v>79476</v>
      </c>
      <c r="G15" s="44">
        <f t="shared" si="8"/>
        <v>83770</v>
      </c>
      <c r="H15" s="50">
        <f>IF('AW Schüler'!$B207=0,"x",C15/'AW Schüler'!$B207)</f>
        <v>0.43575818857292176</v>
      </c>
      <c r="I15" s="50">
        <f>IF('AW Schüler'!$E207=0,"x",D15/'AW Schüler'!$E207)</f>
        <v>0.44520354422368391</v>
      </c>
      <c r="J15" s="50">
        <f>IF('AW Schüler'!$H207=0,"x",E15/'AW Schüler'!$H207)</f>
        <v>0.44825766464746269</v>
      </c>
      <c r="K15" s="50">
        <f>IF('AW Schüler'!$K207=0,"x",F15/'AW Schüler'!$K207)</f>
        <v>0.44180823623588011</v>
      </c>
      <c r="L15" s="51">
        <f>IF('AW Schüler'!$N207=0,"x",G15/'AW Schüler'!$N207)</f>
        <v>0.45308266040705503</v>
      </c>
    </row>
    <row r="16" spans="1:13" ht="9" customHeight="1">
      <c r="A16" s="21" t="s">
        <v>84</v>
      </c>
      <c r="B16" s="120"/>
      <c r="C16" s="42">
        <f t="shared" si="0"/>
        <v>16013</v>
      </c>
      <c r="D16" s="42">
        <f t="shared" ref="D16:E16" si="9">SUM(D34+D52)</f>
        <v>16638</v>
      </c>
      <c r="E16" s="42">
        <f t="shared" si="9"/>
        <v>18044</v>
      </c>
      <c r="F16" s="42">
        <f t="shared" ref="F16:G16" si="10">SUM(F34+F52)</f>
        <v>19420</v>
      </c>
      <c r="G16" s="44">
        <f t="shared" si="10"/>
        <v>20191</v>
      </c>
      <c r="H16" s="50">
        <f>IF('AW Schüler'!$B208=0,"x",C16/'AW Schüler'!$B208)</f>
        <v>0.3287955320110057</v>
      </c>
      <c r="I16" s="50">
        <f>IF('AW Schüler'!$E208=0,"x",D16/'AW Schüler'!$E208)</f>
        <v>0.34634359582838942</v>
      </c>
      <c r="J16" s="50">
        <f>IF('AW Schüler'!$H208=0,"x",E16/'AW Schüler'!$H208)</f>
        <v>0.37499480443908723</v>
      </c>
      <c r="K16" s="50">
        <f>IF('AW Schüler'!$K208=0,"x",F16/'AW Schüler'!$K208)</f>
        <v>0.39720199623660313</v>
      </c>
      <c r="L16" s="51">
        <f>IF('AW Schüler'!$N208=0,"x",G16/'AW Schüler'!$N208)</f>
        <v>0.39848036313400437</v>
      </c>
    </row>
    <row r="17" spans="1:12" ht="9" customHeight="1">
      <c r="A17" s="21" t="s">
        <v>85</v>
      </c>
      <c r="B17" s="120"/>
      <c r="C17" s="42">
        <f t="shared" si="0"/>
        <v>82109</v>
      </c>
      <c r="D17" s="42">
        <f t="shared" ref="D17:E17" si="11">SUM(D35+D53)</f>
        <v>115925</v>
      </c>
      <c r="E17" s="42">
        <f t="shared" si="11"/>
        <v>118240</v>
      </c>
      <c r="F17" s="42">
        <f t="shared" ref="F17:G17" si="12">SUM(F35+F53)</f>
        <v>124090</v>
      </c>
      <c r="G17" s="44">
        <f t="shared" si="12"/>
        <v>128123</v>
      </c>
      <c r="H17" s="50">
        <f>IF('AW Schüler'!$B209=0,"x",C17/'AW Schüler'!$B209)</f>
        <v>0.63702238255944765</v>
      </c>
      <c r="I17" s="50">
        <f>IF('AW Schüler'!$E209=0,"x",D17/'AW Schüler'!$E209)</f>
        <v>0.89426911772646978</v>
      </c>
      <c r="J17" s="50">
        <f>IF('AW Schüler'!$H209=0,"x",E17/'AW Schüler'!$H209)</f>
        <v>0.90563031839523289</v>
      </c>
      <c r="K17" s="50">
        <f>IF('AW Schüler'!$K209=0,"x",F17/'AW Schüler'!$K209)</f>
        <v>0.93893054683302946</v>
      </c>
      <c r="L17" s="51">
        <f>IF('AW Schüler'!$N209=0,"x",G17/'AW Schüler'!$N209)</f>
        <v>0.95082709333649973</v>
      </c>
    </row>
    <row r="18" spans="1:12" ht="9" customHeight="1">
      <c r="A18" s="21" t="s">
        <v>86</v>
      </c>
      <c r="B18" s="120"/>
      <c r="C18" s="42">
        <f t="shared" si="0"/>
        <v>217574</v>
      </c>
      <c r="D18" s="42">
        <f t="shared" ref="D18:E18" si="13">SUM(D36+D54)</f>
        <v>224060</v>
      </c>
      <c r="E18" s="42">
        <f t="shared" si="13"/>
        <v>230152</v>
      </c>
      <c r="F18" s="42">
        <f t="shared" ref="F18:G18" si="14">SUM(F36+F54)</f>
        <v>231626</v>
      </c>
      <c r="G18" s="44">
        <f t="shared" si="14"/>
        <v>253539</v>
      </c>
      <c r="H18" s="50">
        <f>IF('AW Schüler'!$B210=0,"x",C18/'AW Schüler'!$B210)</f>
        <v>0.42059539918809202</v>
      </c>
      <c r="I18" s="50">
        <f>IF('AW Schüler'!$E210=0,"x",D18/'AW Schüler'!$E210)</f>
        <v>0.43896752706078268</v>
      </c>
      <c r="J18" s="50">
        <f>IF('AW Schüler'!$H210=0,"x",E18/'AW Schüler'!$H210)</f>
        <v>0.45352649998423561</v>
      </c>
      <c r="K18" s="50">
        <f>IF('AW Schüler'!$K210=0,"x",F18/'AW Schüler'!$K210)</f>
        <v>0.45594502502888706</v>
      </c>
      <c r="L18" s="51">
        <f>IF('AW Schüler'!$N210=0,"x",G18/'AW Schüler'!$N210)</f>
        <v>0.49269619798093645</v>
      </c>
    </row>
    <row r="19" spans="1:12" ht="9" customHeight="1">
      <c r="A19" s="21" t="s">
        <v>87</v>
      </c>
      <c r="B19" s="120"/>
      <c r="C19" s="42">
        <f t="shared" si="0"/>
        <v>43357</v>
      </c>
      <c r="D19" s="42">
        <f t="shared" ref="D19:E19" si="15">SUM(D37+D55)</f>
        <v>42001</v>
      </c>
      <c r="E19" s="42">
        <f t="shared" si="15"/>
        <v>45882</v>
      </c>
      <c r="F19" s="42">
        <f t="shared" ref="F19:G19" si="16">SUM(F37+F55)</f>
        <v>44504</v>
      </c>
      <c r="G19" s="44">
        <f t="shared" si="16"/>
        <v>44802</v>
      </c>
      <c r="H19" s="50">
        <f>IF('AW Schüler'!$B211=0,"x",C19/'AW Schüler'!$B211)</f>
        <v>0.39748255851263764</v>
      </c>
      <c r="I19" s="50">
        <f>IF('AW Schüler'!$E211=0,"x",D19/'AW Schüler'!$E211)</f>
        <v>0.38411801287679248</v>
      </c>
      <c r="J19" s="50">
        <f>IF('AW Schüler'!$H211=0,"x",E19/'AW Schüler'!$H211)</f>
        <v>0.41270440930433377</v>
      </c>
      <c r="K19" s="50">
        <f>IF('AW Schüler'!$K211=0,"x",F19/'AW Schüler'!$K211)</f>
        <v>0.39363518163082994</v>
      </c>
      <c r="L19" s="51">
        <f>IF('AW Schüler'!$N211=0,"x",G19/'AW Schüler'!$N211)</f>
        <v>0.38824569309161494</v>
      </c>
    </row>
    <row r="20" spans="1:12" ht="9" customHeight="1">
      <c r="A20" s="21" t="s">
        <v>88</v>
      </c>
      <c r="B20" s="120"/>
      <c r="C20" s="42">
        <f t="shared" si="0"/>
        <v>288047</v>
      </c>
      <c r="D20" s="42">
        <f t="shared" ref="D20:E20" si="17">SUM(D38+D56)</f>
        <v>303191</v>
      </c>
      <c r="E20" s="42">
        <f t="shared" si="17"/>
        <v>329702</v>
      </c>
      <c r="F20" s="42">
        <f t="shared" ref="F20:G20" si="18">SUM(F38+F56)</f>
        <v>343311</v>
      </c>
      <c r="G20" s="44">
        <f t="shared" si="18"/>
        <v>367505</v>
      </c>
      <c r="H20" s="50">
        <f>IF('AW Schüler'!$B212=0,"x",C20/'AW Schüler'!$B212)</f>
        <v>0.38975569823217804</v>
      </c>
      <c r="I20" s="50">
        <f>IF('AW Schüler'!$E212=0,"x",D20/'AW Schüler'!$E212)</f>
        <v>0.41977922169625193</v>
      </c>
      <c r="J20" s="50">
        <f>IF('AW Schüler'!$H212=0,"x",E20/'AW Schüler'!$H212)</f>
        <v>0.46458756654538896</v>
      </c>
      <c r="K20" s="50">
        <f>IF('AW Schüler'!$K212=0,"x",F20/'AW Schüler'!$K212)</f>
        <v>0.48978098232679174</v>
      </c>
      <c r="L20" s="51">
        <f>IF('AW Schüler'!$N212=0,"x",G20/'AW Schüler'!$N212)</f>
        <v>0.52313134332607369</v>
      </c>
    </row>
    <row r="21" spans="1:12" ht="9" customHeight="1">
      <c r="A21" s="21" t="s">
        <v>89</v>
      </c>
      <c r="B21" s="120"/>
      <c r="C21" s="42">
        <f t="shared" si="0"/>
        <v>630843</v>
      </c>
      <c r="D21" s="42">
        <f t="shared" ref="D21:E21" si="19">SUM(D39+D57)</f>
        <v>666004</v>
      </c>
      <c r="E21" s="42">
        <f t="shared" si="19"/>
        <v>704999</v>
      </c>
      <c r="F21" s="42">
        <f t="shared" ref="F21:G21" si="20">SUM(F39+F57)</f>
        <v>733259</v>
      </c>
      <c r="G21" s="44">
        <f t="shared" si="20"/>
        <v>769368</v>
      </c>
      <c r="H21" s="50">
        <f>IF('AW Schüler'!$B213=0,"x",C21/'AW Schüler'!$B213)</f>
        <v>0.38902143850420723</v>
      </c>
      <c r="I21" s="50">
        <f>IF('AW Schüler'!$E213=0,"x",D21/'AW Schüler'!$E213)</f>
        <v>0.42098463036064765</v>
      </c>
      <c r="J21" s="50">
        <f>IF('AW Schüler'!$H213=0,"x",E21/'AW Schüler'!$H213)</f>
        <v>0.45249588741629615</v>
      </c>
      <c r="K21" s="50">
        <f>IF('AW Schüler'!$K213=0,"x",F21/'AW Schüler'!$K213)</f>
        <v>0.47641042067189776</v>
      </c>
      <c r="L21" s="51">
        <f>IF('AW Schüler'!$N213=0,"x",G21/'AW Schüler'!$N213)</f>
        <v>0.49715869805431884</v>
      </c>
    </row>
    <row r="22" spans="1:12" ht="9" customHeight="1">
      <c r="A22" s="21" t="s">
        <v>90</v>
      </c>
      <c r="B22" s="120"/>
      <c r="C22" s="42">
        <f t="shared" si="0"/>
        <v>81837</v>
      </c>
      <c r="D22" s="42">
        <f t="shared" ref="D22:E22" si="21">SUM(D40+D58)</f>
        <v>82668</v>
      </c>
      <c r="E22" s="42">
        <f t="shared" si="21"/>
        <v>85612</v>
      </c>
      <c r="F22" s="42">
        <f t="shared" ref="F22:G22" si="22">SUM(F40+F58)</f>
        <v>88761</v>
      </c>
      <c r="G22" s="44">
        <f t="shared" si="22"/>
        <v>95166</v>
      </c>
      <c r="H22" s="50">
        <f>IF('AW Schüler'!$B214=0,"x",C22/'AW Schüler'!$B214)</f>
        <v>0.22997611353098216</v>
      </c>
      <c r="I22" s="50">
        <f>IF('AW Schüler'!$E214=0,"x",D22/'AW Schüler'!$E214)</f>
        <v>0.23908032680211119</v>
      </c>
      <c r="J22" s="50">
        <f>IF('AW Schüler'!$H214=0,"x",E22/'AW Schüler'!$H214)</f>
        <v>0.25201866325193917</v>
      </c>
      <c r="K22" s="50">
        <f>IF('AW Schüler'!$K214=0,"x",F22/'AW Schüler'!$K214)</f>
        <v>0.26433012900689706</v>
      </c>
      <c r="L22" s="51">
        <f>IF('AW Schüler'!$N214=0,"x",G22/'AW Schüler'!$N214)</f>
        <v>0.2836652388915219</v>
      </c>
    </row>
    <row r="23" spans="1:12" ht="9" customHeight="1">
      <c r="A23" s="21" t="s">
        <v>91</v>
      </c>
      <c r="B23" s="120"/>
      <c r="C23" s="42">
        <f t="shared" si="0"/>
        <v>20935</v>
      </c>
      <c r="D23" s="42">
        <f t="shared" ref="D23:E23" si="23">SUM(D41+D59)</f>
        <v>20148</v>
      </c>
      <c r="E23" s="42">
        <f t="shared" si="23"/>
        <v>21082</v>
      </c>
      <c r="F23" s="42">
        <f t="shared" ref="F23:G23" si="24">SUM(F41+F59)</f>
        <v>23446</v>
      </c>
      <c r="G23" s="44">
        <f t="shared" si="24"/>
        <v>24525</v>
      </c>
      <c r="H23" s="50">
        <f>IF('AW Schüler'!$B215=0,"x",C23/'AW Schüler'!$B215)</f>
        <v>0.27460059288019101</v>
      </c>
      <c r="I23" s="50">
        <f>IF('AW Schüler'!$E215=0,"x",D23/'AW Schüler'!$E215)</f>
        <v>0.27338227112986607</v>
      </c>
      <c r="J23" s="50">
        <f>IF('AW Schüler'!$H215=0,"x",E23/'AW Schüler'!$H215)</f>
        <v>0.28963963345102833</v>
      </c>
      <c r="K23" s="50">
        <f>IF('AW Schüler'!$K215=0,"x",F23/'AW Schüler'!$K215)</f>
        <v>0.32430563240013277</v>
      </c>
      <c r="L23" s="51">
        <f>IF('AW Schüler'!$N215=0,"x",G23/'AW Schüler'!$N215)</f>
        <v>0.33410985777341834</v>
      </c>
    </row>
    <row r="24" spans="1:12" ht="9" customHeight="1">
      <c r="A24" s="21" t="s">
        <v>92</v>
      </c>
      <c r="B24" s="120"/>
      <c r="C24" s="42">
        <f t="shared" si="0"/>
        <v>214379</v>
      </c>
      <c r="D24" s="42">
        <f t="shared" ref="D24:E24" si="25">SUM(D42+D60)</f>
        <v>217168</v>
      </c>
      <c r="E24" s="42">
        <f t="shared" si="25"/>
        <v>222523</v>
      </c>
      <c r="F24" s="42">
        <f t="shared" ref="F24:G24" si="26">SUM(F42+F60)</f>
        <v>220521</v>
      </c>
      <c r="G24" s="44">
        <f t="shared" si="26"/>
        <v>230369</v>
      </c>
      <c r="H24" s="50">
        <f>IF('AW Schüler'!$B216=0,"x",C24/'AW Schüler'!$B216)</f>
        <v>0.78140981013234967</v>
      </c>
      <c r="I24" s="50">
        <f>IF('AW Schüler'!$E216=0,"x",D24/'AW Schüler'!$E216)</f>
        <v>0.78169442474722572</v>
      </c>
      <c r="J24" s="50">
        <f>IF('AW Schüler'!$H216=0,"x",E24/'AW Schüler'!$H216)</f>
        <v>0.78818308043241103</v>
      </c>
      <c r="K24" s="50">
        <f>IF('AW Schüler'!$K216=0,"x",F24/'AW Schüler'!$K216)</f>
        <v>0.76577502595747493</v>
      </c>
      <c r="L24" s="51">
        <f>IF('AW Schüler'!$N216=0,"x",G24/'AW Schüler'!$N216)</f>
        <v>0.78102835677185745</v>
      </c>
    </row>
    <row r="25" spans="1:12" ht="9" customHeight="1">
      <c r="A25" s="21" t="s">
        <v>93</v>
      </c>
      <c r="B25" s="120"/>
      <c r="C25" s="42">
        <f t="shared" si="0"/>
        <v>36336</v>
      </c>
      <c r="D25" s="42">
        <f t="shared" ref="D25:E25" si="27">SUM(D43+D61)</f>
        <v>37282</v>
      </c>
      <c r="E25" s="42">
        <f t="shared" si="27"/>
        <v>37264</v>
      </c>
      <c r="F25" s="42">
        <f t="shared" ref="F25:G25" si="28">SUM(F43+F61)</f>
        <v>39258</v>
      </c>
      <c r="G25" s="44">
        <f t="shared" si="28"/>
        <v>80922</v>
      </c>
      <c r="H25" s="50">
        <f>IF('AW Schüler'!$B217=0,"x",C25/'AW Schüler'!$B217)</f>
        <v>0.24018561239531211</v>
      </c>
      <c r="I25" s="50">
        <f>IF('AW Schüler'!$E217=0,"x",D25/'AW Schüler'!$E217)</f>
        <v>0.24524404683594264</v>
      </c>
      <c r="J25" s="50">
        <f>IF('AW Schüler'!$H217=0,"x",E25/'AW Schüler'!$H217)</f>
        <v>0.24349826184688569</v>
      </c>
      <c r="K25" s="50">
        <f>IF('AW Schüler'!$K217=0,"x",F25/'AW Schüler'!$K217)</f>
        <v>0.25400173397688891</v>
      </c>
      <c r="L25" s="51">
        <f>IF('AW Schüler'!$N217=0,"x",G25/'AW Schüler'!$N217)</f>
        <v>0.51507899125431234</v>
      </c>
    </row>
    <row r="26" spans="1:12" ht="9" customHeight="1">
      <c r="A26" s="21" t="s">
        <v>94</v>
      </c>
      <c r="B26" s="120"/>
      <c r="C26" s="42">
        <f t="shared" si="0"/>
        <v>64397</v>
      </c>
      <c r="D26" s="42">
        <f t="shared" ref="D26:E26" si="29">SUM(D44+D62)</f>
        <v>63871</v>
      </c>
      <c r="E26" s="42">
        <f t="shared" si="29"/>
        <v>64587</v>
      </c>
      <c r="F26" s="42">
        <f t="shared" ref="F26:G26" si="30">SUM(F44+F62)</f>
        <v>65948</v>
      </c>
      <c r="G26" s="44">
        <f t="shared" si="30"/>
        <v>66437</v>
      </c>
      <c r="H26" s="50">
        <f>IF('AW Schüler'!$B218=0,"x",C26/'AW Schüler'!$B218)</f>
        <v>0.24223149231330568</v>
      </c>
      <c r="I26" s="50">
        <f>IF('AW Schüler'!$E218=0,"x",D26/'AW Schüler'!$E218)</f>
        <v>0.25447931566176735</v>
      </c>
      <c r="J26" s="50">
        <f>IF('AW Schüler'!$H218=0,"x",E26/'AW Schüler'!$H218)</f>
        <v>0.26138423932398741</v>
      </c>
      <c r="K26" s="50">
        <f>IF('AW Schüler'!$K218=0,"x",F26/'AW Schüler'!$K218)</f>
        <v>0.26861525552826554</v>
      </c>
      <c r="L26" s="51">
        <f>IF('AW Schüler'!$N218=0,"x",G26/'AW Schüler'!$N218)</f>
        <v>0.26981683791576982</v>
      </c>
    </row>
    <row r="27" spans="1:12" ht="9" customHeight="1">
      <c r="A27" s="21" t="s">
        <v>95</v>
      </c>
      <c r="B27" s="120"/>
      <c r="C27" s="42">
        <f t="shared" si="0"/>
        <v>74912</v>
      </c>
      <c r="D27" s="42">
        <f t="shared" ref="D27:E27" si="31">SUM(D45+D63)</f>
        <v>73263</v>
      </c>
      <c r="E27" s="42">
        <f t="shared" si="31"/>
        <v>73332</v>
      </c>
      <c r="F27" s="42">
        <f t="shared" ref="F27:G27" si="32">SUM(F45+F63)</f>
        <v>74397</v>
      </c>
      <c r="G27" s="44">
        <f t="shared" si="32"/>
        <v>78198</v>
      </c>
      <c r="H27" s="50">
        <f>IF('AW Schüler'!$B219=0,"x",C27/'AW Schüler'!$B219)</f>
        <v>0.49697484343487952</v>
      </c>
      <c r="I27" s="50">
        <f>IF('AW Schüler'!$E219=0,"x",D27/'AW Schüler'!$E219)</f>
        <v>0.4860126175013102</v>
      </c>
      <c r="J27" s="50">
        <f>IF('AW Schüler'!$H219=0,"x",E27/'AW Schüler'!$H219)</f>
        <v>0.48425696021976861</v>
      </c>
      <c r="K27" s="50">
        <f>IF('AW Schüler'!$K219=0,"x",F27/'AW Schüler'!$K219)</f>
        <v>0.48589921103505929</v>
      </c>
      <c r="L27" s="51">
        <f>IF('AW Schüler'!$N219=0,"x",G27/'AW Schüler'!$N219)</f>
        <v>0.50251585664436771</v>
      </c>
    </row>
    <row r="28" spans="1:12" ht="9" customHeight="1">
      <c r="A28" s="21" t="s">
        <v>96</v>
      </c>
      <c r="B28" s="120"/>
      <c r="C28" s="42">
        <f t="shared" si="0"/>
        <v>2263292</v>
      </c>
      <c r="D28" s="42">
        <f t="shared" ref="D28:E28" si="33">SUM(D46+D64)</f>
        <v>2411531</v>
      </c>
      <c r="E28" s="42">
        <f t="shared" si="33"/>
        <v>2520706</v>
      </c>
      <c r="F28" s="42">
        <f t="shared" ref="F28:G28" si="34">SUM(F46+F64)</f>
        <v>2612163</v>
      </c>
      <c r="G28" s="44">
        <f t="shared" si="34"/>
        <v>2852321</v>
      </c>
      <c r="H28" s="50">
        <f>IF('AW Schüler'!$B220=0,"x",C28/'AW Schüler'!$B220)</f>
        <v>0.32917709362636544</v>
      </c>
      <c r="I28" s="50">
        <f>IF('AW Schüler'!$E220=0,"x",D28/'AW Schüler'!$E220)</f>
        <v>0.35692892032868712</v>
      </c>
      <c r="J28" s="50">
        <f>IF('AW Schüler'!$H220=0,"x",E28/'AW Schüler'!$H220)</f>
        <v>0.37657566595261827</v>
      </c>
      <c r="K28" s="50">
        <f>IF('AW Schüler'!$K220=0,"x",F28/'AW Schüler'!$K220)</f>
        <v>0.39218875413371479</v>
      </c>
      <c r="L28" s="51">
        <f>IF('AW Schüler'!$N220=0,"x",G28/'AW Schüler'!$N220)</f>
        <v>0.42508788433187938</v>
      </c>
    </row>
    <row r="29" spans="1:12" ht="12.75" customHeight="1">
      <c r="A29" s="391" t="s">
        <v>105</v>
      </c>
      <c r="B29" s="392"/>
      <c r="C29" s="392"/>
      <c r="D29" s="392"/>
      <c r="E29" s="392"/>
      <c r="F29" s="392"/>
      <c r="G29" s="392"/>
      <c r="H29" s="392"/>
      <c r="I29" s="392"/>
      <c r="J29" s="392"/>
      <c r="K29" s="392"/>
      <c r="L29" s="393"/>
    </row>
    <row r="30" spans="1:12" ht="9" customHeight="1">
      <c r="A30" s="21" t="s">
        <v>175</v>
      </c>
      <c r="B30" s="120"/>
      <c r="C30" s="23">
        <f>SUM('3.2.2'!C30,'3.2.3'!C30,'3.2.4'!C30,'3.2.5'!C30,'3.2.6'!C30,'3.2.7'!C30,'3.2.8'!C30,'3.2.9'!C30)</f>
        <v>90486</v>
      </c>
      <c r="D30" s="23">
        <f>SUM('3.2.2'!D30,'3.2.3'!D30,'3.2.4'!D30,'3.2.5'!D30,'3.2.6'!D30,'3.2.7'!D30,'3.2.8'!D30,'3.2.9'!D30)</f>
        <v>93421</v>
      </c>
      <c r="E30" s="23">
        <f>SUM('3.2.2'!E30,'3.2.3'!E30,'3.2.4'!E30,'3.2.5'!E30,'3.2.6'!E30,'3.2.7'!E30,'3.2.8'!E30,'3.2.9'!E30)</f>
        <v>99412</v>
      </c>
      <c r="F30" s="23">
        <f>SUM('3.2.2'!F30,'3.2.3'!F30,'3.2.4'!F30,'3.2.5'!F30,'3.2.6'!F30,'3.2.7'!F30,'3.2.8'!F30,'3.2.9'!F30)</f>
        <v>111478</v>
      </c>
      <c r="G30" s="34">
        <f>SUM('3.2.2'!G30,'3.2.3'!G30,'3.2.4'!G30,'3.2.5'!G30,'3.2.6'!G30,'3.2.7'!G30,'3.2.8'!G30,'3.2.9'!G30)</f>
        <v>122796</v>
      </c>
      <c r="H30" s="52">
        <f>IF('AW Schüler'!$B204=0,"x",C30/'AW Schüler'!$B204)</f>
        <v>9.433387892119556E-2</v>
      </c>
      <c r="I30" s="52">
        <f>IF('AW Schüler'!$E204=0,"x",D30/'AW Schüler'!$E204)</f>
        <v>9.9402654113961764E-2</v>
      </c>
      <c r="J30" s="52">
        <f>IF('AW Schüler'!$H204=0,"x",E30/'AW Schüler'!$H204)</f>
        <v>0.10718205596513661</v>
      </c>
      <c r="K30" s="52">
        <f>IF('AW Schüler'!$K204=0,"x",F30/'AW Schüler'!$K204)</f>
        <v>0.12163474442933864</v>
      </c>
      <c r="L30" s="53">
        <f>IF('AW Schüler'!$N204=0,"x",G30/'AW Schüler'!$N204)</f>
        <v>0.13403803835271927</v>
      </c>
    </row>
    <row r="31" spans="1:12" ht="9" customHeight="1">
      <c r="A31" s="21" t="s">
        <v>81</v>
      </c>
      <c r="B31" s="120"/>
      <c r="C31" s="23">
        <f>SUM('3.2.2'!C31,'3.2.3'!C31,'3.2.4'!C31,'3.2.5'!C31,'3.2.6'!C31,'3.2.7'!C31,'3.2.8'!C31,'3.2.9'!C31)</f>
        <v>57800</v>
      </c>
      <c r="D31" s="23">
        <f>SUM('3.2.2'!D31,'3.2.3'!D31,'3.2.4'!D31,'3.2.5'!D31,'3.2.6'!D31,'3.2.7'!D31,'3.2.8'!D31,'3.2.9'!D31)</f>
        <v>69613</v>
      </c>
      <c r="E31" s="23">
        <f>SUM('3.2.2'!E31,'3.2.3'!E31,'3.2.4'!E31,'3.2.5'!E31,'3.2.6'!E31,'3.2.7'!E31,'3.2.8'!E31,'3.2.9'!E31)</f>
        <v>73743</v>
      </c>
      <c r="F31" s="23">
        <f>SUM('3.2.2'!F31,'3.2.3'!F31,'3.2.4'!F31,'3.2.5'!F31,'3.2.6'!F31,'3.2.7'!F31,'3.2.8'!F31,'3.2.9'!F31)</f>
        <v>76505</v>
      </c>
      <c r="G31" s="34">
        <f>SUM('3.2.2'!G31,'3.2.3'!G31,'3.2.4'!G31,'3.2.5'!G31,'3.2.6'!G31,'3.2.7'!G31,'3.2.8'!G31,'3.2.9'!G31)</f>
        <v>78968</v>
      </c>
      <c r="H31" s="52">
        <f>IF('AW Schüler'!$B205=0,"x",C31/'AW Schüler'!$B205)</f>
        <v>5.4945316101924511E-2</v>
      </c>
      <c r="I31" s="52">
        <f>IF('AW Schüler'!$E205=0,"x",D31/'AW Schüler'!$E205)</f>
        <v>6.7241850621532887E-2</v>
      </c>
      <c r="J31" s="52">
        <f>IF('AW Schüler'!$H205=0,"x",E31/'AW Schüler'!$H205)</f>
        <v>7.2053700980511892E-2</v>
      </c>
      <c r="K31" s="52">
        <f>IF('AW Schüler'!$K205=0,"x",F31/'AW Schüler'!$K205)</f>
        <v>7.5298269926163314E-2</v>
      </c>
      <c r="L31" s="53">
        <f>IF('AW Schüler'!$N205=0,"x",G31/'AW Schüler'!$N205)</f>
        <v>7.7853066238399882E-2</v>
      </c>
    </row>
    <row r="32" spans="1:12" ht="9" customHeight="1">
      <c r="A32" s="21" t="s">
        <v>82</v>
      </c>
      <c r="B32" s="120"/>
      <c r="C32" s="23">
        <f>SUM('3.2.2'!C32,'3.2.3'!C32,'3.2.4'!C32,'3.2.5'!C32,'3.2.6'!C32,'3.2.7'!C32,'3.2.8'!C32,'3.2.9'!C32)</f>
        <v>61334</v>
      </c>
      <c r="D32" s="23">
        <f>SUM('3.2.2'!D32,'3.2.3'!D32,'3.2.4'!D32,'3.2.5'!D32,'3.2.6'!D32,'3.2.7'!D32,'3.2.8'!D32,'3.2.9'!D32)</f>
        <v>79258</v>
      </c>
      <c r="E32" s="23">
        <f>SUM('3.2.2'!E32,'3.2.3'!E32,'3.2.4'!E32,'3.2.5'!E32,'3.2.6'!E32,'3.2.7'!E32,'3.2.8'!E32,'3.2.9'!E32)</f>
        <v>84284</v>
      </c>
      <c r="F32" s="23">
        <f>SUM('3.2.2'!F32,'3.2.3'!F32,'3.2.4'!F32,'3.2.5'!F32,'3.2.6'!F32,'3.2.7'!F32,'3.2.8'!F32,'3.2.9'!F32)</f>
        <v>80179</v>
      </c>
      <c r="G32" s="34">
        <f>SUM('3.2.2'!G32,'3.2.3'!G32,'3.2.4'!G32,'3.2.5'!G32,'3.2.6'!G32,'3.2.7'!G32,'3.2.8'!G32,'3.2.9'!G32)</f>
        <v>81774</v>
      </c>
      <c r="H32" s="52">
        <f>IF('AW Schüler'!$B206=0,"x",C32/'AW Schüler'!$B206)</f>
        <v>0.24586510169885595</v>
      </c>
      <c r="I32" s="52">
        <f>IF('AW Schüler'!$E206=0,"x",D32/'AW Schüler'!$E206)</f>
        <v>0.31510983003677567</v>
      </c>
      <c r="J32" s="52">
        <f>IF('AW Schüler'!$H206=0,"x",E32/'AW Schüler'!$H206)</f>
        <v>0.33275823269072086</v>
      </c>
      <c r="K32" s="52">
        <f>IF('AW Schüler'!$K206=0,"x",F32/'AW Schüler'!$K206)</f>
        <v>0.31245226255981795</v>
      </c>
      <c r="L32" s="53">
        <f>IF('AW Schüler'!$N206=0,"x",G32/'AW Schüler'!$N206)</f>
        <v>0.30699172585707207</v>
      </c>
    </row>
    <row r="33" spans="1:12" ht="9" customHeight="1">
      <c r="A33" s="21" t="s">
        <v>83</v>
      </c>
      <c r="B33" s="120"/>
      <c r="C33" s="23">
        <f>SUM('3.2.2'!C33,'3.2.3'!C33,'3.2.4'!C33,'3.2.5'!C33,'3.2.6'!C33,'3.2.7'!C33,'3.2.8'!C33,'3.2.9'!C33)</f>
        <v>23073</v>
      </c>
      <c r="D33" s="23">
        <f>SUM('3.2.2'!D33,'3.2.3'!D33,'3.2.4'!D33,'3.2.5'!D33,'3.2.6'!D33,'3.2.7'!D33,'3.2.8'!D33,'3.2.9'!D33)</f>
        <v>23579</v>
      </c>
      <c r="E33" s="23">
        <f>SUM('3.2.2'!E33,'3.2.3'!E33,'3.2.4'!E33,'3.2.5'!E33,'3.2.6'!E33,'3.2.7'!E33,'3.2.8'!E33,'3.2.9'!E33)</f>
        <v>24046</v>
      </c>
      <c r="F33" s="23">
        <f>SUM('3.2.2'!F33,'3.2.3'!F33,'3.2.4'!F33,'3.2.5'!F33,'3.2.6'!F33,'3.2.7'!F33,'3.2.8'!F33,'3.2.9'!F33)</f>
        <v>24074</v>
      </c>
      <c r="G33" s="34">
        <f>SUM('3.2.2'!G33,'3.2.3'!G33,'3.2.4'!G33,'3.2.5'!G33,'3.2.6'!G33,'3.2.7'!G33,'3.2.8'!G33,'3.2.9'!G33)</f>
        <v>32688</v>
      </c>
      <c r="H33" s="52">
        <f>IF('AW Schüler'!$B207=0,"x",C33/'AW Schüler'!$B207)</f>
        <v>0.13106829207330237</v>
      </c>
      <c r="I33" s="52">
        <f>IF('AW Schüler'!$E207=0,"x",D33/'AW Schüler'!$E207)</f>
        <v>0.13324178929047717</v>
      </c>
      <c r="J33" s="52">
        <f>IF('AW Schüler'!$H207=0,"x",E33/'AW Schüler'!$H207)</f>
        <v>0.13499660347063547</v>
      </c>
      <c r="K33" s="52">
        <f>IF('AW Schüler'!$K207=0,"x",F33/'AW Schüler'!$K207)</f>
        <v>0.13382771502268079</v>
      </c>
      <c r="L33" s="53">
        <f>IF('AW Schüler'!$N207=0,"x",G33/'AW Schüler'!$N207)</f>
        <v>0.17679797067429648</v>
      </c>
    </row>
    <row r="34" spans="1:12" ht="9" customHeight="1">
      <c r="A34" s="21" t="s">
        <v>84</v>
      </c>
      <c r="B34" s="120"/>
      <c r="C34" s="23">
        <f>SUM('3.2.2'!C34,'3.2.3'!C34,'3.2.4'!C34,'3.2.5'!C34,'3.2.6'!C34,'3.2.7'!C34,'3.2.8'!C34,'3.2.9'!C34)</f>
        <v>14220</v>
      </c>
      <c r="D34" s="23">
        <f>SUM('3.2.2'!D34,'3.2.3'!D34,'3.2.4'!D34,'3.2.5'!D34,'3.2.6'!D34,'3.2.7'!D34,'3.2.8'!D34,'3.2.9'!D34)</f>
        <v>14651</v>
      </c>
      <c r="E34" s="23">
        <f>SUM('3.2.2'!E34,'3.2.3'!E34,'3.2.4'!E34,'3.2.5'!E34,'3.2.6'!E34,'3.2.7'!E34,'3.2.8'!E34,'3.2.9'!E34)</f>
        <v>15966</v>
      </c>
      <c r="F34" s="23">
        <f>SUM('3.2.2'!F34,'3.2.3'!F34,'3.2.4'!F34,'3.2.5'!F34,'3.2.6'!F34,'3.2.7'!F34,'3.2.8'!F34,'3.2.9'!F34)</f>
        <v>16724</v>
      </c>
      <c r="G34" s="34">
        <f>SUM('3.2.2'!G34,'3.2.3'!G34,'3.2.4'!G34,'3.2.5'!G34,'3.2.6'!G34,'3.2.7'!G34,'3.2.8'!G34,'3.2.9'!G34)</f>
        <v>17500</v>
      </c>
      <c r="H34" s="52">
        <f>IF('AW Schüler'!$B208=0,"x",C34/'AW Schüler'!$B208)</f>
        <v>0.29197979549094494</v>
      </c>
      <c r="I34" s="52">
        <f>IF('AW Schüler'!$E208=0,"x",D34/'AW Schüler'!$E208)</f>
        <v>0.30498136930410708</v>
      </c>
      <c r="J34" s="52">
        <f>IF('AW Schüler'!$H208=0,"x",E34/'AW Schüler'!$H208)</f>
        <v>0.33180930213225818</v>
      </c>
      <c r="K34" s="52">
        <f>IF('AW Schüler'!$K208=0,"x",F34/'AW Schüler'!$K208)</f>
        <v>0.34206005072404483</v>
      </c>
      <c r="L34" s="53">
        <f>IF('AW Schüler'!$N208=0,"x",G34/'AW Schüler'!$N208)</f>
        <v>0.34537201499901321</v>
      </c>
    </row>
    <row r="35" spans="1:12" ht="9" customHeight="1">
      <c r="A35" s="21" t="s">
        <v>85</v>
      </c>
      <c r="B35" s="120"/>
      <c r="C35" s="23">
        <f>SUM('3.2.2'!C35,'3.2.3'!C35,'3.2.4'!C35,'3.2.5'!C35,'3.2.6'!C35,'3.2.7'!C35,'3.2.8'!C35,'3.2.9'!C35)</f>
        <v>34374</v>
      </c>
      <c r="D35" s="23">
        <f>SUM('3.2.2'!D35,'3.2.3'!D35,'3.2.4'!D35,'3.2.5'!D35,'3.2.6'!D35,'3.2.7'!D35,'3.2.8'!D35,'3.2.9'!D35)</f>
        <v>45473</v>
      </c>
      <c r="E35" s="23">
        <f>SUM('3.2.2'!E35,'3.2.3'!E35,'3.2.4'!E35,'3.2.5'!E35,'3.2.6'!E35,'3.2.7'!E35,'3.2.8'!E35,'3.2.9'!E35)</f>
        <v>43698</v>
      </c>
      <c r="F35" s="23">
        <f>SUM('3.2.2'!F35,'3.2.3'!F35,'3.2.4'!F35,'3.2.5'!F35,'3.2.6'!F35,'3.2.7'!F35,'3.2.8'!F35,'3.2.9'!F35)</f>
        <v>43654</v>
      </c>
      <c r="G35" s="34">
        <f>SUM('3.2.2'!G35,'3.2.3'!G35,'3.2.4'!G35,'3.2.5'!G35,'3.2.6'!G35,'3.2.7'!G35,'3.2.8'!G35,'3.2.9'!G35)</f>
        <v>50608</v>
      </c>
      <c r="H35" s="52">
        <f>IF('AW Schüler'!$B209=0,"x",C35/'AW Schüler'!$B209)</f>
        <v>0.2666821831723496</v>
      </c>
      <c r="I35" s="52">
        <f>IF('AW Schüler'!$E209=0,"x",D35/'AW Schüler'!$E209)</f>
        <v>0.35078800595536563</v>
      </c>
      <c r="J35" s="52">
        <f>IF('AW Schüler'!$H209=0,"x",E35/'AW Schüler'!$H209)</f>
        <v>0.33469412764914486</v>
      </c>
      <c r="K35" s="52">
        <f>IF('AW Schüler'!$K209=0,"x",F35/'AW Schüler'!$K209)</f>
        <v>0.33030924402811723</v>
      </c>
      <c r="L35" s="53">
        <f>IF('AW Schüler'!$N209=0,"x",G35/'AW Schüler'!$N209)</f>
        <v>0.37557236046278636</v>
      </c>
    </row>
    <row r="36" spans="1:12" ht="9" customHeight="1">
      <c r="A36" s="21" t="s">
        <v>86</v>
      </c>
      <c r="B36" s="120"/>
      <c r="C36" s="23">
        <f>SUM('3.2.2'!C36,'3.2.3'!C36,'3.2.4'!C36,'3.2.5'!C36,'3.2.6'!C36,'3.2.7'!C36,'3.2.8'!C36,'3.2.9'!C36)</f>
        <v>18135</v>
      </c>
      <c r="D36" s="23">
        <f>SUM('3.2.2'!D36,'3.2.3'!D36,'3.2.4'!D36,'3.2.5'!D36,'3.2.6'!D36,'3.2.7'!D36,'3.2.8'!D36,'3.2.9'!D36)</f>
        <v>19232</v>
      </c>
      <c r="E36" s="23">
        <f>SUM('3.2.2'!E36,'3.2.3'!E36,'3.2.4'!E36,'3.2.5'!E36,'3.2.6'!E36,'3.2.7'!E36,'3.2.8'!E36,'3.2.9'!E36)</f>
        <v>19085</v>
      </c>
      <c r="F36" s="23">
        <f>SUM('3.2.2'!F36,'3.2.3'!F36,'3.2.4'!F36,'3.2.5'!F36,'3.2.6'!F36,'3.2.7'!F36,'3.2.8'!F36,'3.2.9'!F36)</f>
        <v>21024</v>
      </c>
      <c r="G36" s="34">
        <f>SUM('3.2.2'!G36,'3.2.3'!G36,'3.2.4'!G36,'3.2.5'!G36,'3.2.6'!G36,'3.2.7'!G36,'3.2.8'!G36,'3.2.9'!G36)</f>
        <v>23814</v>
      </c>
      <c r="H36" s="52">
        <f>IF('AW Schüler'!$B210=0,"x",C36/'AW Schüler'!$B210)</f>
        <v>3.5057026870288034E-2</v>
      </c>
      <c r="I36" s="52">
        <f>IF('AW Schüler'!$E210=0,"x",D36/'AW Schüler'!$E210)</f>
        <v>3.7678405250526521E-2</v>
      </c>
      <c r="J36" s="52">
        <f>IF('AW Schüler'!$H210=0,"x",E36/'AW Schüler'!$H210)</f>
        <v>3.760798625342876E-2</v>
      </c>
      <c r="K36" s="52">
        <f>IF('AW Schüler'!$K210=0,"x",F36/'AW Schüler'!$K210)</f>
        <v>4.1384767712637278E-2</v>
      </c>
      <c r="L36" s="53">
        <f>IF('AW Schüler'!$N210=0,"x",G36/'AW Schüler'!$N210)</f>
        <v>4.627716942449888E-2</v>
      </c>
    </row>
    <row r="37" spans="1:12" ht="9" customHeight="1">
      <c r="A37" s="21" t="s">
        <v>87</v>
      </c>
      <c r="B37" s="120"/>
      <c r="C37" s="23">
        <f>SUM('3.2.2'!C37,'3.2.3'!C37,'3.2.4'!C37,'3.2.5'!C37,'3.2.6'!C37,'3.2.7'!C37,'3.2.8'!C37,'3.2.9'!C37)</f>
        <v>29095</v>
      </c>
      <c r="D37" s="23">
        <f>SUM('3.2.2'!D37,'3.2.3'!D37,'3.2.4'!D37,'3.2.5'!D37,'3.2.6'!D37,'3.2.7'!D37,'3.2.8'!D37,'3.2.9'!D37)</f>
        <v>28512</v>
      </c>
      <c r="E37" s="23">
        <f>SUM('3.2.2'!E37,'3.2.3'!E37,'3.2.4'!E37,'3.2.5'!E37,'3.2.6'!E37,'3.2.7'!E37,'3.2.8'!E37,'3.2.9'!E37)</f>
        <v>30764</v>
      </c>
      <c r="F37" s="23">
        <f>SUM('3.2.2'!F37,'3.2.3'!F37,'3.2.4'!F37,'3.2.5'!F37,'3.2.6'!F37,'3.2.7'!F37,'3.2.8'!F37,'3.2.9'!F37)</f>
        <v>29075</v>
      </c>
      <c r="G37" s="34">
        <f>SUM('3.2.2'!G37,'3.2.3'!G37,'3.2.4'!G37,'3.2.5'!G37,'3.2.6'!G37,'3.2.7'!G37,'3.2.8'!G37,'3.2.9'!G37)</f>
        <v>35562</v>
      </c>
      <c r="H37" s="52">
        <f>IF('AW Schüler'!$B211=0,"x",C37/'AW Schüler'!$B211)</f>
        <v>0.26673328505028465</v>
      </c>
      <c r="I37" s="52">
        <f>IF('AW Schüler'!$E211=0,"x",D37/'AW Schüler'!$E211)</f>
        <v>0.26075504828797191</v>
      </c>
      <c r="J37" s="52">
        <f>IF('AW Schüler'!$H211=0,"x",E37/'AW Schüler'!$H211)</f>
        <v>0.27671937683271269</v>
      </c>
      <c r="K37" s="52">
        <f>IF('AW Schüler'!$K211=0,"x",F37/'AW Schüler'!$K211)</f>
        <v>0.25716661212287389</v>
      </c>
      <c r="L37" s="53">
        <f>IF('AW Schüler'!$N211=0,"x",G37/'AW Schüler'!$N211)</f>
        <v>0.30817359353877083</v>
      </c>
    </row>
    <row r="38" spans="1:12" ht="9" customHeight="1">
      <c r="A38" s="21" t="s">
        <v>88</v>
      </c>
      <c r="B38" s="120"/>
      <c r="C38" s="23">
        <f>SUM('3.2.2'!C38,'3.2.3'!C38,'3.2.4'!C38,'3.2.5'!C38,'3.2.6'!C38,'3.2.7'!C38,'3.2.8'!C38,'3.2.9'!C38)</f>
        <v>83359</v>
      </c>
      <c r="D38" s="23">
        <f>SUM('3.2.2'!D38,'3.2.3'!D38,'3.2.4'!D38,'3.2.5'!D38,'3.2.6'!D38,'3.2.7'!D38,'3.2.8'!D38,'3.2.9'!D38)</f>
        <v>90685</v>
      </c>
      <c r="E38" s="23">
        <f>SUM('3.2.2'!E38,'3.2.3'!E38,'3.2.4'!E38,'3.2.5'!E38,'3.2.6'!E38,'3.2.7'!E38,'3.2.8'!E38,'3.2.9'!E38)</f>
        <v>116607</v>
      </c>
      <c r="F38" s="23">
        <f>SUM('3.2.2'!F38,'3.2.3'!F38,'3.2.4'!F38,'3.2.5'!F38,'3.2.6'!F38,'3.2.7'!F38,'3.2.8'!F38,'3.2.9'!F38)</f>
        <v>148319</v>
      </c>
      <c r="G38" s="34">
        <f>SUM('3.2.2'!G38,'3.2.3'!G38,'3.2.4'!G38,'3.2.5'!G38,'3.2.6'!G38,'3.2.7'!G38,'3.2.8'!G38,'3.2.9'!G38)</f>
        <v>166367</v>
      </c>
      <c r="H38" s="52">
        <f>IF('AW Schüler'!$B212=0,"x",C38/'AW Schüler'!$B212)</f>
        <v>0.11279286105717513</v>
      </c>
      <c r="I38" s="52">
        <f>IF('AW Schüler'!$E212=0,"x",D38/'AW Schüler'!$E212)</f>
        <v>0.12555675702618022</v>
      </c>
      <c r="J38" s="52">
        <f>IF('AW Schüler'!$H212=0,"x",E38/'AW Schüler'!$H212)</f>
        <v>0.16431250757398552</v>
      </c>
      <c r="K38" s="52">
        <f>IF('AW Schüler'!$K212=0,"x",F38/'AW Schüler'!$K212)</f>
        <v>0.21159772194228388</v>
      </c>
      <c r="L38" s="53">
        <f>IF('AW Schüler'!$N212=0,"x",G38/'AW Schüler'!$N212)</f>
        <v>0.23681798123870124</v>
      </c>
    </row>
    <row r="39" spans="1:12" ht="9" customHeight="1">
      <c r="A39" s="21" t="s">
        <v>89</v>
      </c>
      <c r="B39" s="120"/>
      <c r="C39" s="23">
        <f>SUM('3.2.2'!C39,'3.2.3'!C39,'3.2.4'!C39,'3.2.5'!C39,'3.2.6'!C39,'3.2.7'!C39,'3.2.8'!C39,'3.2.9'!C39)</f>
        <v>392401</v>
      </c>
      <c r="D39" s="23">
        <f>SUM('3.2.2'!D39,'3.2.3'!D39,'3.2.4'!D39,'3.2.5'!D39,'3.2.6'!D39,'3.2.7'!D39,'3.2.8'!D39,'3.2.9'!D39)</f>
        <v>423240</v>
      </c>
      <c r="E39" s="23">
        <f>SUM('3.2.2'!E39,'3.2.3'!E39,'3.2.4'!E39,'3.2.5'!E39,'3.2.6'!E39,'3.2.7'!E39,'3.2.8'!E39,'3.2.9'!E39)</f>
        <v>449238</v>
      </c>
      <c r="F39" s="23">
        <f>SUM('3.2.2'!F39,'3.2.3'!F39,'3.2.4'!F39,'3.2.5'!F39,'3.2.6'!F39,'3.2.7'!F39,'3.2.8'!F39,'3.2.9'!F39)</f>
        <v>468986</v>
      </c>
      <c r="G39" s="34">
        <f>SUM('3.2.2'!G39,'3.2.3'!G39,'3.2.4'!G39,'3.2.5'!G39,'3.2.6'!G39,'3.2.7'!G39,'3.2.8'!G39,'3.2.9'!G39)</f>
        <v>489025</v>
      </c>
      <c r="H39" s="52">
        <f>IF('AW Schüler'!$B213=0,"x",C39/'AW Schüler'!$B213)</f>
        <v>0.24198160475821942</v>
      </c>
      <c r="I39" s="52">
        <f>IF('AW Schüler'!$E213=0,"x",D39/'AW Schüler'!$E213)</f>
        <v>0.26753222946685085</v>
      </c>
      <c r="J39" s="52">
        <f>IF('AW Schüler'!$H213=0,"x",E39/'AW Schüler'!$H213)</f>
        <v>0.28833849051008875</v>
      </c>
      <c r="K39" s="52">
        <f>IF('AW Schüler'!$K213=0,"x",F39/'AW Schüler'!$K213)</f>
        <v>0.30470791023257898</v>
      </c>
      <c r="L39" s="53">
        <f>IF('AW Schüler'!$N213=0,"x",G39/'AW Schüler'!$N213)</f>
        <v>0.31600356697446902</v>
      </c>
    </row>
    <row r="40" spans="1:12" ht="9" customHeight="1">
      <c r="A40" s="21" t="s">
        <v>90</v>
      </c>
      <c r="B40" s="120"/>
      <c r="C40" s="23">
        <f>SUM('3.2.2'!C40,'3.2.3'!C40,'3.2.4'!C40,'3.2.5'!C40,'3.2.6'!C40,'3.2.7'!C40,'3.2.8'!C40,'3.2.9'!C40)</f>
        <v>71180</v>
      </c>
      <c r="D40" s="23">
        <f>SUM('3.2.2'!D40,'3.2.3'!D40,'3.2.4'!D40,'3.2.5'!D40,'3.2.6'!D40,'3.2.7'!D40,'3.2.8'!D40,'3.2.9'!D40)</f>
        <v>71640</v>
      </c>
      <c r="E40" s="23">
        <f>SUM('3.2.2'!E40,'3.2.3'!E40,'3.2.4'!E40,'3.2.5'!E40,'3.2.6'!E40,'3.2.7'!E40,'3.2.8'!E40,'3.2.9'!E40)</f>
        <v>72319</v>
      </c>
      <c r="F40" s="23">
        <f>SUM('3.2.2'!F40,'3.2.3'!F40,'3.2.4'!F40,'3.2.5'!F40,'3.2.6'!F40,'3.2.7'!F40,'3.2.8'!F40,'3.2.9'!F40)</f>
        <v>74159</v>
      </c>
      <c r="G40" s="34">
        <f>SUM('3.2.2'!G40,'3.2.3'!G40,'3.2.4'!G40,'3.2.5'!G40,'3.2.6'!G40,'3.2.7'!G40,'3.2.8'!G40,'3.2.9'!G40)</f>
        <v>76387</v>
      </c>
      <c r="H40" s="52">
        <f>IF('AW Schüler'!$B214=0,"x",C40/'AW Schüler'!$B214)</f>
        <v>0.20002810172825627</v>
      </c>
      <c r="I40" s="52">
        <f>IF('AW Schüler'!$E214=0,"x",D40/'AW Schüler'!$E214)</f>
        <v>0.20718675439230713</v>
      </c>
      <c r="J40" s="52">
        <f>IF('AW Schüler'!$H214=0,"x",E40/'AW Schüler'!$H214)</f>
        <v>0.21288765252204117</v>
      </c>
      <c r="K40" s="52">
        <f>IF('AW Schüler'!$K214=0,"x",F40/'AW Schüler'!$K214)</f>
        <v>0.22084539422744762</v>
      </c>
      <c r="L40" s="53">
        <f>IF('AW Schüler'!$N214=0,"x",G40/'AW Schüler'!$N214)</f>
        <v>0.22768989558462771</v>
      </c>
    </row>
    <row r="41" spans="1:12" ht="9" customHeight="1">
      <c r="A41" s="21" t="s">
        <v>91</v>
      </c>
      <c r="B41" s="120"/>
      <c r="C41" s="23">
        <f>SUM('3.2.2'!C41,'3.2.3'!C41,'3.2.4'!C41,'3.2.5'!C41,'3.2.6'!C41,'3.2.7'!C41,'3.2.8'!C41,'3.2.9'!C41)</f>
        <v>5059</v>
      </c>
      <c r="D41" s="23">
        <f>SUM('3.2.2'!D41,'3.2.3'!D41,'3.2.4'!D41,'3.2.5'!D41,'3.2.6'!D41,'3.2.7'!D41,'3.2.8'!D41,'3.2.9'!D41)</f>
        <v>4652</v>
      </c>
      <c r="E41" s="23">
        <f>SUM('3.2.2'!E41,'3.2.3'!E41,'3.2.4'!E41,'3.2.5'!E41,'3.2.6'!E41,'3.2.7'!E41,'3.2.8'!E41,'3.2.9'!E41)</f>
        <v>5097</v>
      </c>
      <c r="F41" s="23">
        <f>SUM('3.2.2'!F41,'3.2.3'!F41,'3.2.4'!F41,'3.2.5'!F41,'3.2.6'!F41,'3.2.7'!F41,'3.2.8'!F41,'3.2.9'!F41)</f>
        <v>5990</v>
      </c>
      <c r="G41" s="34">
        <f>SUM('3.2.2'!G41,'3.2.3'!G41,'3.2.4'!G41,'3.2.5'!G41,'3.2.6'!G41,'3.2.7'!G41,'3.2.8'!G41,'3.2.9'!G41)</f>
        <v>6588</v>
      </c>
      <c r="H41" s="52">
        <f>IF('AW Schüler'!$B215=0,"x",C41/'AW Schüler'!$B215)</f>
        <v>6.6357984207350659E-2</v>
      </c>
      <c r="I41" s="52">
        <f>IF('AW Schüler'!$E215=0,"x",D41/'AW Schüler'!$E215)</f>
        <v>6.3121616304156095E-2</v>
      </c>
      <c r="J41" s="52">
        <f>IF('AW Schüler'!$H215=0,"x",E41/'AW Schüler'!$H215)</f>
        <v>7.0026240949620122E-2</v>
      </c>
      <c r="K41" s="52">
        <f>IF('AW Schüler'!$K215=0,"x",F41/'AW Schüler'!$K215)</f>
        <v>8.2853823171406438E-2</v>
      </c>
      <c r="L41" s="53">
        <f>IF('AW Schüler'!$N215=0,"x",G41/'AW Schüler'!$N215)</f>
        <v>8.9749877390877877E-2</v>
      </c>
    </row>
    <row r="42" spans="1:12" ht="9" customHeight="1">
      <c r="A42" s="21" t="s">
        <v>92</v>
      </c>
      <c r="B42" s="120"/>
      <c r="C42" s="23">
        <f>SUM('3.2.2'!C42,'3.2.3'!C42,'3.2.4'!C42,'3.2.5'!C42,'3.2.6'!C42,'3.2.7'!C42,'3.2.8'!C42,'3.2.9'!C42)</f>
        <v>72467</v>
      </c>
      <c r="D42" s="23">
        <f>SUM('3.2.2'!D42,'3.2.3'!D42,'3.2.4'!D42,'3.2.5'!D42,'3.2.6'!D42,'3.2.7'!D42,'3.2.8'!D42,'3.2.9'!D42)</f>
        <v>70947</v>
      </c>
      <c r="E42" s="23">
        <f>SUM('3.2.2'!E42,'3.2.3'!E42,'3.2.4'!E42,'3.2.5'!E42,'3.2.6'!E42,'3.2.7'!E42,'3.2.8'!E42,'3.2.9'!E42)</f>
        <v>73892</v>
      </c>
      <c r="F42" s="23">
        <f>SUM('3.2.2'!F42,'3.2.3'!F42,'3.2.4'!F42,'3.2.5'!F42,'3.2.6'!F42,'3.2.7'!F42,'3.2.8'!F42,'3.2.9'!F42)</f>
        <v>75969</v>
      </c>
      <c r="G42" s="34">
        <f>SUM('3.2.2'!G42,'3.2.3'!G42,'3.2.4'!G42,'3.2.5'!G42,'3.2.6'!G42,'3.2.7'!G42,'3.2.8'!G42,'3.2.9'!G42)</f>
        <v>80553</v>
      </c>
      <c r="H42" s="52">
        <f>IF('AW Schüler'!$B216=0,"x",C42/'AW Schüler'!$B216)</f>
        <v>0.26414165898180786</v>
      </c>
      <c r="I42" s="52">
        <f>IF('AW Schüler'!$E216=0,"x",D42/'AW Schüler'!$E216)</f>
        <v>0.25537314131244671</v>
      </c>
      <c r="J42" s="52">
        <f>IF('AW Schüler'!$H216=0,"x",E42/'AW Schüler'!$H216)</f>
        <v>0.26172766041852624</v>
      </c>
      <c r="K42" s="52">
        <f>IF('AW Schüler'!$K216=0,"x",F42/'AW Schüler'!$K216)</f>
        <v>0.26380781398126896</v>
      </c>
      <c r="L42" s="53">
        <f>IF('AW Schüler'!$N216=0,"x",G42/'AW Schüler'!$N216)</f>
        <v>0.2731017507696063</v>
      </c>
    </row>
    <row r="43" spans="1:12" ht="9" customHeight="1">
      <c r="A43" s="21" t="s">
        <v>93</v>
      </c>
      <c r="B43" s="120"/>
      <c r="C43" s="23">
        <f>SUM('3.2.2'!C43,'3.2.3'!C43,'3.2.4'!C43,'3.2.5'!C43,'3.2.6'!C43,'3.2.7'!C43,'3.2.8'!C43,'3.2.9'!C43)</f>
        <v>12124</v>
      </c>
      <c r="D43" s="23">
        <f>SUM('3.2.2'!D43,'3.2.3'!D43,'3.2.4'!D43,'3.2.5'!D43,'3.2.6'!D43,'3.2.7'!D43,'3.2.8'!D43,'3.2.9'!D43)</f>
        <v>12540</v>
      </c>
      <c r="E43" s="23">
        <f>SUM('3.2.2'!E43,'3.2.3'!E43,'3.2.4'!E43,'3.2.5'!E43,'3.2.6'!E43,'3.2.7'!E43,'3.2.8'!E43,'3.2.9'!E43)</f>
        <v>13158</v>
      </c>
      <c r="F43" s="23">
        <f>SUM('3.2.2'!F43,'3.2.3'!F43,'3.2.4'!F43,'3.2.5'!F43,'3.2.6'!F43,'3.2.7'!F43,'3.2.8'!F43,'3.2.9'!F43)</f>
        <v>15045</v>
      </c>
      <c r="G43" s="34">
        <f>SUM('3.2.2'!G43,'3.2.3'!G43,'3.2.4'!G43,'3.2.5'!G43,'3.2.6'!G43,'3.2.7'!G43,'3.2.8'!G43,'3.2.9'!G43)</f>
        <v>12440</v>
      </c>
      <c r="H43" s="52">
        <f>IF('AW Schüler'!$B217=0,"x",C43/'AW Schüler'!$B217)</f>
        <v>8.0141192334895528E-2</v>
      </c>
      <c r="I43" s="52">
        <f>IF('AW Schüler'!$E217=0,"x",D43/'AW Schüler'!$E217)</f>
        <v>8.2489146164978294E-2</v>
      </c>
      <c r="J43" s="52">
        <f>IF('AW Schüler'!$H217=0,"x",E43/'AW Schüler'!$H217)</f>
        <v>8.5979769466007994E-2</v>
      </c>
      <c r="K43" s="52">
        <f>IF('AW Schüler'!$K217=0,"x",F43/'AW Schüler'!$K217)</f>
        <v>9.7342098112035605E-2</v>
      </c>
      <c r="L43" s="53">
        <f>IF('AW Schüler'!$N217=0,"x",G43/'AW Schüler'!$N217)</f>
        <v>7.9182208190648348E-2</v>
      </c>
    </row>
    <row r="44" spans="1:12" ht="9" customHeight="1">
      <c r="A44" s="21" t="s">
        <v>94</v>
      </c>
      <c r="B44" s="120"/>
      <c r="C44" s="23">
        <f>SUM('3.2.2'!C44,'3.2.3'!C44,'3.2.4'!C44,'3.2.5'!C44,'3.2.6'!C44,'3.2.7'!C44,'3.2.8'!C44,'3.2.9'!C44)</f>
        <v>12678</v>
      </c>
      <c r="D44" s="23">
        <f>SUM('3.2.2'!D44,'3.2.3'!D44,'3.2.4'!D44,'3.2.5'!D44,'3.2.6'!D44,'3.2.7'!D44,'3.2.8'!D44,'3.2.9'!D44)</f>
        <v>13599</v>
      </c>
      <c r="E44" s="23">
        <f>SUM('3.2.2'!E44,'3.2.3'!E44,'3.2.4'!E44,'3.2.5'!E44,'3.2.6'!E44,'3.2.7'!E44,'3.2.8'!E44,'3.2.9'!E44)</f>
        <v>13710</v>
      </c>
      <c r="F44" s="23">
        <f>SUM('3.2.2'!F44,'3.2.3'!F44,'3.2.4'!F44,'3.2.5'!F44,'3.2.6'!F44,'3.2.7'!F44,'3.2.8'!F44,'3.2.9'!F44)</f>
        <v>13765</v>
      </c>
      <c r="G44" s="34">
        <f>SUM('3.2.2'!G44,'3.2.3'!G44,'3.2.4'!G44,'3.2.5'!G44,'3.2.6'!G44,'3.2.7'!G44,'3.2.8'!G44,'3.2.9'!G44)</f>
        <v>13905</v>
      </c>
      <c r="H44" s="52">
        <f>IF('AW Schüler'!$B218=0,"x",C44/'AW Schüler'!$B218)</f>
        <v>4.7688725554732199E-2</v>
      </c>
      <c r="I44" s="52">
        <f>IF('AW Schüler'!$E218=0,"x",D44/'AW Schüler'!$E218)</f>
        <v>5.418208911218509E-2</v>
      </c>
      <c r="J44" s="52">
        <f>IF('AW Schüler'!$H218=0,"x",E44/'AW Schüler'!$H218)</f>
        <v>5.5484508045456016E-2</v>
      </c>
      <c r="K44" s="52">
        <f>IF('AW Schüler'!$K218=0,"x",F44/'AW Schüler'!$K218)</f>
        <v>5.6066734280745059E-2</v>
      </c>
      <c r="L44" s="53">
        <f>IF('AW Schüler'!$N218=0,"x",G44/'AW Schüler'!$N218)</f>
        <v>5.6471591601348334E-2</v>
      </c>
    </row>
    <row r="45" spans="1:12" ht="9" customHeight="1">
      <c r="A45" s="21" t="s">
        <v>95</v>
      </c>
      <c r="B45" s="120"/>
      <c r="C45" s="23">
        <f>SUM('3.2.2'!C45,'3.2.3'!C45,'3.2.4'!C45,'3.2.5'!C45,'3.2.6'!C45,'3.2.7'!C45,'3.2.8'!C45,'3.2.9'!C45)</f>
        <v>12212</v>
      </c>
      <c r="D45" s="23">
        <f>SUM('3.2.2'!D45,'3.2.3'!D45,'3.2.4'!D45,'3.2.5'!D45,'3.2.6'!D45,'3.2.7'!D45,'3.2.8'!D45,'3.2.9'!D45)</f>
        <v>12496</v>
      </c>
      <c r="E45" s="23">
        <f>SUM('3.2.2'!E45,'3.2.3'!E45,'3.2.4'!E45,'3.2.5'!E45,'3.2.6'!E45,'3.2.7'!E45,'3.2.8'!E45,'3.2.9'!E45)</f>
        <v>12974</v>
      </c>
      <c r="F45" s="23">
        <f>SUM('3.2.2'!F45,'3.2.3'!F45,'3.2.4'!F45,'3.2.5'!F45,'3.2.6'!F45,'3.2.7'!F45,'3.2.8'!F45,'3.2.9'!F45)</f>
        <v>13999</v>
      </c>
      <c r="G45" s="34">
        <f>SUM('3.2.2'!G45,'3.2.3'!G45,'3.2.4'!G45,'3.2.5'!G45,'3.2.6'!G45,'3.2.7'!G45,'3.2.8'!G45,'3.2.9'!G45)</f>
        <v>15305</v>
      </c>
      <c r="H45" s="52">
        <f>IF('AW Schüler'!$B219=0,"x",C45/'AW Schüler'!$B219)</f>
        <v>8.1015815730814136E-2</v>
      </c>
      <c r="I45" s="52">
        <f>IF('AW Schüler'!$E219=0,"x",D45/'AW Schüler'!$E219)</f>
        <v>8.2896054874853228E-2</v>
      </c>
      <c r="J45" s="52">
        <f>IF('AW Schüler'!$H219=0,"x",E45/'AW Schüler'!$H219)</f>
        <v>8.5675418669765968E-2</v>
      </c>
      <c r="K45" s="52">
        <f>IF('AW Schüler'!$K219=0,"x",F45/'AW Schüler'!$K219)</f>
        <v>9.1429803020011496E-2</v>
      </c>
      <c r="L45" s="53">
        <f>IF('AW Schüler'!$N219=0,"x",G45/'AW Schüler'!$N219)</f>
        <v>9.8352965369217227E-2</v>
      </c>
    </row>
    <row r="46" spans="1:12" ht="9" customHeight="1">
      <c r="A46" s="21" t="s">
        <v>96</v>
      </c>
      <c r="B46" s="120"/>
      <c r="C46" s="23">
        <f>SUM('3.2.2'!C46,'3.2.3'!C46,'3.2.4'!C46,'3.2.5'!C46,'3.2.6'!C46,'3.2.7'!C46,'3.2.8'!C46,'3.2.9'!C46)</f>
        <v>989997</v>
      </c>
      <c r="D46" s="23">
        <f>SUM('3.2.2'!D46,'3.2.3'!D46,'3.2.4'!D46,'3.2.5'!D46,'3.2.6'!D46,'3.2.7'!D46,'3.2.8'!D46,'3.2.9'!D46)</f>
        <v>1073538</v>
      </c>
      <c r="E46" s="23">
        <f>SUM('3.2.2'!E46,'3.2.3'!E46,'3.2.4'!E46,'3.2.5'!E46,'3.2.6'!E46,'3.2.7'!E46,'3.2.8'!E46,'3.2.9'!E46)</f>
        <v>1147993</v>
      </c>
      <c r="F46" s="23">
        <f>SUM('3.2.2'!F46,'3.2.3'!F46,'3.2.4'!F46,'3.2.5'!F46,'3.2.6'!F46,'3.2.7'!F46,'3.2.8'!F46,'3.2.9'!F46)</f>
        <v>1218945</v>
      </c>
      <c r="G46" s="34">
        <f>SUM('3.2.2'!G46,'3.2.3'!G46,'3.2.4'!G46,'3.2.5'!G46,'3.2.6'!G46,'3.2.7'!G46,'3.2.8'!G46,'3.2.9'!G46)</f>
        <v>1304280</v>
      </c>
      <c r="H46" s="52">
        <f>IF('AW Schüler'!$B220=0,"x",C46/'AW Schüler'!$B220)</f>
        <v>0.143986871848096</v>
      </c>
      <c r="I46" s="52">
        <f>IF('AW Schüler'!$E220=0,"x",D46/'AW Schüler'!$E220)</f>
        <v>0.15889356565261575</v>
      </c>
      <c r="J46" s="52">
        <f>IF('AW Schüler'!$H220=0,"x",E46/'AW Schüler'!$H220)</f>
        <v>0.17150204287368065</v>
      </c>
      <c r="K46" s="52">
        <f>IF('AW Schüler'!$K220=0,"x",F46/'AW Schüler'!$K220)</f>
        <v>0.18301174961421665</v>
      </c>
      <c r="L46" s="53">
        <f>IF('AW Schüler'!$N220=0,"x",G46/'AW Schüler'!$N220)</f>
        <v>0.1943798141150255</v>
      </c>
    </row>
    <row r="47" spans="1:12" ht="12.75" customHeight="1">
      <c r="A47" s="391" t="s">
        <v>100</v>
      </c>
      <c r="B47" s="392"/>
      <c r="C47" s="392"/>
      <c r="D47" s="392"/>
      <c r="E47" s="392"/>
      <c r="F47" s="392"/>
      <c r="G47" s="392"/>
      <c r="H47" s="392"/>
      <c r="I47" s="392"/>
      <c r="J47" s="392"/>
      <c r="K47" s="392"/>
      <c r="L47" s="393"/>
    </row>
    <row r="48" spans="1:12" ht="9" customHeight="1">
      <c r="A48" s="21" t="s">
        <v>175</v>
      </c>
      <c r="B48" s="120"/>
      <c r="C48" s="23">
        <f>SUM('3.2.2'!C48,'3.2.3'!C48,'3.2.4'!C48,'3.2.5'!C48,'3.2.6'!C48,'3.2.7'!C48,'3.2.8'!C48,'3.2.9'!C48)</f>
        <v>77884</v>
      </c>
      <c r="D48" s="23">
        <f>SUM('3.2.2'!D48,'3.2.3'!D48,'3.2.4'!D48,'3.2.5'!D48,'3.2.6'!D48,'3.2.7'!D48,'3.2.8'!D48,'3.2.9'!D48)</f>
        <v>81885</v>
      </c>
      <c r="E48" s="23">
        <f>SUM('3.2.2'!E48,'3.2.3'!E48,'3.2.4'!E48,'3.2.5'!E48,'3.2.6'!E48,'3.2.7'!E48,'3.2.8'!E48,'3.2.9'!E48)</f>
        <v>88962</v>
      </c>
      <c r="F48" s="23">
        <f>SUM('3.2.2'!F48,'3.2.3'!F48,'3.2.4'!F48,'3.2.5'!F48,'3.2.6'!F48,'3.2.7'!F48,'3.2.8'!F48,'3.2.9'!F48)</f>
        <v>97260</v>
      </c>
      <c r="G48" s="34">
        <f>SUM('3.2.2'!G48,'3.2.3'!G48,'3.2.4'!G48,'3.2.5'!G48,'3.2.6'!G48,'3.2.7'!G48,'3.2.8'!G48,'3.2.9'!G48)</f>
        <v>105137</v>
      </c>
      <c r="H48" s="52">
        <f>IF('AW Schüler'!$B204=0,"x",C48/'AW Schüler'!$B204)</f>
        <v>8.1195984195327406E-2</v>
      </c>
      <c r="I48" s="52">
        <f>IF('AW Schüler'!$E204=0,"x",D48/'AW Schüler'!$E204)</f>
        <v>8.7128015458213456E-2</v>
      </c>
      <c r="J48" s="52">
        <f>IF('AW Schüler'!$H204=0,"x",E48/'AW Schüler'!$H204)</f>
        <v>9.5915282488738624E-2</v>
      </c>
      <c r="K48" s="52">
        <f>IF('AW Schüler'!$K204=0,"x",F48/'AW Schüler'!$K204)</f>
        <v>0.10612134450920788</v>
      </c>
      <c r="L48" s="53">
        <f>IF('AW Schüler'!$N204=0,"x",G48/'AW Schüler'!$N204)</f>
        <v>0.11476234761954661</v>
      </c>
    </row>
    <row r="49" spans="1:12" ht="9" customHeight="1">
      <c r="A49" s="21" t="s">
        <v>81</v>
      </c>
      <c r="B49" s="120"/>
      <c r="C49" s="23">
        <f>SUM('3.2.2'!C49,'3.2.3'!C49,'3.2.4'!C49,'3.2.5'!C49,'3.2.6'!C49,'3.2.7'!C49,'3.2.8'!C49,'3.2.9'!C49)</f>
        <v>54954</v>
      </c>
      <c r="D49" s="23">
        <f>SUM('3.2.2'!D49,'3.2.3'!D49,'3.2.4'!D49,'3.2.5'!D49,'3.2.6'!D49,'3.2.7'!D49,'3.2.8'!D49,'3.2.9'!D49)</f>
        <v>58236</v>
      </c>
      <c r="E49" s="23">
        <f>SUM('3.2.2'!E49,'3.2.3'!E49,'3.2.4'!E49,'3.2.5'!E49,'3.2.6'!E49,'3.2.7'!E49,'3.2.8'!E49,'3.2.9'!E49)</f>
        <v>59226</v>
      </c>
      <c r="F49" s="23">
        <f>SUM('3.2.2'!F49,'3.2.3'!F49,'3.2.4'!F49,'3.2.5'!F49,'3.2.6'!F49,'3.2.7'!F49,'3.2.8'!F49,'3.2.9'!F49)</f>
        <v>66894</v>
      </c>
      <c r="G49" s="34">
        <f>SUM('3.2.2'!G49,'3.2.3'!G49,'3.2.4'!G49,'3.2.5'!G49,'3.2.6'!G49,'3.2.7'!G49,'3.2.8'!G49,'3.2.9'!G49)</f>
        <v>127683</v>
      </c>
      <c r="H49" s="52">
        <f>IF('AW Schüler'!$B205=0,"x",C49/'AW Schüler'!$B205)</f>
        <v>5.2239877181058124E-2</v>
      </c>
      <c r="I49" s="52">
        <f>IF('AW Schüler'!$E205=0,"x",D49/'AW Schüler'!$E205)</f>
        <v>5.6252372585516915E-2</v>
      </c>
      <c r="J49" s="52">
        <f>IF('AW Schüler'!$H205=0,"x",E49/'AW Schüler'!$H205)</f>
        <v>5.7869255309274066E-2</v>
      </c>
      <c r="K49" s="52">
        <f>IF('AW Schüler'!$K205=0,"x",F49/'AW Schüler'!$K205)</f>
        <v>6.5838866328223888E-2</v>
      </c>
      <c r="L49" s="53">
        <f>IF('AW Schüler'!$N205=0,"x",G49/'AW Schüler'!$N205)</f>
        <v>0.12588026867234337</v>
      </c>
    </row>
    <row r="50" spans="1:12" ht="9" customHeight="1">
      <c r="A50" s="21" t="s">
        <v>82</v>
      </c>
      <c r="B50" s="120"/>
      <c r="C50" s="23">
        <f>SUM('3.2.2'!C50,'3.2.3'!C50,'3.2.4'!C50,'3.2.5'!C50,'3.2.6'!C50,'3.2.7'!C50,'3.2.8'!C50,'3.2.9'!C50)</f>
        <v>73385</v>
      </c>
      <c r="D50" s="23">
        <f>SUM('3.2.2'!D50,'3.2.3'!D50,'3.2.4'!D50,'3.2.5'!D50,'3.2.6'!D50,'3.2.7'!D50,'3.2.8'!D50,'3.2.9'!D50)</f>
        <v>88114</v>
      </c>
      <c r="E50" s="23">
        <f>SUM('3.2.2'!E50,'3.2.3'!E50,'3.2.4'!E50,'3.2.5'!E50,'3.2.6'!E50,'3.2.7'!E50,'3.2.8'!E50,'3.2.9'!E50)</f>
        <v>83815</v>
      </c>
      <c r="F50" s="23">
        <f>SUM('3.2.2'!F50,'3.2.3'!F50,'3.2.4'!F50,'3.2.5'!F50,'3.2.6'!F50,'3.2.7'!F50,'3.2.8'!F50,'3.2.9'!F50)</f>
        <v>91830</v>
      </c>
      <c r="G50" s="34">
        <f>SUM('3.2.2'!G50,'3.2.3'!G50,'3.2.4'!G50,'3.2.5'!G50,'3.2.6'!G50,'3.2.7'!G50,'3.2.8'!G50,'3.2.9'!G50)</f>
        <v>93048</v>
      </c>
      <c r="H50" s="52">
        <f>IF('AW Schüler'!$B206=0,"x",C50/'AW Schüler'!$B206)</f>
        <v>0.29417306042603686</v>
      </c>
      <c r="I50" s="52">
        <f>IF('AW Schüler'!$E206=0,"x",D50/'AW Schüler'!$E206)</f>
        <v>0.35031905377199085</v>
      </c>
      <c r="J50" s="52">
        <f>IF('AW Schüler'!$H206=0,"x",E50/'AW Schüler'!$H206)</f>
        <v>0.33090659286427754</v>
      </c>
      <c r="K50" s="52">
        <f>IF('AW Schüler'!$K206=0,"x",F50/'AW Schüler'!$K206)</f>
        <v>0.35785543934032704</v>
      </c>
      <c r="L50" s="53">
        <f>IF('AW Schüler'!$N206=0,"x",G50/'AW Schüler'!$N206)</f>
        <v>0.34931599417356179</v>
      </c>
    </row>
    <row r="51" spans="1:12" ht="9" customHeight="1">
      <c r="A51" s="21" t="s">
        <v>83</v>
      </c>
      <c r="B51" s="120"/>
      <c r="C51" s="23">
        <f>SUM('3.2.2'!C51,'3.2.3'!C51,'3.2.4'!C51,'3.2.5'!C51,'3.2.6'!C51,'3.2.7'!C51,'3.2.8'!C51,'3.2.9'!C51)</f>
        <v>53637</v>
      </c>
      <c r="D51" s="23">
        <f>SUM('3.2.2'!D51,'3.2.3'!D51,'3.2.4'!D51,'3.2.5'!D51,'3.2.6'!D51,'3.2.7'!D51,'3.2.8'!D51,'3.2.9'!D51)</f>
        <v>55206</v>
      </c>
      <c r="E51" s="23">
        <f>SUM('3.2.2'!E51,'3.2.3'!E51,'3.2.4'!E51,'3.2.5'!E51,'3.2.6'!E51,'3.2.7'!E51,'3.2.8'!E51,'3.2.9'!E51)</f>
        <v>55799</v>
      </c>
      <c r="F51" s="23">
        <f>SUM('3.2.2'!F51,'3.2.3'!F51,'3.2.4'!F51,'3.2.5'!F51,'3.2.6'!F51,'3.2.7'!F51,'3.2.8'!F51,'3.2.9'!F51)</f>
        <v>55402</v>
      </c>
      <c r="G51" s="34">
        <f>SUM('3.2.2'!G51,'3.2.3'!G51,'3.2.4'!G51,'3.2.5'!G51,'3.2.6'!G51,'3.2.7'!G51,'3.2.8'!G51,'3.2.9'!G51)</f>
        <v>51082</v>
      </c>
      <c r="H51" s="52">
        <f>IF('AW Schüler'!$B207=0,"x",C51/'AW Schüler'!$B207)</f>
        <v>0.30468989649961942</v>
      </c>
      <c r="I51" s="52">
        <f>IF('AW Schüler'!$E207=0,"x",D51/'AW Schüler'!$E207)</f>
        <v>0.31196175493320677</v>
      </c>
      <c r="J51" s="52">
        <f>IF('AW Schüler'!$H207=0,"x",E51/'AW Schüler'!$H207)</f>
        <v>0.31326106117682723</v>
      </c>
      <c r="K51" s="52">
        <f>IF('AW Schüler'!$K207=0,"x",F51/'AW Schüler'!$K207)</f>
        <v>0.3079805212131993</v>
      </c>
      <c r="L51" s="53">
        <f>IF('AW Schüler'!$N207=0,"x",G51/'AW Schüler'!$N207)</f>
        <v>0.27628468973275855</v>
      </c>
    </row>
    <row r="52" spans="1:12" ht="9" customHeight="1">
      <c r="A52" s="21" t="s">
        <v>84</v>
      </c>
      <c r="B52" s="120"/>
      <c r="C52" s="23">
        <f>SUM('3.2.2'!C52,'3.2.3'!C52,'3.2.4'!C52,'3.2.5'!C52,'3.2.6'!C52,'3.2.7'!C52,'3.2.8'!C52,'3.2.9'!C52)</f>
        <v>1793</v>
      </c>
      <c r="D52" s="23">
        <f>SUM('3.2.2'!D52,'3.2.3'!D52,'3.2.4'!D52,'3.2.5'!D52,'3.2.6'!D52,'3.2.7'!D52,'3.2.8'!D52,'3.2.9'!D52)</f>
        <v>1987</v>
      </c>
      <c r="E52" s="23">
        <f>SUM('3.2.2'!E52,'3.2.3'!E52,'3.2.4'!E52,'3.2.5'!E52,'3.2.6'!E52,'3.2.7'!E52,'3.2.8'!E52,'3.2.9'!E52)</f>
        <v>2078</v>
      </c>
      <c r="F52" s="23">
        <f>SUM('3.2.2'!F52,'3.2.3'!F52,'3.2.4'!F52,'3.2.5'!F52,'3.2.6'!F52,'3.2.7'!F52,'3.2.8'!F52,'3.2.9'!F52)</f>
        <v>2696</v>
      </c>
      <c r="G52" s="34">
        <f>SUM('3.2.2'!G52,'3.2.3'!G52,'3.2.4'!G52,'3.2.5'!G52,'3.2.6'!G52,'3.2.7'!G52,'3.2.8'!G52,'3.2.9'!G52)</f>
        <v>2691</v>
      </c>
      <c r="H52" s="52">
        <f>IF('AW Schüler'!$B208=0,"x",C52/'AW Schüler'!$B208)</f>
        <v>3.6815736520060781E-2</v>
      </c>
      <c r="I52" s="52">
        <f>IF('AW Schüler'!$E208=0,"x",D52/'AW Schüler'!$E208)</f>
        <v>4.1362226524282356E-2</v>
      </c>
      <c r="J52" s="52">
        <f>IF('AW Schüler'!$H208=0,"x",E52/'AW Schüler'!$H208)</f>
        <v>4.3185502306829042E-2</v>
      </c>
      <c r="K52" s="52">
        <f>IF('AW Schüler'!$K208=0,"x",F52/'AW Schüler'!$K208)</f>
        <v>5.5141945512558292E-2</v>
      </c>
      <c r="L52" s="53">
        <f>IF('AW Schüler'!$N208=0,"x",G52/'AW Schüler'!$N208)</f>
        <v>5.3108348134991122E-2</v>
      </c>
    </row>
    <row r="53" spans="1:12" ht="9" customHeight="1">
      <c r="A53" s="21" t="s">
        <v>85</v>
      </c>
      <c r="B53" s="120"/>
      <c r="C53" s="23">
        <f>SUM('3.2.2'!C53,'3.2.3'!C53,'3.2.4'!C53,'3.2.5'!C53,'3.2.6'!C53,'3.2.7'!C53,'3.2.8'!C53,'3.2.9'!C53)</f>
        <v>47735</v>
      </c>
      <c r="D53" s="23">
        <f>SUM('3.2.2'!D53,'3.2.3'!D53,'3.2.4'!D53,'3.2.5'!D53,'3.2.6'!D53,'3.2.7'!D53,'3.2.8'!D53,'3.2.9'!D53)</f>
        <v>70452</v>
      </c>
      <c r="E53" s="23">
        <f>SUM('3.2.2'!E53,'3.2.3'!E53,'3.2.4'!E53,'3.2.5'!E53,'3.2.6'!E53,'3.2.7'!E53,'3.2.8'!E53,'3.2.9'!E53)</f>
        <v>74542</v>
      </c>
      <c r="F53" s="23">
        <f>SUM('3.2.2'!F53,'3.2.3'!F53,'3.2.4'!F53,'3.2.5'!F53,'3.2.6'!F53,'3.2.7'!F53,'3.2.8'!F53,'3.2.9'!F53)</f>
        <v>80436</v>
      </c>
      <c r="G53" s="34">
        <f>SUM('3.2.2'!G53,'3.2.3'!G53,'3.2.4'!G53,'3.2.5'!G53,'3.2.6'!G53,'3.2.7'!G53,'3.2.8'!G53,'3.2.9'!G53)</f>
        <v>77515</v>
      </c>
      <c r="H53" s="52">
        <f>IF('AW Schüler'!$B209=0,"x",C53/'AW Schüler'!$B209)</f>
        <v>0.370340199387098</v>
      </c>
      <c r="I53" s="52">
        <f>IF('AW Schüler'!$E209=0,"x",D53/'AW Schüler'!$E209)</f>
        <v>0.54348111177110414</v>
      </c>
      <c r="J53" s="52">
        <f>IF('AW Schüler'!$H209=0,"x",E53/'AW Schüler'!$H209)</f>
        <v>0.57093619074608803</v>
      </c>
      <c r="K53" s="52">
        <f>IF('AW Schüler'!$K209=0,"x",F53/'AW Schüler'!$K209)</f>
        <v>0.60862130280491222</v>
      </c>
      <c r="L53" s="53">
        <f>IF('AW Schüler'!$N209=0,"x",G53/'AW Schüler'!$N209)</f>
        <v>0.57525473287371331</v>
      </c>
    </row>
    <row r="54" spans="1:12" ht="9" customHeight="1">
      <c r="A54" s="21" t="s">
        <v>114</v>
      </c>
      <c r="B54" s="120"/>
      <c r="C54" s="23">
        <f>SUM('3.2.2'!C54,'3.2.3'!C54,'3.2.4'!C54,'3.2.5'!C54,'3.2.6'!C54,'3.2.7'!C54,'3.2.8'!C54,'3.2.9'!C54)</f>
        <v>199439</v>
      </c>
      <c r="D54" s="23">
        <f>SUM('3.2.2'!D54,'3.2.3'!D54,'3.2.4'!D54,'3.2.5'!D54,'3.2.6'!D54,'3.2.7'!D54,'3.2.8'!D54,'3.2.9'!D54)</f>
        <v>204828</v>
      </c>
      <c r="E54" s="23">
        <f>SUM('3.2.2'!E54,'3.2.3'!E54,'3.2.4'!E54,'3.2.5'!E54,'3.2.6'!E54,'3.2.7'!E54,'3.2.8'!E54,'3.2.9'!E54)</f>
        <v>211067</v>
      </c>
      <c r="F54" s="23">
        <f>SUM('3.2.2'!F54,'3.2.3'!F54,'3.2.4'!F54,'3.2.5'!F54,'3.2.6'!F54,'3.2.7'!F54,'3.2.8'!F54,'3.2.9'!F54)</f>
        <v>210602</v>
      </c>
      <c r="G54" s="34">
        <f>SUM('3.2.2'!G54,'3.2.3'!G54,'3.2.4'!G54,'3.2.5'!G54,'3.2.6'!G54,'3.2.7'!G54,'3.2.8'!G54,'3.2.9'!G54)</f>
        <v>229725</v>
      </c>
      <c r="H54" s="52">
        <f>IF('AW Schüler'!$B210=0,"x",C54/'AW Schüler'!$B210)</f>
        <v>0.38553837231780397</v>
      </c>
      <c r="I54" s="52">
        <f>IF('AW Schüler'!$E210=0,"x",D54/'AW Schüler'!$E210)</f>
        <v>0.40128912181025617</v>
      </c>
      <c r="J54" s="52">
        <f>IF('AW Schüler'!$H210=0,"x",E54/'AW Schüler'!$H210)</f>
        <v>0.41591851373080685</v>
      </c>
      <c r="K54" s="52">
        <f>IF('AW Schüler'!$K210=0,"x",F54/'AW Schüler'!$K210)</f>
        <v>0.41456025731624979</v>
      </c>
      <c r="L54" s="53">
        <f>IF('AW Schüler'!$N210=0,"x",G54/'AW Schüler'!$N210)</f>
        <v>0.44641902855643761</v>
      </c>
    </row>
    <row r="55" spans="1:12" ht="9" customHeight="1">
      <c r="A55" s="21" t="s">
        <v>87</v>
      </c>
      <c r="B55" s="120"/>
      <c r="C55" s="23">
        <f>SUM('3.2.2'!C55,'3.2.3'!C55,'3.2.4'!C55,'3.2.5'!C55,'3.2.6'!C55,'3.2.7'!C55,'3.2.8'!C55,'3.2.9'!C55)</f>
        <v>14262</v>
      </c>
      <c r="D55" s="23">
        <f>SUM('3.2.2'!D55,'3.2.3'!D55,'3.2.4'!D55,'3.2.5'!D55,'3.2.6'!D55,'3.2.7'!D55,'3.2.8'!D55,'3.2.9'!D55)</f>
        <v>13489</v>
      </c>
      <c r="E55" s="23">
        <f>SUM('3.2.2'!E55,'3.2.3'!E55,'3.2.4'!E55,'3.2.5'!E55,'3.2.6'!E55,'3.2.7'!E55,'3.2.8'!E55,'3.2.9'!E55)</f>
        <v>15118</v>
      </c>
      <c r="F55" s="23">
        <f>SUM('3.2.2'!F55,'3.2.3'!F55,'3.2.4'!F55,'3.2.5'!F55,'3.2.6'!F55,'3.2.7'!F55,'3.2.8'!F55,'3.2.9'!F55)</f>
        <v>15429</v>
      </c>
      <c r="G55" s="34">
        <f>SUM('3.2.2'!G55,'3.2.3'!G55,'3.2.4'!G55,'3.2.5'!G55,'3.2.6'!G55,'3.2.7'!G55,'3.2.8'!G55,'3.2.9'!G55)</f>
        <v>9240</v>
      </c>
      <c r="H55" s="52">
        <f>IF('AW Schüler'!$B211=0,"x",C55/'AW Schüler'!$B211)</f>
        <v>0.13074927346235296</v>
      </c>
      <c r="I55" s="52">
        <f>IF('AW Schüler'!$E211=0,"x",D55/'AW Schüler'!$E211)</f>
        <v>0.12336296458882061</v>
      </c>
      <c r="J55" s="52">
        <f>IF('AW Schüler'!$H211=0,"x",E55/'AW Schüler'!$H211)</f>
        <v>0.13598503247162105</v>
      </c>
      <c r="K55" s="52">
        <f>IF('AW Schüler'!$K211=0,"x",F55/'AW Schüler'!$K211)</f>
        <v>0.13646856950795602</v>
      </c>
      <c r="L55" s="53">
        <f>IF('AW Schüler'!$N211=0,"x",G55/'AW Schüler'!$N211)</f>
        <v>8.0072099552844125E-2</v>
      </c>
    </row>
    <row r="56" spans="1:12" ht="9" customHeight="1">
      <c r="A56" s="21" t="s">
        <v>88</v>
      </c>
      <c r="B56" s="120"/>
      <c r="C56" s="23">
        <f>SUM('3.2.2'!C56,'3.2.3'!C56,'3.2.4'!C56,'3.2.5'!C56,'3.2.6'!C56,'3.2.7'!C56,'3.2.8'!C56,'3.2.9'!C56)</f>
        <v>204688</v>
      </c>
      <c r="D56" s="23">
        <f>SUM('3.2.2'!D56,'3.2.3'!D56,'3.2.4'!D56,'3.2.5'!D56,'3.2.6'!D56,'3.2.7'!D56,'3.2.8'!D56,'3.2.9'!D56)</f>
        <v>212506</v>
      </c>
      <c r="E56" s="23">
        <f>SUM('3.2.2'!E56,'3.2.3'!E56,'3.2.4'!E56,'3.2.5'!E56,'3.2.6'!E56,'3.2.7'!E56,'3.2.8'!E56,'3.2.9'!E56)</f>
        <v>213095</v>
      </c>
      <c r="F56" s="23">
        <f>SUM('3.2.2'!F56,'3.2.3'!F56,'3.2.4'!F56,'3.2.5'!F56,'3.2.6'!F56,'3.2.7'!F56,'3.2.8'!F56,'3.2.9'!F56)</f>
        <v>194992</v>
      </c>
      <c r="G56" s="34">
        <f>SUM('3.2.2'!G56,'3.2.3'!G56,'3.2.4'!G56,'3.2.5'!G56,'3.2.6'!G56,'3.2.7'!G56,'3.2.8'!G56,'3.2.9'!G56)</f>
        <v>201138</v>
      </c>
      <c r="H56" s="52">
        <f>IF('AW Schüler'!$B212=0,"x",C56/'AW Schüler'!$B212)</f>
        <v>0.27696283717500286</v>
      </c>
      <c r="I56" s="52">
        <f>IF('AW Schüler'!$E212=0,"x",D56/'AW Schüler'!$E212)</f>
        <v>0.29422246467007168</v>
      </c>
      <c r="J56" s="52">
        <f>IF('AW Schüler'!$H212=0,"x",E56/'AW Schüler'!$H212)</f>
        <v>0.30027505897140344</v>
      </c>
      <c r="K56" s="52">
        <f>IF('AW Schüler'!$K212=0,"x",F56/'AW Schüler'!$K212)</f>
        <v>0.27818326038450786</v>
      </c>
      <c r="L56" s="53">
        <f>IF('AW Schüler'!$N212=0,"x",G56/'AW Schüler'!$N212)</f>
        <v>0.2863133620873724</v>
      </c>
    </row>
    <row r="57" spans="1:12" ht="9" customHeight="1">
      <c r="A57" s="21" t="s">
        <v>89</v>
      </c>
      <c r="B57" s="120"/>
      <c r="C57" s="23">
        <f>SUM('3.2.2'!C57,'3.2.3'!C57,'3.2.4'!C57,'3.2.5'!C57,'3.2.6'!C57,'3.2.7'!C57,'3.2.8'!C57,'3.2.9'!C57)</f>
        <v>238442</v>
      </c>
      <c r="D57" s="23">
        <f>SUM('3.2.2'!D57,'3.2.3'!D57,'3.2.4'!D57,'3.2.5'!D57,'3.2.6'!D57,'3.2.7'!D57,'3.2.8'!D57,'3.2.9'!D57)</f>
        <v>242764</v>
      </c>
      <c r="E57" s="23">
        <f>SUM('3.2.2'!E57,'3.2.3'!E57,'3.2.4'!E57,'3.2.5'!E57,'3.2.6'!E57,'3.2.7'!E57,'3.2.8'!E57,'3.2.9'!E57)</f>
        <v>255761</v>
      </c>
      <c r="F57" s="23">
        <f>SUM('3.2.2'!F57,'3.2.3'!F57,'3.2.4'!F57,'3.2.5'!F57,'3.2.6'!F57,'3.2.7'!F57,'3.2.8'!F57,'3.2.9'!F57)</f>
        <v>264273</v>
      </c>
      <c r="G57" s="34">
        <f>SUM('3.2.2'!G57,'3.2.3'!G57,'3.2.4'!G57,'3.2.5'!G57,'3.2.6'!G57,'3.2.7'!G57,'3.2.8'!G57,'3.2.9'!G57)</f>
        <v>280343</v>
      </c>
      <c r="H57" s="52">
        <f>IF('AW Schüler'!$B213=0,"x",C57/'AW Schüler'!$B213)</f>
        <v>0.14703983374598781</v>
      </c>
      <c r="I57" s="52">
        <f>IF('AW Schüler'!$E213=0,"x",D57/'AW Schüler'!$E213)</f>
        <v>0.15345240089379683</v>
      </c>
      <c r="J57" s="52">
        <f>IF('AW Schüler'!$H213=0,"x",E57/'AW Schüler'!$H213)</f>
        <v>0.16415739690620743</v>
      </c>
      <c r="K57" s="52">
        <f>IF('AW Schüler'!$K213=0,"x",F57/'AW Schüler'!$K213)</f>
        <v>0.17170251043931875</v>
      </c>
      <c r="L57" s="53">
        <f>IF('AW Schüler'!$N213=0,"x",G57/'AW Schüler'!$N213)</f>
        <v>0.18115513107984982</v>
      </c>
    </row>
    <row r="58" spans="1:12" ht="9" customHeight="1">
      <c r="A58" s="21" t="s">
        <v>90</v>
      </c>
      <c r="B58" s="120"/>
      <c r="C58" s="23">
        <f>SUM('3.2.2'!C58,'3.2.3'!C58,'3.2.4'!C58,'3.2.5'!C58,'3.2.6'!C58,'3.2.7'!C58,'3.2.8'!C58,'3.2.9'!C58)</f>
        <v>10657</v>
      </c>
      <c r="D58" s="23">
        <f>SUM('3.2.2'!D58,'3.2.3'!D58,'3.2.4'!D58,'3.2.5'!D58,'3.2.6'!D58,'3.2.7'!D58,'3.2.8'!D58,'3.2.9'!D58)</f>
        <v>11028</v>
      </c>
      <c r="E58" s="23">
        <f>SUM('3.2.2'!E58,'3.2.3'!E58,'3.2.4'!E58,'3.2.5'!E58,'3.2.6'!E58,'3.2.7'!E58,'3.2.8'!E58,'3.2.9'!E58)</f>
        <v>13293</v>
      </c>
      <c r="F58" s="23">
        <f>SUM('3.2.2'!F58,'3.2.3'!F58,'3.2.4'!F58,'3.2.5'!F58,'3.2.6'!F58,'3.2.7'!F58,'3.2.8'!F58,'3.2.9'!F58)</f>
        <v>14602</v>
      </c>
      <c r="G58" s="34">
        <f>SUM('3.2.2'!G58,'3.2.3'!G58,'3.2.4'!G58,'3.2.5'!G58,'3.2.6'!G58,'3.2.7'!G58,'3.2.8'!G58,'3.2.9'!G58)</f>
        <v>18779</v>
      </c>
      <c r="H58" s="52">
        <f>IF('AW Schüler'!$B214=0,"x",C58/'AW Schüler'!$B214)</f>
        <v>2.9948011802725868E-2</v>
      </c>
      <c r="I58" s="52">
        <f>IF('AW Schüler'!$E214=0,"x",D58/'AW Schüler'!$E214)</f>
        <v>3.1893572409804061E-2</v>
      </c>
      <c r="J58" s="52">
        <f>IF('AW Schüler'!$H214=0,"x",E58/'AW Schüler'!$H214)</f>
        <v>3.9131010729897997E-2</v>
      </c>
      <c r="K58" s="52">
        <f>IF('AW Schüler'!$K214=0,"x",F58/'AW Schüler'!$K214)</f>
        <v>4.3484734779449426E-2</v>
      </c>
      <c r="L58" s="53">
        <f>IF('AW Schüler'!$N214=0,"x",G58/'AW Schüler'!$N214)</f>
        <v>5.597534330689416E-2</v>
      </c>
    </row>
    <row r="59" spans="1:12" ht="9" customHeight="1">
      <c r="A59" s="21" t="s">
        <v>91</v>
      </c>
      <c r="B59" s="120"/>
      <c r="C59" s="23">
        <f>SUM('3.2.2'!C59,'3.2.3'!C59,'3.2.4'!C59,'3.2.5'!C59,'3.2.6'!C59,'3.2.7'!C59,'3.2.8'!C59,'3.2.9'!C59)</f>
        <v>15876</v>
      </c>
      <c r="D59" s="23">
        <f>SUM('3.2.2'!D59,'3.2.3'!D59,'3.2.4'!D59,'3.2.5'!D59,'3.2.6'!D59,'3.2.7'!D59,'3.2.8'!D59,'3.2.9'!D59)</f>
        <v>15496</v>
      </c>
      <c r="E59" s="23">
        <f>SUM('3.2.2'!E59,'3.2.3'!E59,'3.2.4'!E59,'3.2.5'!E59,'3.2.6'!E59,'3.2.7'!E59,'3.2.8'!E59,'3.2.9'!E59)</f>
        <v>15985</v>
      </c>
      <c r="F59" s="23">
        <f>SUM('3.2.2'!F59,'3.2.3'!F59,'3.2.4'!F59,'3.2.5'!F59,'3.2.6'!F59,'3.2.7'!F59,'3.2.8'!F59,'3.2.9'!F59)</f>
        <v>17456</v>
      </c>
      <c r="G59" s="34">
        <f>SUM('3.2.2'!G59,'3.2.3'!G59,'3.2.4'!G59,'3.2.5'!G59,'3.2.6'!G59,'3.2.7'!G59,'3.2.8'!G59,'3.2.9'!G59)</f>
        <v>17937</v>
      </c>
      <c r="H59" s="52">
        <f>IF('AW Schüler'!$B215=0,"x",C59/'AW Schüler'!$B215)</f>
        <v>0.20824260867284031</v>
      </c>
      <c r="I59" s="52">
        <f>IF('AW Schüler'!$E215=0,"x",D59/'AW Schüler'!$E215)</f>
        <v>0.21026065482570999</v>
      </c>
      <c r="J59" s="52">
        <f>IF('AW Schüler'!$H215=0,"x",E59/'AW Schüler'!$H215)</f>
        <v>0.21961339250140821</v>
      </c>
      <c r="K59" s="52">
        <f>IF('AW Schüler'!$K215=0,"x",F59/'AW Schüler'!$K215)</f>
        <v>0.24145180922872636</v>
      </c>
      <c r="L59" s="53">
        <f>IF('AW Schüler'!$N215=0,"x",G59/'AW Schüler'!$N215)</f>
        <v>0.24435998038254045</v>
      </c>
    </row>
    <row r="60" spans="1:12" ht="9" customHeight="1">
      <c r="A60" s="21" t="s">
        <v>92</v>
      </c>
      <c r="B60" s="120"/>
      <c r="C60" s="23">
        <f>SUM('3.2.2'!C60,'3.2.3'!C60,'3.2.4'!C60,'3.2.5'!C60,'3.2.6'!C60,'3.2.7'!C60,'3.2.8'!C60,'3.2.9'!C60)</f>
        <v>141912</v>
      </c>
      <c r="D60" s="23">
        <f>SUM('3.2.2'!D60,'3.2.3'!D60,'3.2.4'!D60,'3.2.5'!D60,'3.2.6'!D60,'3.2.7'!D60,'3.2.8'!D60,'3.2.9'!D60)</f>
        <v>146221</v>
      </c>
      <c r="E60" s="23">
        <f>SUM('3.2.2'!E60,'3.2.3'!E60,'3.2.4'!E60,'3.2.5'!E60,'3.2.6'!E60,'3.2.7'!E60,'3.2.8'!E60,'3.2.9'!E60)</f>
        <v>148631</v>
      </c>
      <c r="F60" s="23">
        <f>SUM('3.2.2'!F60,'3.2.3'!F60,'3.2.4'!F60,'3.2.5'!F60,'3.2.6'!F60,'3.2.7'!F60,'3.2.8'!F60,'3.2.9'!F60)</f>
        <v>144552</v>
      </c>
      <c r="G60" s="34">
        <f>SUM('3.2.2'!G60,'3.2.3'!G60,'3.2.4'!G60,'3.2.5'!G60,'3.2.6'!G60,'3.2.7'!G60,'3.2.8'!G60,'3.2.9'!G60)</f>
        <v>149816</v>
      </c>
      <c r="H60" s="52">
        <f>IF('AW Schüler'!$B216=0,"x",C60/'AW Schüler'!$B216)</f>
        <v>0.51726815115054181</v>
      </c>
      <c r="I60" s="52">
        <f>IF('AW Schüler'!$E216=0,"x",D60/'AW Schüler'!$E216)</f>
        <v>0.52632128343477902</v>
      </c>
      <c r="J60" s="52">
        <f>IF('AW Schüler'!$H216=0,"x",E60/'AW Schüler'!$H216)</f>
        <v>0.52645542001388479</v>
      </c>
      <c r="K60" s="52">
        <f>IF('AW Schüler'!$K216=0,"x",F60/'AW Schüler'!$K216)</f>
        <v>0.50196721197620597</v>
      </c>
      <c r="L60" s="53">
        <f>IF('AW Schüler'!$N216=0,"x",G60/'AW Schüler'!$N216)</f>
        <v>0.50792660600225115</v>
      </c>
    </row>
    <row r="61" spans="1:12" ht="9" customHeight="1">
      <c r="A61" s="21" t="s">
        <v>93</v>
      </c>
      <c r="B61" s="120"/>
      <c r="C61" s="23">
        <f>SUM('3.2.2'!C61,'3.2.3'!C61,'3.2.4'!C61,'3.2.5'!C61,'3.2.6'!C61,'3.2.7'!C61,'3.2.8'!C61,'3.2.9'!C61)</f>
        <v>24212</v>
      </c>
      <c r="D61" s="23">
        <f>SUM('3.2.2'!D61,'3.2.3'!D61,'3.2.4'!D61,'3.2.5'!D61,'3.2.6'!D61,'3.2.7'!D61,'3.2.8'!D61,'3.2.9'!D61)</f>
        <v>24742</v>
      </c>
      <c r="E61" s="23">
        <f>SUM('3.2.2'!E61,'3.2.3'!E61,'3.2.4'!E61,'3.2.5'!E61,'3.2.6'!E61,'3.2.7'!E61,'3.2.8'!E61,'3.2.9'!E61)</f>
        <v>24106</v>
      </c>
      <c r="F61" s="23">
        <f>SUM('3.2.2'!F61,'3.2.3'!F61,'3.2.4'!F61,'3.2.5'!F61,'3.2.6'!F61,'3.2.7'!F61,'3.2.8'!F61,'3.2.9'!F61)</f>
        <v>24213</v>
      </c>
      <c r="G61" s="34">
        <f>SUM('3.2.2'!G61,'3.2.3'!G61,'3.2.4'!G61,'3.2.5'!G61,'3.2.6'!G61,'3.2.7'!G61,'3.2.8'!G61,'3.2.9'!G61)</f>
        <v>68482</v>
      </c>
      <c r="H61" s="52">
        <f>IF('AW Schüler'!$B217=0,"x",C61/'AW Schüler'!$B217)</f>
        <v>0.16004442006041658</v>
      </c>
      <c r="I61" s="52">
        <f>IF('AW Schüler'!$E217=0,"x",D61/'AW Schüler'!$E217)</f>
        <v>0.16275490067096435</v>
      </c>
      <c r="J61" s="52">
        <f>IF('AW Schüler'!$H217=0,"x",E61/'AW Schüler'!$H217)</f>
        <v>0.1575184923808777</v>
      </c>
      <c r="K61" s="52">
        <f>IF('AW Schüler'!$K217=0,"x",F61/'AW Schüler'!$K217)</f>
        <v>0.15665963586485332</v>
      </c>
      <c r="L61" s="53">
        <f>IF('AW Schüler'!$N217=0,"x",G61/'AW Schüler'!$N217)</f>
        <v>0.43589678306366403</v>
      </c>
    </row>
    <row r="62" spans="1:12" ht="9" customHeight="1">
      <c r="A62" s="21" t="s">
        <v>94</v>
      </c>
      <c r="B62" s="120"/>
      <c r="C62" s="23">
        <f>SUM('3.2.2'!C62,'3.2.3'!C62,'3.2.4'!C62,'3.2.5'!C62,'3.2.6'!C62,'3.2.7'!C62,'3.2.8'!C62,'3.2.9'!C62)</f>
        <v>51719</v>
      </c>
      <c r="D62" s="23">
        <f>SUM('3.2.2'!D62,'3.2.3'!D62,'3.2.4'!D62,'3.2.5'!D62,'3.2.6'!D62,'3.2.7'!D62,'3.2.8'!D62,'3.2.9'!D62)</f>
        <v>50272</v>
      </c>
      <c r="E62" s="23">
        <f>SUM('3.2.2'!E62,'3.2.3'!E62,'3.2.4'!E62,'3.2.5'!E62,'3.2.6'!E62,'3.2.7'!E62,'3.2.8'!E62,'3.2.9'!E62)</f>
        <v>50877</v>
      </c>
      <c r="F62" s="23">
        <f>SUM('3.2.2'!F62,'3.2.3'!F62,'3.2.4'!F62,'3.2.5'!F62,'3.2.6'!F62,'3.2.7'!F62,'3.2.8'!F62,'3.2.9'!F62)</f>
        <v>52183</v>
      </c>
      <c r="G62" s="34">
        <f>SUM('3.2.2'!G62,'3.2.3'!G62,'3.2.4'!G62,'3.2.5'!G62,'3.2.6'!G62,'3.2.7'!G62,'3.2.8'!G62,'3.2.9'!G62)</f>
        <v>52532</v>
      </c>
      <c r="H62" s="52">
        <f>IF('AW Schüler'!$B218=0,"x",C62/'AW Schüler'!$B218)</f>
        <v>0.19454276675857349</v>
      </c>
      <c r="I62" s="52">
        <f>IF('AW Schüler'!$E218=0,"x",D62/'AW Schüler'!$E218)</f>
        <v>0.20029722654958224</v>
      </c>
      <c r="J62" s="52">
        <f>IF('AW Schüler'!$H218=0,"x",E62/'AW Schüler'!$H218)</f>
        <v>0.20589973127853142</v>
      </c>
      <c r="K62" s="52">
        <f>IF('AW Schüler'!$K218=0,"x",F62/'AW Schüler'!$K218)</f>
        <v>0.21254852124752047</v>
      </c>
      <c r="L62" s="53">
        <f>IF('AW Schüler'!$N218=0,"x",G62/'AW Schüler'!$N218)</f>
        <v>0.21334524631442148</v>
      </c>
    </row>
    <row r="63" spans="1:12" ht="9" customHeight="1">
      <c r="A63" s="21" t="s">
        <v>95</v>
      </c>
      <c r="B63" s="120"/>
      <c r="C63" s="23">
        <f>SUM('3.2.2'!C63,'3.2.3'!C63,'3.2.4'!C63,'3.2.5'!C63,'3.2.6'!C63,'3.2.7'!C63,'3.2.8'!C63,'3.2.9'!C63)</f>
        <v>62700</v>
      </c>
      <c r="D63" s="23">
        <f>SUM('3.2.2'!D63,'3.2.3'!D63,'3.2.4'!D63,'3.2.5'!D63,'3.2.6'!D63,'3.2.7'!D63,'3.2.8'!D63,'3.2.9'!D63)</f>
        <v>60767</v>
      </c>
      <c r="E63" s="23">
        <f>SUM('3.2.2'!E63,'3.2.3'!E63,'3.2.4'!E63,'3.2.5'!E63,'3.2.6'!E63,'3.2.7'!E63,'3.2.8'!E63,'3.2.9'!E63)</f>
        <v>60358</v>
      </c>
      <c r="F63" s="23">
        <f>SUM('3.2.2'!F63,'3.2.3'!F63,'3.2.4'!F63,'3.2.5'!F63,'3.2.6'!F63,'3.2.7'!F63,'3.2.8'!F63,'3.2.9'!F63)</f>
        <v>60398</v>
      </c>
      <c r="G63" s="34">
        <f>SUM('3.2.2'!G63,'3.2.3'!G63,'3.2.4'!G63,'3.2.5'!G63,'3.2.6'!G63,'3.2.7'!G63,'3.2.8'!G63,'3.2.9'!G63)</f>
        <v>62893</v>
      </c>
      <c r="H63" s="52">
        <f>IF('AW Schüler'!$B219=0,"x",C63/'AW Schüler'!$B219)</f>
        <v>0.4159590277040654</v>
      </c>
      <c r="I63" s="52">
        <f>IF('AW Schüler'!$E219=0,"x",D63/'AW Schüler'!$E219)</f>
        <v>0.40311656262645695</v>
      </c>
      <c r="J63" s="52">
        <f>IF('AW Schüler'!$H219=0,"x",E63/'AW Schüler'!$H219)</f>
        <v>0.39858154155000264</v>
      </c>
      <c r="K63" s="52">
        <f>IF('AW Schüler'!$K219=0,"x",F63/'AW Schüler'!$K219)</f>
        <v>0.39446940801504782</v>
      </c>
      <c r="L63" s="53">
        <f>IF('AW Schüler'!$N219=0,"x",G63/'AW Schüler'!$N219)</f>
        <v>0.40416289127515054</v>
      </c>
    </row>
    <row r="64" spans="1:12" ht="8.65" customHeight="1">
      <c r="A64" s="24" t="s">
        <v>96</v>
      </c>
      <c r="B64" s="121"/>
      <c r="C64" s="26">
        <f>SUM('3.2.2'!C64,'3.2.3'!C64,'3.2.4'!C64,'3.2.5'!C64,'3.2.6'!C64,'3.2.7'!C64,'3.2.8'!C64,'3.2.9'!C64)</f>
        <v>1273295</v>
      </c>
      <c r="D64" s="26">
        <f>SUM('3.2.2'!D64,'3.2.3'!D64,'3.2.4'!D64,'3.2.5'!D64,'3.2.6'!D64,'3.2.7'!D64,'3.2.8'!D64,'3.2.9'!D64)</f>
        <v>1337993</v>
      </c>
      <c r="E64" s="26">
        <f>SUM('3.2.2'!E64,'3.2.3'!E64,'3.2.4'!E64,'3.2.5'!E64,'3.2.6'!E64,'3.2.7'!E64,'3.2.8'!E64,'3.2.9'!E64)</f>
        <v>1372713</v>
      </c>
      <c r="F64" s="26">
        <f>SUM('3.2.2'!F64,'3.2.3'!F64,'3.2.4'!F64,'3.2.5'!F64,'3.2.6'!F64,'3.2.7'!F64,'3.2.8'!F64,'3.2.9'!F64)</f>
        <v>1393218</v>
      </c>
      <c r="G64" s="47">
        <f>SUM('3.2.2'!G64,'3.2.3'!G64,'3.2.4'!G64,'3.2.5'!G64,'3.2.6'!G64,'3.2.7'!G64,'3.2.8'!G64,'3.2.9'!G64)</f>
        <v>1548041</v>
      </c>
      <c r="H64" s="191">
        <f>IF('AW Schüler'!$B220=0,"x",C64/'AW Schüler'!$B220)</f>
        <v>0.18519022177826944</v>
      </c>
      <c r="I64" s="191">
        <f>IF('AW Schüler'!$E220=0,"x",D64/'AW Schüler'!$E220)</f>
        <v>0.19803535467607136</v>
      </c>
      <c r="J64" s="191">
        <f>IF('AW Schüler'!$H220=0,"x",E64/'AW Schüler'!$H220)</f>
        <v>0.20507362307893759</v>
      </c>
      <c r="K64" s="191">
        <f>IF('AW Schüler'!$K220=0,"x",F64/'AW Schüler'!$K220)</f>
        <v>0.20917700451949817</v>
      </c>
      <c r="L64" s="192">
        <f>IF('AW Schüler'!$N220=0,"x",G64/'AW Schüler'!$N220)</f>
        <v>0.23070807021685388</v>
      </c>
    </row>
    <row r="65" spans="1:12" ht="18.75" customHeight="1">
      <c r="A65" s="396" t="s">
        <v>312</v>
      </c>
      <c r="B65" s="396"/>
      <c r="C65" s="396"/>
      <c r="D65" s="396"/>
      <c r="E65" s="396"/>
      <c r="F65" s="396"/>
      <c r="G65" s="396"/>
      <c r="H65" s="396"/>
      <c r="I65" s="396"/>
      <c r="J65" s="396"/>
      <c r="K65" s="396"/>
      <c r="L65" s="396"/>
    </row>
    <row r="66" spans="1:12" ht="18.600000000000001" customHeight="1">
      <c r="A66" s="406" t="s">
        <v>305</v>
      </c>
      <c r="B66" s="406"/>
      <c r="C66" s="406"/>
      <c r="D66" s="406"/>
      <c r="E66" s="406"/>
      <c r="F66" s="406"/>
      <c r="G66" s="406"/>
      <c r="H66" s="406"/>
      <c r="I66" s="406"/>
      <c r="J66" s="256"/>
      <c r="K66" s="284"/>
      <c r="L66" s="351"/>
    </row>
    <row r="67" spans="1:12" ht="10.15" customHeight="1">
      <c r="A67" s="214"/>
    </row>
    <row r="68" spans="1:12" ht="10.15" customHeight="1">
      <c r="A68" s="214"/>
    </row>
    <row r="83" spans="1:1" ht="10.5" customHeight="1"/>
    <row r="84" spans="1:1" ht="10.15" customHeight="1">
      <c r="A84" s="214"/>
    </row>
  </sheetData>
  <mergeCells count="8">
    <mergeCell ref="A1:L1"/>
    <mergeCell ref="A66:I66"/>
    <mergeCell ref="C9:G9"/>
    <mergeCell ref="H9:L9"/>
    <mergeCell ref="A11:L11"/>
    <mergeCell ref="A29:L29"/>
    <mergeCell ref="A47:L47"/>
    <mergeCell ref="A65:L65"/>
  </mergeCells>
  <phoneticPr fontId="18" type="noConversion"/>
  <conditionalFormatting sqref="N25">
    <cfRule type="cellIs" dxfId="23"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M84"/>
  <sheetViews>
    <sheetView view="pageBreakPreview" topLeftCell="A46" zoomScale="175" zoomScaleNormal="10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'3.2.1'!A1:F1+1</f>
        <v>48</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51</v>
      </c>
      <c r="B5" s="39" t="s">
        <v>7</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C30+C48</f>
        <v>36682</v>
      </c>
      <c r="D12" s="42">
        <f t="shared" ref="D12:E12" si="1">D30+D48</f>
        <v>37578</v>
      </c>
      <c r="E12" s="42">
        <f t="shared" si="1"/>
        <v>39066</v>
      </c>
      <c r="F12" s="42">
        <f t="shared" ref="F12:G12" si="2">F30+F48</f>
        <v>44707</v>
      </c>
      <c r="G12" s="44">
        <f t="shared" si="2"/>
        <v>53021</v>
      </c>
      <c r="H12" s="153">
        <f>IF('AW Schüler'!$B6=0,"x",C12/'AW Schüler'!$B6)</f>
        <v>0.10303729982837416</v>
      </c>
      <c r="I12" s="153">
        <f>IF('AW Schüler'!$E6=0,"x",D12/'AW Schüler'!$E6)</f>
        <v>0.11105299087709343</v>
      </c>
      <c r="J12" s="153">
        <f>IF('AW Schüler'!$H6=0,"x",E12/'AW Schüler'!$H6)</f>
        <v>0.12050229338696394</v>
      </c>
      <c r="K12" s="153">
        <f>IF('AW Schüler'!$K6=0,"x",F12/'AW Schüler'!$K6)</f>
        <v>0.14068715069734655</v>
      </c>
      <c r="L12" s="154">
        <f>IF('AW Schüler'!$N6=0,"x",G12/'AW Schüler'!$N6)</f>
        <v>0.16570564207381294</v>
      </c>
    </row>
    <row r="13" spans="1:13" ht="9" customHeight="1">
      <c r="A13" s="21" t="s">
        <v>81</v>
      </c>
      <c r="B13" s="120"/>
      <c r="C13" s="42">
        <f t="shared" si="0"/>
        <v>31099</v>
      </c>
      <c r="D13" s="42">
        <f t="shared" ref="D13:E13" si="3">D31+D49</f>
        <v>34012</v>
      </c>
      <c r="E13" s="42">
        <f t="shared" si="3"/>
        <v>37074</v>
      </c>
      <c r="F13" s="42">
        <f t="shared" ref="F13:G13" si="4">F31+F49</f>
        <v>42273</v>
      </c>
      <c r="G13" s="44">
        <f t="shared" si="4"/>
        <v>97488</v>
      </c>
      <c r="H13" s="153">
        <f>IF('AW Schüler'!$B7=0,"x",C13/'AW Schüler'!$B7)</f>
        <v>7.6400370467727796E-2</v>
      </c>
      <c r="I13" s="153">
        <f>IF('AW Schüler'!$E7=0,"x",D13/'AW Schüler'!$E7)</f>
        <v>8.4706421469984652E-2</v>
      </c>
      <c r="J13" s="153">
        <f>IF('AW Schüler'!$H7=0,"x",E13/'AW Schüler'!$H7)</f>
        <v>9.1641206656186039E-2</v>
      </c>
      <c r="K13" s="153">
        <f>IF('AW Schüler'!$K7=0,"x",F13/'AW Schüler'!$K7)</f>
        <v>0.10349538380180828</v>
      </c>
      <c r="L13" s="154">
        <f>IF('AW Schüler'!$N7=0,"x",G13/'AW Schüler'!$N7)</f>
        <v>0.23427519549367259</v>
      </c>
    </row>
    <row r="14" spans="1:13" ht="9" customHeight="1">
      <c r="A14" s="21" t="s">
        <v>82</v>
      </c>
      <c r="B14" s="120"/>
      <c r="C14" s="42">
        <f t="shared" si="0"/>
        <v>75622</v>
      </c>
      <c r="D14" s="42">
        <f t="shared" ref="D14:E14" si="5">D32+D50</f>
        <v>80987</v>
      </c>
      <c r="E14" s="42">
        <f t="shared" si="5"/>
        <v>80585</v>
      </c>
      <c r="F14" s="42">
        <f t="shared" ref="F14:G14" si="6">F32+F50</f>
        <v>81039</v>
      </c>
      <c r="G14" s="44">
        <f t="shared" si="6"/>
        <v>85008</v>
      </c>
      <c r="H14" s="153">
        <f>IF('AW Schüler'!$B8=0,"x",C14/'AW Schüler'!$B8)</f>
        <v>0.79214371759283508</v>
      </c>
      <c r="I14" s="153">
        <f>IF('AW Schüler'!$E8=0,"x",D14/'AW Schüler'!$E8)</f>
        <v>0.81834808617274968</v>
      </c>
      <c r="J14" s="153">
        <f>IF('AW Schüler'!$H8=0,"x",E14/'AW Schüler'!$H8)</f>
        <v>0.79220817522266573</v>
      </c>
      <c r="K14" s="153">
        <f>IF('AW Schüler'!$K8=0,"x",F14/'AW Schüler'!$K8)</f>
        <v>0.77322863194855251</v>
      </c>
      <c r="L14" s="154">
        <f>IF('AW Schüler'!$N8=0,"x",G14/'AW Schüler'!$N8)</f>
        <v>0.78163963367538347</v>
      </c>
    </row>
    <row r="15" spans="1:13" ht="9" customHeight="1">
      <c r="A15" s="21" t="s">
        <v>83</v>
      </c>
      <c r="B15" s="120"/>
      <c r="C15" s="42">
        <f t="shared" si="0"/>
        <v>27649</v>
      </c>
      <c r="D15" s="42">
        <f t="shared" ref="D15:E15" si="7">D33+D51</f>
        <v>27739</v>
      </c>
      <c r="E15" s="42">
        <f t="shared" si="7"/>
        <v>28231</v>
      </c>
      <c r="F15" s="42">
        <f t="shared" ref="F15:G15" si="8">F33+F51</f>
        <v>28427</v>
      </c>
      <c r="G15" s="44">
        <f t="shared" si="8"/>
        <v>31023</v>
      </c>
      <c r="H15" s="153">
        <f>IF('AW Schüler'!$B9=0,"x",C15/'AW Schüler'!$B9)</f>
        <v>0.39046744810055078</v>
      </c>
      <c r="I15" s="153">
        <f>IF('AW Schüler'!$E9=0,"x",D15/'AW Schüler'!$E9)</f>
        <v>0.38935208578968056</v>
      </c>
      <c r="J15" s="153">
        <f>IF('AW Schüler'!$H9=0,"x",E15/'AW Schüler'!$H9)</f>
        <v>0.38744784804567411</v>
      </c>
      <c r="K15" s="153">
        <f>IF('AW Schüler'!$K9=0,"x",F15/'AW Schüler'!$K9)</f>
        <v>0.37792815549469544</v>
      </c>
      <c r="L15" s="154">
        <f>IF('AW Schüler'!$N9=0,"x",G15/'AW Schüler'!$N9)</f>
        <v>0.39420816549550808</v>
      </c>
    </row>
    <row r="16" spans="1:13" ht="9" customHeight="1">
      <c r="A16" s="21" t="s">
        <v>84</v>
      </c>
      <c r="B16" s="120"/>
      <c r="C16" s="42">
        <f t="shared" si="0"/>
        <v>6552</v>
      </c>
      <c r="D16" s="42">
        <f t="shared" ref="D16:E16" si="9">D34+D52</f>
        <v>6970</v>
      </c>
      <c r="E16" s="42">
        <f t="shared" si="9"/>
        <v>7581</v>
      </c>
      <c r="F16" s="42">
        <f t="shared" ref="F16:G16" si="10">F34+F52</f>
        <v>8439</v>
      </c>
      <c r="G16" s="44">
        <f t="shared" si="10"/>
        <v>9001</v>
      </c>
      <c r="H16" s="153">
        <f>IF('AW Schüler'!$B10=0,"x",C16/'AW Schüler'!$B10)</f>
        <v>0.34400924078546674</v>
      </c>
      <c r="I16" s="153">
        <f>IF('AW Schüler'!$E10=0,"x",D16/'AW Schüler'!$E10)</f>
        <v>0.36258648493991574</v>
      </c>
      <c r="J16" s="153">
        <f>IF('AW Schüler'!$H10=0,"x",E16/'AW Schüler'!$H10)</f>
        <v>0.38511557023114046</v>
      </c>
      <c r="K16" s="153">
        <f>IF('AW Schüler'!$K10=0,"x",F16/'AW Schüler'!$K10)</f>
        <v>0.41731777272277715</v>
      </c>
      <c r="L16" s="154">
        <f>IF('AW Schüler'!$N10=0,"x",G16/'AW Schüler'!$N10)</f>
        <v>0.42876196827513935</v>
      </c>
    </row>
    <row r="17" spans="1:12" ht="9" customHeight="1">
      <c r="A17" s="21" t="s">
        <v>85</v>
      </c>
      <c r="B17" s="120"/>
      <c r="C17" s="42">
        <f t="shared" si="0"/>
        <v>20780</v>
      </c>
      <c r="D17" s="42">
        <f t="shared" ref="D17:E17" si="11">D35+D53</f>
        <v>47556</v>
      </c>
      <c r="E17" s="42">
        <f t="shared" si="11"/>
        <v>48763</v>
      </c>
      <c r="F17" s="42">
        <f t="shared" ref="F17:G17" si="12">F35+F53</f>
        <v>49953</v>
      </c>
      <c r="G17" s="44">
        <f t="shared" si="12"/>
        <v>51655</v>
      </c>
      <c r="H17" s="153">
        <f>IF('AW Schüler'!$B11=0,"x",C17/'AW Schüler'!$B11)</f>
        <v>0.43627049610547752</v>
      </c>
      <c r="I17" s="153">
        <f>IF('AW Schüler'!$E11=0,"x",D17/'AW Schüler'!$E11)</f>
        <v>0.98790975944160542</v>
      </c>
      <c r="J17" s="153">
        <f>IF('AW Schüler'!$H11=0,"x",E17/'AW Schüler'!$H11)</f>
        <v>0.9933792372881356</v>
      </c>
      <c r="K17" s="153">
        <f>IF('AW Schüler'!$K11=0,"x",F17/'AW Schüler'!$K11)</f>
        <v>1</v>
      </c>
      <c r="L17" s="154">
        <f>IF('AW Schüler'!$N11=0,"x",G17/'AW Schüler'!$N11)</f>
        <v>0.99998064116462748</v>
      </c>
    </row>
    <row r="18" spans="1:12" ht="9" customHeight="1">
      <c r="A18" s="21" t="s">
        <v>86</v>
      </c>
      <c r="B18" s="120"/>
      <c r="C18" s="42">
        <f t="shared" si="0"/>
        <v>44726</v>
      </c>
      <c r="D18" s="42">
        <f t="shared" ref="D18:E18" si="13">D36+D54</f>
        <v>51574</v>
      </c>
      <c r="E18" s="42">
        <f t="shared" si="13"/>
        <v>55624</v>
      </c>
      <c r="F18" s="42">
        <f t="shared" ref="F18:G18" si="14">F36+F54</f>
        <v>55929</v>
      </c>
      <c r="G18" s="44">
        <f t="shared" si="14"/>
        <v>69700</v>
      </c>
      <c r="H18" s="153">
        <f>IF('AW Schüler'!$B12=0,"x",C18/'AW Schüler'!$B12)</f>
        <v>0.22303449789063201</v>
      </c>
      <c r="I18" s="153">
        <f>IF('AW Schüler'!$E12=0,"x",D18/'AW Schüler'!$E12)</f>
        <v>0.25889912401797144</v>
      </c>
      <c r="J18" s="153">
        <f>IF('AW Schüler'!$H12=0,"x",E18/'AW Schüler'!$H12)</f>
        <v>0.27634997838842218</v>
      </c>
      <c r="K18" s="153">
        <f>IF('AW Schüler'!$K12=0,"x",F18/'AW Schüler'!$K12)</f>
        <v>0.27539835732997181</v>
      </c>
      <c r="L18" s="154">
        <f>IF('AW Schüler'!$N12=0,"x",G18/'AW Schüler'!$N12)</f>
        <v>0.33584211084235177</v>
      </c>
    </row>
    <row r="19" spans="1:12" ht="9" customHeight="1">
      <c r="A19" s="21" t="s">
        <v>87</v>
      </c>
      <c r="B19" s="120"/>
      <c r="C19" s="42">
        <f t="shared" si="0"/>
        <v>191</v>
      </c>
      <c r="D19" s="42">
        <f t="shared" ref="D19:E19" si="15">D37+D55</f>
        <v>302</v>
      </c>
      <c r="E19" s="42">
        <f t="shared" si="15"/>
        <v>0</v>
      </c>
      <c r="F19" s="42">
        <f t="shared" ref="F19:G19" si="16">F37+F55</f>
        <v>0</v>
      </c>
      <c r="G19" s="44">
        <f t="shared" si="16"/>
        <v>0</v>
      </c>
      <c r="H19" s="153">
        <f>IF('AW Schüler'!$B13=0,"x",C19/'AW Schüler'!$B13)</f>
        <v>4.3117070748115039E-3</v>
      </c>
      <c r="I19" s="153">
        <f>IF('AW Schüler'!$E13=0,"x",D19/'AW Schüler'!$E13)</f>
        <v>6.8150020309608698E-3</v>
      </c>
      <c r="J19" s="153">
        <f>IF('AW Schüler'!$H13=0,"x",E19/'AW Schüler'!$H13)</f>
        <v>0</v>
      </c>
      <c r="K19" s="153">
        <f>IF('AW Schüler'!$K13=0,"x",F19/'AW Schüler'!$K13)</f>
        <v>0</v>
      </c>
      <c r="L19" s="154">
        <f>IF('AW Schüler'!$N13=0,"x",G19/'AW Schüler'!$N13)</f>
        <v>0</v>
      </c>
    </row>
    <row r="20" spans="1:12" ht="9" customHeight="1">
      <c r="A20" s="21" t="s">
        <v>88</v>
      </c>
      <c r="B20" s="120"/>
      <c r="C20" s="42">
        <f t="shared" si="0"/>
        <v>61411</v>
      </c>
      <c r="D20" s="42">
        <f t="shared" ref="D20:E20" si="17">D38+D56</f>
        <v>69510</v>
      </c>
      <c r="E20" s="42">
        <f t="shared" si="17"/>
        <v>77279</v>
      </c>
      <c r="F20" s="42">
        <f t="shared" ref="F20:G20" si="18">F38+F56</f>
        <v>84738</v>
      </c>
      <c r="G20" s="44">
        <f t="shared" si="18"/>
        <v>94347</v>
      </c>
      <c r="H20" s="153">
        <f>IF('AW Schüler'!$B14=0,"x",C20/'AW Schüler'!$B14)</f>
        <v>0.21329336825068249</v>
      </c>
      <c r="I20" s="153">
        <f>IF('AW Schüler'!$E14=0,"x",D20/'AW Schüler'!$E14)</f>
        <v>0.24463120552399856</v>
      </c>
      <c r="J20" s="153">
        <f>IF('AW Schüler'!$H14=0,"x",E20/'AW Schüler'!$H14)</f>
        <v>0.2752052135823792</v>
      </c>
      <c r="K20" s="153">
        <f>IF('AW Schüler'!$K14=0,"x",F20/'AW Schüler'!$K14)</f>
        <v>0.30465952398072915</v>
      </c>
      <c r="L20" s="154">
        <f>IF('AW Schüler'!$N14=0,"x",G20/'AW Schüler'!$N14)</f>
        <v>0.3369222857877483</v>
      </c>
    </row>
    <row r="21" spans="1:12" ht="9" customHeight="1">
      <c r="A21" s="21" t="s">
        <v>89</v>
      </c>
      <c r="B21" s="120"/>
      <c r="C21" s="42">
        <f t="shared" si="0"/>
        <v>233050</v>
      </c>
      <c r="D21" s="42">
        <f t="shared" ref="D21:E21" si="19">D39+D57</f>
        <v>237745</v>
      </c>
      <c r="E21" s="42">
        <f t="shared" si="19"/>
        <v>250888</v>
      </c>
      <c r="F21" s="42">
        <f t="shared" ref="F21:G21" si="20">F39+F57</f>
        <v>259648</v>
      </c>
      <c r="G21" s="44">
        <f t="shared" si="20"/>
        <v>275535</v>
      </c>
      <c r="H21" s="153">
        <f>IF('AW Schüler'!$B15=0,"x",C21/'AW Schüler'!$B15)</f>
        <v>0.36843228545004703</v>
      </c>
      <c r="I21" s="153">
        <f>IF('AW Schüler'!$E15=0,"x",D21/'AW Schüler'!$E15)</f>
        <v>0.38478781601009937</v>
      </c>
      <c r="J21" s="153">
        <f>IF('AW Schüler'!$H15=0,"x",E21/'AW Schüler'!$H15)</f>
        <v>0.4064214090165395</v>
      </c>
      <c r="K21" s="153">
        <f>IF('AW Schüler'!$K15=0,"x",F21/'AW Schüler'!$K15)</f>
        <v>0.42462778344715701</v>
      </c>
      <c r="L21" s="154">
        <f>IF('AW Schüler'!$N15=0,"x",G21/'AW Schüler'!$N15)</f>
        <v>0.44146203908725901</v>
      </c>
    </row>
    <row r="22" spans="1:12" ht="9" customHeight="1">
      <c r="A22" s="21" t="s">
        <v>90</v>
      </c>
      <c r="B22" s="120"/>
      <c r="C22" s="42">
        <f t="shared" si="0"/>
        <v>34671</v>
      </c>
      <c r="D22" s="42">
        <f t="shared" ref="D22:E22" si="21">D40+D58</f>
        <v>36380</v>
      </c>
      <c r="E22" s="42">
        <f t="shared" si="21"/>
        <v>40604</v>
      </c>
      <c r="F22" s="42">
        <f t="shared" ref="F22:G22" si="22">F40+F58</f>
        <v>43595</v>
      </c>
      <c r="G22" s="44">
        <f t="shared" si="22"/>
        <v>49283</v>
      </c>
      <c r="H22" s="153">
        <f>IF('AW Schüler'!$B16=0,"x",C22/'AW Schüler'!$B16)</f>
        <v>0.26113973246565436</v>
      </c>
      <c r="I22" s="153">
        <f>IF('AW Schüler'!$E16=0,"x",D22/'AW Schüler'!$E16)</f>
        <v>0.27907547618499684</v>
      </c>
      <c r="J22" s="153">
        <f>IF('AW Schüler'!$H16=0,"x",E22/'AW Schüler'!$H16)</f>
        <v>0.3100275637746337</v>
      </c>
      <c r="K22" s="153">
        <f>IF('AW Schüler'!$K16=0,"x",F22/'AW Schüler'!$K16)</f>
        <v>0.33019761109470031</v>
      </c>
      <c r="L22" s="154">
        <f>IF('AW Schüler'!$N16=0,"x",G22/'AW Schüler'!$N16)</f>
        <v>0.36559817805505895</v>
      </c>
    </row>
    <row r="23" spans="1:12" ht="9" customHeight="1">
      <c r="A23" s="21" t="s">
        <v>91</v>
      </c>
      <c r="B23" s="120"/>
      <c r="C23" s="42">
        <f t="shared" si="0"/>
        <v>12199</v>
      </c>
      <c r="D23" s="42">
        <f t="shared" ref="D23:E23" si="23">D41+D59</f>
        <v>11798</v>
      </c>
      <c r="E23" s="42">
        <f t="shared" si="23"/>
        <v>12663</v>
      </c>
      <c r="F23" s="42">
        <f t="shared" ref="F23:G23" si="24">F41+F59</f>
        <v>13607</v>
      </c>
      <c r="G23" s="44">
        <f t="shared" si="24"/>
        <v>14317</v>
      </c>
      <c r="H23" s="153">
        <f>IF('AW Schüler'!$B17=0,"x",C23/'AW Schüler'!$B17)</f>
        <v>0.41201702242637123</v>
      </c>
      <c r="I23" s="153">
        <f>IF('AW Schüler'!$E17=0,"x",D23/'AW Schüler'!$E17)</f>
        <v>0.40701003898299237</v>
      </c>
      <c r="J23" s="153">
        <f>IF('AW Schüler'!$H17=0,"x",E23/'AW Schüler'!$H17)</f>
        <v>0.43065569310297919</v>
      </c>
      <c r="K23" s="153">
        <f>IF('AW Schüler'!$K17=0,"x",F23/'AW Schüler'!$K17)</f>
        <v>0.46672840776565822</v>
      </c>
      <c r="L23" s="154">
        <f>IF('AW Schüler'!$N17=0,"x",G23/'AW Schüler'!$N17)</f>
        <v>0.4729140516614917</v>
      </c>
    </row>
    <row r="24" spans="1:12" ht="9" customHeight="1">
      <c r="A24" s="21" t="s">
        <v>92</v>
      </c>
      <c r="B24" s="120"/>
      <c r="C24" s="42">
        <f t="shared" si="0"/>
        <v>94714</v>
      </c>
      <c r="D24" s="42">
        <f t="shared" ref="D24:E24" si="25">D42+D60</f>
        <v>94954</v>
      </c>
      <c r="E24" s="42">
        <f t="shared" si="25"/>
        <v>101894</v>
      </c>
      <c r="F24" s="42">
        <f t="shared" ref="F24:G24" si="26">F42+F60</f>
        <v>104463</v>
      </c>
      <c r="G24" s="44">
        <f t="shared" si="26"/>
        <v>108211</v>
      </c>
      <c r="H24" s="153">
        <f>IF('AW Schüler'!$B18=0,"x",C24/'AW Schüler'!$B18)</f>
        <v>0.81999913423661308</v>
      </c>
      <c r="I24" s="153">
        <f>IF('AW Schüler'!$E18=0,"x",D24/'AW Schüler'!$E18)</f>
        <v>0.80900044303581775</v>
      </c>
      <c r="J24" s="153">
        <f>IF('AW Schüler'!$H18=0,"x",E24/'AW Schüler'!$H18)</f>
        <v>0.85099594938823231</v>
      </c>
      <c r="K24" s="153">
        <f>IF('AW Schüler'!$K18=0,"x",F24/'AW Schüler'!$K18)</f>
        <v>0.8529959335652344</v>
      </c>
      <c r="L24" s="154">
        <f>IF('AW Schüler'!$N18=0,"x",G24/'AW Schüler'!$N18)</f>
        <v>0.85300215199552254</v>
      </c>
    </row>
    <row r="25" spans="1:12" ht="9" customHeight="1">
      <c r="A25" s="21" t="s">
        <v>93</v>
      </c>
      <c r="B25" s="120"/>
      <c r="C25" s="42">
        <f t="shared" si="0"/>
        <v>2443</v>
      </c>
      <c r="D25" s="42">
        <f t="shared" ref="D25:E25" si="27">D43+D61</f>
        <v>2459</v>
      </c>
      <c r="E25" s="42">
        <f t="shared" si="27"/>
        <v>2599</v>
      </c>
      <c r="F25" s="42">
        <f t="shared" ref="F25:G25" si="28">F43+F61</f>
        <v>2654</v>
      </c>
      <c r="G25" s="44">
        <f t="shared" si="28"/>
        <v>45998</v>
      </c>
      <c r="H25" s="153">
        <f>IF('AW Schüler'!$B19=0,"x",C25/'AW Schüler'!$B19)</f>
        <v>3.980188663875267E-2</v>
      </c>
      <c r="I25" s="153">
        <f>IF('AW Schüler'!$E19=0,"x",D25/'AW Schüler'!$E19)</f>
        <v>3.9717022273189802E-2</v>
      </c>
      <c r="J25" s="153">
        <f>IF('AW Schüler'!$H19=0,"x",E25/'AW Schüler'!$H19)</f>
        <v>4.1322839653390571E-2</v>
      </c>
      <c r="K25" s="153">
        <f>IF('AW Schüler'!$K19=0,"x",F25/'AW Schüler'!$K19)</f>
        <v>4.1346648179594638E-2</v>
      </c>
      <c r="L25" s="154">
        <f>IF('AW Schüler'!$N19=0,"x",G25/'AW Schüler'!$N19)</f>
        <v>0.69328389702779281</v>
      </c>
    </row>
    <row r="26" spans="1:12" ht="9" customHeight="1">
      <c r="A26" s="21" t="s">
        <v>94</v>
      </c>
      <c r="B26" s="120"/>
      <c r="C26" s="42">
        <f t="shared" si="0"/>
        <v>16648</v>
      </c>
      <c r="D26" s="42">
        <f t="shared" ref="D26:E26" si="29">D44+D62</f>
        <v>17746</v>
      </c>
      <c r="E26" s="42">
        <f t="shared" si="29"/>
        <v>18768</v>
      </c>
      <c r="F26" s="42">
        <f t="shared" ref="F26:G26" si="30">F44+F62</f>
        <v>19742</v>
      </c>
      <c r="G26" s="44">
        <f t="shared" si="30"/>
        <v>20786</v>
      </c>
      <c r="H26" s="153">
        <f>IF('AW Schüler'!$B20=0,"x",C26/'AW Schüler'!$B20)</f>
        <v>0.17010493619021344</v>
      </c>
      <c r="I26" s="153">
        <f>IF('AW Schüler'!$E20=0,"x",D26/'AW Schüler'!$E20)</f>
        <v>0.18425151068380505</v>
      </c>
      <c r="J26" s="153">
        <f>IF('AW Schüler'!$H20=0,"x",E26/'AW Schüler'!$H20)</f>
        <v>0.19465043196880283</v>
      </c>
      <c r="K26" s="153">
        <f>IF('AW Schüler'!$K20=0,"x",F26/'AW Schüler'!$K20)</f>
        <v>0.20291285087313579</v>
      </c>
      <c r="L26" s="154">
        <f>IF('AW Schüler'!$N20=0,"x",G26/'AW Schüler'!$N20)</f>
        <v>0.20847500125369842</v>
      </c>
    </row>
    <row r="27" spans="1:12" ht="9" customHeight="1">
      <c r="A27" s="21" t="s">
        <v>95</v>
      </c>
      <c r="B27" s="120"/>
      <c r="C27" s="42">
        <f t="shared" si="0"/>
        <v>53007</v>
      </c>
      <c r="D27" s="42">
        <f t="shared" ref="D27:E27" si="31">D45+D63</f>
        <v>52112</v>
      </c>
      <c r="E27" s="42">
        <f t="shared" si="31"/>
        <v>51723</v>
      </c>
      <c r="F27" s="42">
        <f t="shared" ref="F27:G27" si="32">F45+F63</f>
        <v>52347</v>
      </c>
      <c r="G27" s="44">
        <f t="shared" si="32"/>
        <v>55772</v>
      </c>
      <c r="H27" s="153">
        <f>IF('AW Schüler'!$B21=0,"x",C27/'AW Schüler'!$B21)</f>
        <v>0.86655223148602256</v>
      </c>
      <c r="I27" s="153">
        <f>IF('AW Schüler'!$E21=0,"x",D27/'AW Schüler'!$E21)</f>
        <v>0.85737319228048237</v>
      </c>
      <c r="J27" s="153">
        <f>IF('AW Schüler'!$H21=0,"x",E27/'AW Schüler'!$H21)</f>
        <v>0.8442503876601648</v>
      </c>
      <c r="K27" s="153">
        <f>IF('AW Schüler'!$K21=0,"x",F27/'AW Schüler'!$K21)</f>
        <v>0.84517889434254712</v>
      </c>
      <c r="L27" s="154">
        <f>IF('AW Schüler'!$N21=0,"x",G27/'AW Schüler'!$N21)</f>
        <v>0.88340487542172874</v>
      </c>
    </row>
    <row r="28" spans="1:12" ht="9" customHeight="1">
      <c r="A28" s="21" t="s">
        <v>96</v>
      </c>
      <c r="B28" s="120"/>
      <c r="C28" s="42">
        <f t="shared" si="0"/>
        <v>751444</v>
      </c>
      <c r="D28" s="42">
        <f t="shared" ref="D28:E28" si="33">D46+D64</f>
        <v>809422</v>
      </c>
      <c r="E28" s="42">
        <f t="shared" si="33"/>
        <v>853342</v>
      </c>
      <c r="F28" s="42">
        <f t="shared" ref="F28:G28" si="34">F46+F64</f>
        <v>891561</v>
      </c>
      <c r="G28" s="44">
        <f t="shared" si="34"/>
        <v>1061145</v>
      </c>
      <c r="H28" s="153">
        <f>IF('AW Schüler'!$B22=0,"x",C28/'AW Schüler'!$B22)</f>
        <v>0.28253959421057107</v>
      </c>
      <c r="I28" s="153">
        <f>IF('AW Schüler'!$E22=0,"x",D28/'AW Schüler'!$E22)</f>
        <v>0.30909034670715457</v>
      </c>
      <c r="J28" s="153">
        <f>IF('AW Schüler'!$H22=0,"x",E28/'AW Schüler'!$H22)</f>
        <v>0.32605549204330786</v>
      </c>
      <c r="K28" s="153">
        <f>IF('AW Schüler'!$K22=0,"x",F28/'AW Schüler'!$K22)</f>
        <v>0.33995815540610874</v>
      </c>
      <c r="L28" s="154">
        <f>IF('AW Schüler'!$N22=0,"x",G28/'AW Schüler'!$N22)</f>
        <v>0.39639734879656985</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[1]GtS!$E$24</f>
        <v>17154</v>
      </c>
      <c r="D30" s="23">
        <f>[2]GtS!$E$26</f>
        <v>17231</v>
      </c>
      <c r="E30" s="23">
        <f>[3]GtS!$E$26</f>
        <v>14364</v>
      </c>
      <c r="F30" s="23">
        <f>[4]GtS!$E$26</f>
        <v>14487</v>
      </c>
      <c r="G30" s="34">
        <f>[5]GtS!$E$26</f>
        <v>15727</v>
      </c>
      <c r="H30" s="155">
        <f>IF('AW Schüler'!$B6=0,"x",C30/'AW Schüler'!$B6)</f>
        <v>4.8184445811458761E-2</v>
      </c>
      <c r="I30" s="155">
        <f>IF('AW Schüler'!$E6=0,"x",D30/'AW Schüler'!$E6)</f>
        <v>5.0922190797892307E-2</v>
      </c>
      <c r="J30" s="155">
        <f>IF('AW Schüler'!$H6=0,"x",E30/'AW Schüler'!$H6)</f>
        <v>4.4306940618705527E-2</v>
      </c>
      <c r="K30" s="155">
        <f>IF('AW Schüler'!$K6=0,"x",F30/'AW Schüler'!$K6)</f>
        <v>4.5588716580232613E-2</v>
      </c>
      <c r="L30" s="156">
        <f>IF('AW Schüler'!$N6=0,"x",G30/'AW Schüler'!$N6)</f>
        <v>4.9151329339221367E-2</v>
      </c>
    </row>
    <row r="31" spans="1:12" ht="9" customHeight="1">
      <c r="A31" s="21" t="s">
        <v>81</v>
      </c>
      <c r="B31" s="120"/>
      <c r="C31" s="23">
        <f>[6]GtS!$E$24</f>
        <v>15424</v>
      </c>
      <c r="D31" s="23">
        <f>[7]GtS!$E$26</f>
        <v>20455</v>
      </c>
      <c r="E31" s="23">
        <f>[8]GtS!$E$26</f>
        <v>23329</v>
      </c>
      <c r="F31" s="23">
        <f>[9]GtS!$E$26</f>
        <v>25100</v>
      </c>
      <c r="G31" s="34">
        <f>[10]GtS!$E$26</f>
        <v>26745</v>
      </c>
      <c r="H31" s="155">
        <f>IF('AW Schüler'!$B7=0,"x",C31/'AW Schüler'!$B7)</f>
        <v>3.7891871574463276E-2</v>
      </c>
      <c r="I31" s="155">
        <f>IF('AW Schüler'!$E7=0,"x",D31/'AW Schüler'!$E7)</f>
        <v>5.0942898129146659E-2</v>
      </c>
      <c r="J31" s="155">
        <f>IF('AW Schüler'!$H7=0,"x",E31/'AW Schüler'!$H7)</f>
        <v>5.7665687815778285E-2</v>
      </c>
      <c r="K31" s="155">
        <f>IF('AW Schüler'!$K7=0,"x",F31/'AW Schüler'!$K7)</f>
        <v>6.1451378738802263E-2</v>
      </c>
      <c r="L31" s="156">
        <f>IF('AW Schüler'!$N7=0,"x",G31/'AW Schüler'!$N7)</f>
        <v>6.4271398566780255E-2</v>
      </c>
    </row>
    <row r="32" spans="1:12" ht="9" customHeight="1">
      <c r="A32" s="21" t="s">
        <v>82</v>
      </c>
      <c r="B32" s="120"/>
      <c r="C32" s="23">
        <f>[11]GtS!$E$24</f>
        <v>15689</v>
      </c>
      <c r="D32" s="23">
        <f>[12]GtS!$E$26</f>
        <v>16109</v>
      </c>
      <c r="E32" s="23">
        <f>[13]GtS!$E$26</f>
        <v>17517</v>
      </c>
      <c r="F32" s="23">
        <f>[14]GtS!$E$26</f>
        <v>18202</v>
      </c>
      <c r="G32" s="34">
        <f>[15]GtS!$E$26</f>
        <v>20033</v>
      </c>
      <c r="H32" s="155">
        <f>IF('AW Schüler'!$B8=0,"x",C32/'AW Schüler'!$B8)</f>
        <v>0.16434295291468076</v>
      </c>
      <c r="I32" s="155">
        <f>IF('AW Schüler'!$E8=0,"x",D32/'AW Schüler'!$E8)</f>
        <v>0.16277636312194332</v>
      </c>
      <c r="J32" s="155">
        <f>IF('AW Schüler'!$H8=0,"x",E32/'AW Schüler'!$H8)</f>
        <v>0.17220463616523465</v>
      </c>
      <c r="K32" s="155">
        <f>IF('AW Schüler'!$K8=0,"x",F32/'AW Schüler'!$K8)</f>
        <v>0.17367326298112704</v>
      </c>
      <c r="L32" s="156">
        <f>IF('AW Schüler'!$N8=0,"x",G32/'AW Schüler'!$N8)</f>
        <v>0.18420133142079517</v>
      </c>
    </row>
    <row r="33" spans="1:12" ht="9" customHeight="1">
      <c r="A33" s="21" t="s">
        <v>83</v>
      </c>
      <c r="B33" s="120"/>
      <c r="C33" s="23">
        <f>[16]GtS!$E$24</f>
        <v>0</v>
      </c>
      <c r="D33" s="23">
        <f>[17]GtS!$E$26</f>
        <v>0</v>
      </c>
      <c r="E33" s="23">
        <f>[18]GtS!$E$26</f>
        <v>0</v>
      </c>
      <c r="F33" s="23">
        <f>[19]GtS!$E$26</f>
        <v>0</v>
      </c>
      <c r="G33" s="34">
        <f>[20]GtS!$E$26</f>
        <v>0</v>
      </c>
      <c r="H33" s="155">
        <f>IF('AW Schüler'!$B9=0,"x",C33/'AW Schüler'!$B9)</f>
        <v>0</v>
      </c>
      <c r="I33" s="155">
        <f>IF('AW Schüler'!$E9=0,"x",D33/'AW Schüler'!$E9)</f>
        <v>0</v>
      </c>
      <c r="J33" s="155">
        <f>IF('AW Schüler'!$H9=0,"x",E33/'AW Schüler'!$H9)</f>
        <v>0</v>
      </c>
      <c r="K33" s="155">
        <f>IF('AW Schüler'!$K9=0,"x",F33/'AW Schüler'!$K9)</f>
        <v>0</v>
      </c>
      <c r="L33" s="156">
        <f>IF('AW Schüler'!$N9=0,"x",G33/'AW Schüler'!$N9)</f>
        <v>0</v>
      </c>
    </row>
    <row r="34" spans="1:12" ht="9" customHeight="1">
      <c r="A34" s="21" t="s">
        <v>84</v>
      </c>
      <c r="B34" s="120"/>
      <c r="C34" s="23">
        <f>[21]GtS!$E$24</f>
        <v>5244</v>
      </c>
      <c r="D34" s="23">
        <f>[22]GtS!$E$26</f>
        <v>5468</v>
      </c>
      <c r="E34" s="23">
        <f>[23]GtS!$E$26</f>
        <v>5927</v>
      </c>
      <c r="F34" s="23">
        <f>[24]GtS!$E$26</f>
        <v>6208</v>
      </c>
      <c r="G34" s="34">
        <f>[25]GtS!$E$26</f>
        <v>6808</v>
      </c>
      <c r="H34" s="155">
        <f>IF('AW Schüler'!$B10=0,"x",C34/'AW Schüler'!$B10)</f>
        <v>0.27533340333928386</v>
      </c>
      <c r="I34" s="155">
        <f>IF('AW Schüler'!$E10=0,"x",D34/'AW Schüler'!$E10)</f>
        <v>0.28445091817094104</v>
      </c>
      <c r="J34" s="155">
        <f>IF('AW Schüler'!$H10=0,"x",E34/'AW Schüler'!$H10)</f>
        <v>0.30109220218440436</v>
      </c>
      <c r="K34" s="155">
        <f>IF('AW Schüler'!$K10=0,"x",F34/'AW Schüler'!$K10)</f>
        <v>0.30699238453169814</v>
      </c>
      <c r="L34" s="156">
        <f>IF('AW Schüler'!$N10=0,"x",G34/'AW Schüler'!$N10)</f>
        <v>0.32429857571571474</v>
      </c>
    </row>
    <row r="35" spans="1:12" ht="9" customHeight="1">
      <c r="A35" s="21" t="s">
        <v>85</v>
      </c>
      <c r="B35" s="120"/>
      <c r="C35" s="23">
        <f>[26]GtS!$E$24</f>
        <v>8315</v>
      </c>
      <c r="D35" s="23">
        <f>[27]GtS!$E$26</f>
        <v>11897</v>
      </c>
      <c r="E35" s="23">
        <f>[28]GtS!$E$26</f>
        <v>11809</v>
      </c>
      <c r="F35" s="23">
        <f>[29]GtS!$E$26</f>
        <v>11605</v>
      </c>
      <c r="G35" s="34">
        <f>[30]GtS!$E$26</f>
        <v>12982</v>
      </c>
      <c r="H35" s="155">
        <f>IF('AW Schüler'!$B11=0,"x",C35/'AW Schüler'!$B11)</f>
        <v>0.17457118263315907</v>
      </c>
      <c r="I35" s="155">
        <f>IF('AW Schüler'!$E11=0,"x",D35/'AW Schüler'!$E11)</f>
        <v>0.24714362873405626</v>
      </c>
      <c r="J35" s="155">
        <f>IF('AW Schüler'!$H11=0,"x",E35/'AW Schüler'!$H11)</f>
        <v>0.24056795958279009</v>
      </c>
      <c r="K35" s="155">
        <f>IF('AW Schüler'!$K11=0,"x",F35/'AW Schüler'!$K11)</f>
        <v>0.23231837927651994</v>
      </c>
      <c r="L35" s="156">
        <f>IF('AW Schüler'!$N11=0,"x",G35/'AW Schüler'!$N11)</f>
        <v>0.25131640080532758</v>
      </c>
    </row>
    <row r="36" spans="1:12" ht="9" customHeight="1">
      <c r="A36" s="21" t="s">
        <v>86</v>
      </c>
      <c r="B36" s="120"/>
      <c r="C36" s="23">
        <f>[66]GtS!$E$24</f>
        <v>1565</v>
      </c>
      <c r="D36" s="23">
        <f>[67]GtS!$E$26</f>
        <v>1533</v>
      </c>
      <c r="E36" s="23">
        <f>[68]GtS!$E$26</f>
        <v>1571</v>
      </c>
      <c r="F36" s="23">
        <f>[69]GtS!$E$26</f>
        <v>2332</v>
      </c>
      <c r="G36" s="34">
        <f>[70]GtS!$E$26</f>
        <v>3170</v>
      </c>
      <c r="H36" s="155">
        <f>IF('AW Schüler'!$B12=0,"x",C36/'AW Schüler'!$B12)</f>
        <v>7.8041628850967918E-3</v>
      </c>
      <c r="I36" s="155">
        <f>IF('AW Schüler'!$E12=0,"x",D36/'AW Schüler'!$E12)</f>
        <v>7.6955899701312714E-3</v>
      </c>
      <c r="J36" s="155">
        <f>IF('AW Schüler'!$H12=0,"x",E36/'AW Schüler'!$H12)</f>
        <v>7.8050089178809722E-3</v>
      </c>
      <c r="K36" s="155">
        <f>IF('AW Schüler'!$K12=0,"x",F36/'AW Schüler'!$K12)</f>
        <v>1.1482933170510724E-2</v>
      </c>
      <c r="L36" s="156">
        <f>IF('AW Schüler'!$N12=0,"x",G36/'AW Schüler'!$N12)</f>
        <v>1.5274311210477117E-2</v>
      </c>
    </row>
    <row r="37" spans="1:12" ht="9" customHeight="1">
      <c r="A37" s="21" t="s">
        <v>87</v>
      </c>
      <c r="B37" s="120"/>
      <c r="C37" s="23">
        <f>[31]GtS!$E$24</f>
        <v>191</v>
      </c>
      <c r="D37" s="23">
        <f>[32]GtS!$E$26</f>
        <v>20</v>
      </c>
      <c r="E37" s="23">
        <f>[33]GtS!$E$26</f>
        <v>0</v>
      </c>
      <c r="F37" s="23">
        <f>[34]GtS!$E$26</f>
        <v>0</v>
      </c>
      <c r="G37" s="34">
        <f>[35]GtS!$E$26</f>
        <v>0</v>
      </c>
      <c r="H37" s="155">
        <f>IF('AW Schüler'!$B13=0,"x",C37/'AW Schüler'!$B13)</f>
        <v>4.3117070748115039E-3</v>
      </c>
      <c r="I37" s="155">
        <f>IF('AW Schüler'!$E13=0,"x",D37/'AW Schüler'!$E13)</f>
        <v>4.5132463781197816E-4</v>
      </c>
      <c r="J37" s="155">
        <f>IF('AW Schüler'!$H13=0,"x",E37/'AW Schüler'!$H13)</f>
        <v>0</v>
      </c>
      <c r="K37" s="155">
        <f>IF('AW Schüler'!$K13=0,"x",F37/'AW Schüler'!$K13)</f>
        <v>0</v>
      </c>
      <c r="L37" s="156">
        <f>IF('AW Schüler'!$N13=0,"x",G37/'AW Schüler'!$N13)</f>
        <v>0</v>
      </c>
    </row>
    <row r="38" spans="1:12" ht="9" customHeight="1">
      <c r="A38" s="21" t="s">
        <v>88</v>
      </c>
      <c r="B38" s="120"/>
      <c r="C38" s="23">
        <f>[71]GtS!$E$24</f>
        <v>2250</v>
      </c>
      <c r="D38" s="23">
        <f>[72]GtS!$E$26</f>
        <v>2530</v>
      </c>
      <c r="E38" s="23">
        <f>[73]GtS!$E$26</f>
        <v>2255</v>
      </c>
      <c r="F38" s="23">
        <f>[74]GtS!$E$26</f>
        <v>3867</v>
      </c>
      <c r="G38" s="34">
        <f>[75]GtS!$E$26</f>
        <v>5587</v>
      </c>
      <c r="H38" s="155">
        <f>IF('AW Schüler'!$B14=0,"x",C38/'AW Schüler'!$B14)</f>
        <v>7.8147250258754231E-3</v>
      </c>
      <c r="I38" s="155">
        <f>IF('AW Schüler'!$E14=0,"x",D38/'AW Schüler'!$E14)</f>
        <v>8.903998704872915E-3</v>
      </c>
      <c r="J38" s="155">
        <f>IF('AW Schüler'!$H14=0,"x",E38/'AW Schüler'!$H14)</f>
        <v>8.0304837876818431E-3</v>
      </c>
      <c r="K38" s="155">
        <f>IF('AW Schüler'!$K14=0,"x",F38/'AW Schüler'!$K14)</f>
        <v>1.3903070396203351E-2</v>
      </c>
      <c r="L38" s="156">
        <f>IF('AW Schüler'!$N14=0,"x",G38/'AW Schüler'!$N14)</f>
        <v>1.9951718768971453E-2</v>
      </c>
    </row>
    <row r="39" spans="1:12" ht="9" customHeight="1">
      <c r="A39" s="21" t="s">
        <v>89</v>
      </c>
      <c r="B39" s="120"/>
      <c r="C39" s="23">
        <f>[36]GtS!$E$24</f>
        <v>2494</v>
      </c>
      <c r="D39" s="23">
        <f>[37]GtS!$E$26</f>
        <v>2505</v>
      </c>
      <c r="E39" s="23">
        <f>[38]GtS!$E$26</f>
        <v>2567</v>
      </c>
      <c r="F39" s="23">
        <f>[39]GtS!$E$26</f>
        <v>2492</v>
      </c>
      <c r="G39" s="34">
        <f>[40]GtS!$E$26</f>
        <v>2581</v>
      </c>
      <c r="H39" s="155">
        <f>IF('AW Schüler'!$B15=0,"x",C39/'AW Schüler'!$B15)</f>
        <v>3.9428024883605122E-3</v>
      </c>
      <c r="I39" s="155">
        <f>IF('AW Schüler'!$E15=0,"x",D39/'AW Schüler'!$E15)</f>
        <v>4.0543165118311596E-3</v>
      </c>
      <c r="J39" s="155">
        <f>IF('AW Schüler'!$H15=0,"x",E39/'AW Schüler'!$H15)</f>
        <v>4.1583645170173815E-3</v>
      </c>
      <c r="K39" s="155">
        <f>IF('AW Schüler'!$K15=0,"x",F39/'AW Schüler'!$K15)</f>
        <v>4.0754114661014735E-3</v>
      </c>
      <c r="L39" s="156">
        <f>IF('AW Schüler'!$N15=0,"x",G39/'AW Schüler'!$N15)</f>
        <v>4.1352769081394935E-3</v>
      </c>
    </row>
    <row r="40" spans="1:12" ht="9" customHeight="1">
      <c r="A40" s="21" t="s">
        <v>90</v>
      </c>
      <c r="B40" s="120"/>
      <c r="C40" s="23">
        <f>[41]GtS!$E$24</f>
        <v>24328</v>
      </c>
      <c r="D40" s="23">
        <f>[42]GtS!$E$26</f>
        <v>25712</v>
      </c>
      <c r="E40" s="23">
        <f>[43]GtS!$E$26</f>
        <v>27442</v>
      </c>
      <c r="F40" s="23">
        <f>[44]GtS!$E$26</f>
        <v>29189</v>
      </c>
      <c r="G40" s="34">
        <f>[45]GtS!$E$26</f>
        <v>30817</v>
      </c>
      <c r="H40" s="155">
        <f>IF('AW Schüler'!$B16=0,"x",C40/'AW Schüler'!$B16)</f>
        <v>0.18323692456013496</v>
      </c>
      <c r="I40" s="155">
        <f>IF('AW Schüler'!$E16=0,"x",D40/'AW Schüler'!$E16)</f>
        <v>0.19723992973250792</v>
      </c>
      <c r="J40" s="155">
        <f>IF('AW Schüler'!$H16=0,"x",E40/'AW Schüler'!$H16)</f>
        <v>0.20953049958387099</v>
      </c>
      <c r="K40" s="155">
        <f>IF('AW Schüler'!$K16=0,"x",F40/'AW Schüler'!$K16)</f>
        <v>0.22108356624023873</v>
      </c>
      <c r="L40" s="156">
        <f>IF('AW Schüler'!$N16=0,"x",G40/'AW Schüler'!$N16)</f>
        <v>0.22861106371614454</v>
      </c>
    </row>
    <row r="41" spans="1:12" ht="9" customHeight="1">
      <c r="A41" s="21" t="s">
        <v>91</v>
      </c>
      <c r="B41" s="120"/>
      <c r="C41" s="23">
        <f>[46]GtS!$E$24</f>
        <v>852</v>
      </c>
      <c r="D41" s="23">
        <f>[47]GtS!$E$26</f>
        <v>907</v>
      </c>
      <c r="E41" s="23">
        <f>[48]GtS!$E$26</f>
        <v>1170</v>
      </c>
      <c r="F41" s="23">
        <f>[49]GtS!$E$26</f>
        <v>1332</v>
      </c>
      <c r="G41" s="34">
        <f>[50]GtS!$E$26</f>
        <v>1586</v>
      </c>
      <c r="H41" s="155">
        <f>IF('AW Schüler'!$B17=0,"x",C41/'AW Schüler'!$B17)</f>
        <v>2.8776006484733857E-2</v>
      </c>
      <c r="I41" s="155">
        <f>IF('AW Schüler'!$E17=0,"x",D41/'AW Schüler'!$E17)</f>
        <v>3.1289888570738604E-2</v>
      </c>
      <c r="J41" s="155">
        <f>IF('AW Schüler'!$H17=0,"x",E41/'AW Schüler'!$H17)</f>
        <v>3.9790504693239012E-2</v>
      </c>
      <c r="K41" s="155">
        <f>IF('AW Schüler'!$K17=0,"x",F41/'AW Schüler'!$K17)</f>
        <v>4.5688413253755916E-2</v>
      </c>
      <c r="L41" s="156">
        <f>IF('AW Schüler'!$N17=0,"x",G41/'AW Schüler'!$N17)</f>
        <v>5.2388187883992868E-2</v>
      </c>
    </row>
    <row r="42" spans="1:12" ht="9" customHeight="1">
      <c r="A42" s="21" t="s">
        <v>92</v>
      </c>
      <c r="B42" s="120"/>
      <c r="C42" s="23">
        <f>[51]GtS!$E$24</f>
        <v>28186</v>
      </c>
      <c r="D42" s="23">
        <f>[52]GtS!$E$26</f>
        <v>29689</v>
      </c>
      <c r="E42" s="23">
        <f>[53]GtS!$E$26</f>
        <v>31904</v>
      </c>
      <c r="F42" s="23">
        <f>[54]GtS!$E$26</f>
        <v>34718</v>
      </c>
      <c r="G42" s="34">
        <f>[55]GtS!$E$26</f>
        <v>37904</v>
      </c>
      <c r="H42" s="155">
        <f>IF('AW Schüler'!$B18=0,"x",C42/'AW Schüler'!$B18)</f>
        <v>0.24402406822215489</v>
      </c>
      <c r="I42" s="155">
        <f>IF('AW Schüler'!$E18=0,"x",D42/'AW Schüler'!$E18)</f>
        <v>0.25294789217189789</v>
      </c>
      <c r="J42" s="155">
        <f>IF('AW Schüler'!$H18=0,"x",E42/'AW Schüler'!$H18)</f>
        <v>0.26645508832004011</v>
      </c>
      <c r="K42" s="155">
        <f>IF('AW Schüler'!$K18=0,"x",F42/'AW Schüler'!$K18)</f>
        <v>0.28349092809432824</v>
      </c>
      <c r="L42" s="156">
        <f>IF('AW Schüler'!$N18=0,"x",G42/'AW Schüler'!$N18)</f>
        <v>0.29878841863801542</v>
      </c>
    </row>
    <row r="43" spans="1:12" ht="9" customHeight="1">
      <c r="A43" s="21" t="s">
        <v>93</v>
      </c>
      <c r="B43" s="120"/>
      <c r="C43" s="23">
        <f>[76]GtS!$E$24</f>
        <v>626</v>
      </c>
      <c r="D43" s="23">
        <f>[77]GtS!$E$26</f>
        <v>627</v>
      </c>
      <c r="E43" s="23">
        <f>[78]GtS!$E$26</f>
        <v>638</v>
      </c>
      <c r="F43" s="23">
        <f>[79]GtS!$E$26</f>
        <v>672</v>
      </c>
      <c r="G43" s="34">
        <f>[80]GtS!$E$26</f>
        <v>682</v>
      </c>
      <c r="H43" s="155">
        <f>IF('AW Schüler'!$B19=0,"x",C43/'AW Schüler'!$B19)</f>
        <v>1.0198927972107724E-2</v>
      </c>
      <c r="I43" s="155">
        <f>IF('AW Schüler'!$E19=0,"x",D43/'AW Schüler'!$E19)</f>
        <v>1.0127113853310291E-2</v>
      </c>
      <c r="J43" s="155">
        <f>IF('AW Schüler'!$H19=0,"x",E43/'AW Schüler'!$H19)</f>
        <v>1.0143890611336354E-2</v>
      </c>
      <c r="K43" s="155">
        <f>IF('AW Schüler'!$K19=0,"x",F43/'AW Schüler'!$K19)</f>
        <v>1.0469083487825017E-2</v>
      </c>
      <c r="L43" s="156">
        <f>IF('AW Schüler'!$N19=0,"x",G43/'AW Schüler'!$N19)</f>
        <v>1.0279134261771267E-2</v>
      </c>
    </row>
    <row r="44" spans="1:12" ht="9" customHeight="1">
      <c r="A44" s="21" t="s">
        <v>94</v>
      </c>
      <c r="B44" s="120"/>
      <c r="C44" s="23">
        <f>[56]GtS!$E$24</f>
        <v>2004</v>
      </c>
      <c r="D44" s="23">
        <f>[57]GtS!$E$26</f>
        <v>2332</v>
      </c>
      <c r="E44" s="23">
        <f>[58]GtS!$E$26</f>
        <v>2287</v>
      </c>
      <c r="F44" s="23">
        <f>[59]GtS!$E$26</f>
        <v>2344</v>
      </c>
      <c r="G44" s="34">
        <f>[60]GtS!$E$26</f>
        <v>2517</v>
      </c>
      <c r="H44" s="155">
        <f>IF('AW Schüler'!$B20=0,"x",C44/'AW Schüler'!$B20)</f>
        <v>2.0476351040676823E-2</v>
      </c>
      <c r="I44" s="155">
        <f>IF('AW Schüler'!$E20=0,"x",D44/'AW Schüler'!$E20)</f>
        <v>2.4212471707124612E-2</v>
      </c>
      <c r="J44" s="155">
        <f>IF('AW Schüler'!$H20=0,"x",E44/'AW Schüler'!$H20)</f>
        <v>2.3719391406258103E-2</v>
      </c>
      <c r="K44" s="155">
        <f>IF('AW Schüler'!$K20=0,"x",F44/'AW Schüler'!$K20)</f>
        <v>2.4092175182181659E-2</v>
      </c>
      <c r="L44" s="156">
        <f>IF('AW Schüler'!$N20=0,"x",G44/'AW Schüler'!$N20)</f>
        <v>2.5244471190010533E-2</v>
      </c>
    </row>
    <row r="45" spans="1:12" ht="9" customHeight="1">
      <c r="A45" s="21" t="s">
        <v>95</v>
      </c>
      <c r="B45" s="120"/>
      <c r="C45" s="23">
        <f>[61]GtS!$E$24</f>
        <v>1012</v>
      </c>
      <c r="D45" s="23">
        <f>[62]GtS!$E$26</f>
        <v>739</v>
      </c>
      <c r="E45" s="23">
        <f>[63]GtS!$E$26</f>
        <v>691</v>
      </c>
      <c r="F45" s="23">
        <f>[64]GtS!$E$26</f>
        <v>1050</v>
      </c>
      <c r="G45" s="34">
        <f>[65]GtS!$E$26</f>
        <v>854</v>
      </c>
      <c r="H45" s="155">
        <f>IF('AW Schüler'!$B21=0,"x",C45/'AW Schüler'!$B21)</f>
        <v>1.6544057544547981E-2</v>
      </c>
      <c r="I45" s="155">
        <f>IF('AW Schüler'!$E21=0,"x",D45/'AW Schüler'!$E21)</f>
        <v>1.2158404764646847E-2</v>
      </c>
      <c r="J45" s="155">
        <f>IF('AW Schüler'!$H21=0,"x",E45/'AW Schüler'!$H21)</f>
        <v>1.1278870480698604E-2</v>
      </c>
      <c r="K45" s="155">
        <f>IF('AW Schüler'!$K21=0,"x",F45/'AW Schüler'!$K21)</f>
        <v>1.6952983725135623E-2</v>
      </c>
      <c r="L45" s="156">
        <f>IF('AW Schüler'!$N21=0,"x",G45/'AW Schüler'!$N21)</f>
        <v>1.3526998558598515E-2</v>
      </c>
    </row>
    <row r="46" spans="1:12" ht="9" customHeight="1">
      <c r="A46" s="21" t="s">
        <v>96</v>
      </c>
      <c r="B46" s="120"/>
      <c r="C46" s="23">
        <f>SUM(C30:C45)</f>
        <v>125334</v>
      </c>
      <c r="D46" s="23">
        <f>SUM(D30:D45)</f>
        <v>137754</v>
      </c>
      <c r="E46" s="23">
        <f>SUM(E30:E45)</f>
        <v>143471</v>
      </c>
      <c r="F46" s="23">
        <f>SUM(F30:F45)</f>
        <v>153598</v>
      </c>
      <c r="G46" s="34">
        <f>SUM(G30:G45)</f>
        <v>167993</v>
      </c>
      <c r="H46" s="155">
        <f>IF('AW Schüler'!$B22=0,"x",C46/'AW Schüler'!$B22)</f>
        <v>4.7125025285700214E-2</v>
      </c>
      <c r="I46" s="155">
        <f>IF('AW Schüler'!$E22=0,"x",D46/'AW Schüler'!$E22)</f>
        <v>5.2603501783121009E-2</v>
      </c>
      <c r="J46" s="155">
        <f>IF('AW Schüler'!$H22=0,"x",E46/'AW Schüler'!$H22)</f>
        <v>5.4819178593044082E-2</v>
      </c>
      <c r="K46" s="155">
        <f>IF('AW Schüler'!$K22=0,"x",F46/'AW Schüler'!$K22)</f>
        <v>5.8567941794299541E-2</v>
      </c>
      <c r="L46" s="156">
        <f>IF('AW Schüler'!$N22=0,"x",G46/'AW Schüler'!$N22)</f>
        <v>6.2754835405512119E-2</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[1]GtS!$H$24</f>
        <v>19528</v>
      </c>
      <c r="D48" s="23">
        <f>[2]GtS!$H$26</f>
        <v>20347</v>
      </c>
      <c r="E48" s="23">
        <f>[3]GtS!$H$26</f>
        <v>24702</v>
      </c>
      <c r="F48" s="23">
        <f>[4]GtS!$H$26</f>
        <v>30220</v>
      </c>
      <c r="G48" s="34">
        <f>[5]GtS!$H$26</f>
        <v>37294</v>
      </c>
      <c r="H48" s="155">
        <f>IF('AW Schüler'!$B6=0,"x",C48/'AW Schüler'!$B6)</f>
        <v>5.4852854016915399E-2</v>
      </c>
      <c r="I48" s="155">
        <f>IF('AW Schüler'!$E6=0,"x",D48/'AW Schüler'!$E6)</f>
        <v>6.013080007920113E-2</v>
      </c>
      <c r="J48" s="155">
        <f>IF('AW Schüler'!$H6=0,"x",E48/'AW Schüler'!$H6)</f>
        <v>7.6195352768258409E-2</v>
      </c>
      <c r="K48" s="155">
        <f>IF('AW Schüler'!$K6=0,"x",F48/'AW Schüler'!$K6)</f>
        <v>9.5098434117113939E-2</v>
      </c>
      <c r="L48" s="156">
        <f>IF('AW Schüler'!$N6=0,"x",G48/'AW Schüler'!$N6)</f>
        <v>0.11655431273459158</v>
      </c>
    </row>
    <row r="49" spans="1:12" ht="9" customHeight="1">
      <c r="A49" s="21" t="s">
        <v>81</v>
      </c>
      <c r="B49" s="120"/>
      <c r="C49" s="23">
        <f>[6]GtS!$H$24</f>
        <v>15675</v>
      </c>
      <c r="D49" s="23">
        <f>[7]GtS!$H$26</f>
        <v>13557</v>
      </c>
      <c r="E49" s="23">
        <f>[8]GtS!$H$26</f>
        <v>13745</v>
      </c>
      <c r="F49" s="23">
        <f>[9]GtS!$H$26</f>
        <v>17173</v>
      </c>
      <c r="G49" s="34">
        <f>[10]GtS!$H$26</f>
        <v>70743</v>
      </c>
      <c r="H49" s="155">
        <f>IF('AW Schüler'!$B7=0,"x",C49/'AW Schüler'!$B7)</f>
        <v>3.8508498893264513E-2</v>
      </c>
      <c r="I49" s="155">
        <f>IF('AW Schüler'!$E7=0,"x",D49/'AW Schüler'!$E7)</f>
        <v>3.3763523340838E-2</v>
      </c>
      <c r="J49" s="155">
        <f>IF('AW Schüler'!$H7=0,"x",E49/'AW Schüler'!$H7)</f>
        <v>3.3975518840407753E-2</v>
      </c>
      <c r="K49" s="155">
        <f>IF('AW Schüler'!$K7=0,"x",F49/'AW Schüler'!$K7)</f>
        <v>4.2044005063006026E-2</v>
      </c>
      <c r="L49" s="156">
        <f>IF('AW Schüler'!$N7=0,"x",G49/'AW Schüler'!$N7)</f>
        <v>0.17000379692689233</v>
      </c>
    </row>
    <row r="50" spans="1:12" ht="9" customHeight="1">
      <c r="A50" s="21" t="s">
        <v>82</v>
      </c>
      <c r="B50" s="120"/>
      <c r="C50" s="23">
        <f>[11]GtS!$H$24</f>
        <v>59933</v>
      </c>
      <c r="D50" s="23">
        <f>[12]GtS!$H$26</f>
        <v>64878</v>
      </c>
      <c r="E50" s="23">
        <f>[13]GtS!$H$26</f>
        <v>63068</v>
      </c>
      <c r="F50" s="23">
        <f>[14]GtS!$H$26</f>
        <v>62837</v>
      </c>
      <c r="G50" s="34">
        <f>[15]GtS!$H$26</f>
        <v>64975</v>
      </c>
      <c r="H50" s="155">
        <f>IF('AW Schüler'!$B8=0,"x",C50/'AW Schüler'!$B8)</f>
        <v>0.62780076467815427</v>
      </c>
      <c r="I50" s="155">
        <f>IF('AW Schüler'!$E8=0,"x",D50/'AW Schüler'!$E8)</f>
        <v>0.65557172305080635</v>
      </c>
      <c r="J50" s="155">
        <f>IF('AW Schüler'!$H8=0,"x",E50/'AW Schüler'!$H8)</f>
        <v>0.620003539057431</v>
      </c>
      <c r="K50" s="155">
        <f>IF('AW Schüler'!$K8=0,"x",F50/'AW Schüler'!$K8)</f>
        <v>0.59955536896742556</v>
      </c>
      <c r="L50" s="156">
        <f>IF('AW Schüler'!$N8=0,"x",G50/'AW Schüler'!$N8)</f>
        <v>0.59743830225458827</v>
      </c>
    </row>
    <row r="51" spans="1:12" ht="9" customHeight="1">
      <c r="A51" s="21" t="s">
        <v>83</v>
      </c>
      <c r="B51" s="120"/>
      <c r="C51" s="23">
        <f>[16]GtS!$H$24</f>
        <v>27649</v>
      </c>
      <c r="D51" s="23">
        <f>[17]GtS!$H$26</f>
        <v>27739</v>
      </c>
      <c r="E51" s="23">
        <f>[18]GtS!$H$26</f>
        <v>28231</v>
      </c>
      <c r="F51" s="23">
        <f>[19]GtS!$H$26</f>
        <v>28427</v>
      </c>
      <c r="G51" s="34">
        <f>[20]GtS!$H$26</f>
        <v>31023</v>
      </c>
      <c r="H51" s="155">
        <f>IF('AW Schüler'!$B9=0,"x",C51/'AW Schüler'!$B9)</f>
        <v>0.39046744810055078</v>
      </c>
      <c r="I51" s="155">
        <f>IF('AW Schüler'!$E9=0,"x",D51/'AW Schüler'!$E9)</f>
        <v>0.38935208578968056</v>
      </c>
      <c r="J51" s="155">
        <f>IF('AW Schüler'!$H9=0,"x",E51/'AW Schüler'!$H9)</f>
        <v>0.38744784804567411</v>
      </c>
      <c r="K51" s="155">
        <f>IF('AW Schüler'!$K9=0,"x",F51/'AW Schüler'!$K9)</f>
        <v>0.37792815549469544</v>
      </c>
      <c r="L51" s="156">
        <f>IF('AW Schüler'!$N9=0,"x",G51/'AW Schüler'!$N9)</f>
        <v>0.39420816549550808</v>
      </c>
    </row>
    <row r="52" spans="1:12" ht="9" customHeight="1">
      <c r="A52" s="21" t="s">
        <v>84</v>
      </c>
      <c r="B52" s="120"/>
      <c r="C52" s="23">
        <f>[21]GtS!$H$24</f>
        <v>1308</v>
      </c>
      <c r="D52" s="23">
        <f>[22]GtS!$H$26</f>
        <v>1502</v>
      </c>
      <c r="E52" s="23">
        <f>[23]GtS!$H$26</f>
        <v>1654</v>
      </c>
      <c r="F52" s="23">
        <f>[24]GtS!$H$26</f>
        <v>2231</v>
      </c>
      <c r="G52" s="34">
        <f>[25]GtS!$H$26</f>
        <v>2193</v>
      </c>
      <c r="H52" s="155">
        <f>IF('AW Schüler'!$B10=0,"x",C52/'AW Schüler'!$B10)</f>
        <v>6.8675837446182927E-2</v>
      </c>
      <c r="I52" s="155">
        <f>IF('AW Schüler'!$E10=0,"x",D52/'AW Schüler'!$E10)</f>
        <v>7.8135566768974665E-2</v>
      </c>
      <c r="J52" s="155">
        <f>IF('AW Schüler'!$H10=0,"x",E52/'AW Schüler'!$H10)</f>
        <v>8.4023368046736088E-2</v>
      </c>
      <c r="K52" s="155">
        <f>IF('AW Schüler'!$K10=0,"x",F52/'AW Schüler'!$K10)</f>
        <v>0.11032538819107902</v>
      </c>
      <c r="L52" s="156">
        <f>IF('AW Schüler'!$N10=0,"x",G52/'AW Schüler'!$N10)</f>
        <v>0.10446339255942456</v>
      </c>
    </row>
    <row r="53" spans="1:12" ht="9" customHeight="1">
      <c r="A53" s="21" t="s">
        <v>85</v>
      </c>
      <c r="B53" s="120"/>
      <c r="C53" s="23">
        <f>[26]GtS!$H$24</f>
        <v>12465</v>
      </c>
      <c r="D53" s="23">
        <f>[27]GtS!$H$26</f>
        <v>35659</v>
      </c>
      <c r="E53" s="23">
        <f>[28]GtS!$H$26</f>
        <v>36954</v>
      </c>
      <c r="F53" s="23">
        <f>[29]GtS!$H$26</f>
        <v>38348</v>
      </c>
      <c r="G53" s="34">
        <f>[30]GtS!$H$26</f>
        <v>38673</v>
      </c>
      <c r="H53" s="155">
        <f>IF('AW Schüler'!$B11=0,"x",C53/'AW Schüler'!$B11)</f>
        <v>0.26169931347231845</v>
      </c>
      <c r="I53" s="155">
        <f>IF('AW Schüler'!$E11=0,"x",D53/'AW Schüler'!$E11)</f>
        <v>0.74076613070754915</v>
      </c>
      <c r="J53" s="155">
        <f>IF('AW Schüler'!$H11=0,"x",E53/'AW Schüler'!$H11)</f>
        <v>0.75281127770534551</v>
      </c>
      <c r="K53" s="155">
        <f>IF('AW Schüler'!$K11=0,"x",F53/'AW Schüler'!$K11)</f>
        <v>0.76768162072348012</v>
      </c>
      <c r="L53" s="156">
        <f>IF('AW Schüler'!$N11=0,"x",G53/'AW Schüler'!$N11)</f>
        <v>0.74866424035930002</v>
      </c>
    </row>
    <row r="54" spans="1:12" ht="9" customHeight="1">
      <c r="A54" s="21" t="s">
        <v>114</v>
      </c>
      <c r="B54" s="120"/>
      <c r="C54" s="23">
        <f>[66]GtS!$H$24</f>
        <v>43161</v>
      </c>
      <c r="D54" s="23">
        <f>[67]GtS!$H$26</f>
        <v>50041</v>
      </c>
      <c r="E54" s="23">
        <f>[68]GtS!$H$26</f>
        <v>54053</v>
      </c>
      <c r="F54" s="23">
        <f>[69]GtS!$H$26</f>
        <v>53597</v>
      </c>
      <c r="G54" s="34">
        <f>[70]GtS!$H$26</f>
        <v>66530</v>
      </c>
      <c r="H54" s="155">
        <f>IF('AW Schüler'!$B12=0,"x",C54/'AW Schüler'!$B12)</f>
        <v>0.21523033500553523</v>
      </c>
      <c r="I54" s="155">
        <f>IF('AW Schüler'!$E12=0,"x",D54/'AW Schüler'!$E12)</f>
        <v>0.25120353404784018</v>
      </c>
      <c r="J54" s="155">
        <f>IF('AW Schüler'!$H12=0,"x",E54/'AW Schüler'!$H12)</f>
        <v>0.26854496947054118</v>
      </c>
      <c r="K54" s="155">
        <f>IF('AW Schüler'!$K12=0,"x",F54/'AW Schüler'!$K12)</f>
        <v>0.26391542415946112</v>
      </c>
      <c r="L54" s="156">
        <f>IF('AW Schüler'!$N12=0,"x",G54/'AW Schüler'!$N12)</f>
        <v>0.32056779963187465</v>
      </c>
    </row>
    <row r="55" spans="1:12" ht="9" customHeight="1">
      <c r="A55" s="21" t="s">
        <v>87</v>
      </c>
      <c r="B55" s="120"/>
      <c r="C55" s="23">
        <f>[31]GtS!$H$24</f>
        <v>0</v>
      </c>
      <c r="D55" s="23">
        <f>[32]GtS!$H$26</f>
        <v>282</v>
      </c>
      <c r="E55" s="23">
        <f>[33]GtS!$H$26</f>
        <v>0</v>
      </c>
      <c r="F55" s="23">
        <f>[34]GtS!$H$26</f>
        <v>0</v>
      </c>
      <c r="G55" s="34">
        <f>[35]GtS!$H$26</f>
        <v>0</v>
      </c>
      <c r="H55" s="155">
        <f>IF('AW Schüler'!$B13=0,"x",C55/'AW Schüler'!$B13)</f>
        <v>0</v>
      </c>
      <c r="I55" s="155">
        <f>IF('AW Schüler'!$E13=0,"x",D55/'AW Schüler'!$E13)</f>
        <v>6.3636773931488918E-3</v>
      </c>
      <c r="J55" s="155">
        <f>IF('AW Schüler'!$H13=0,"x",E55/'AW Schüler'!$H13)</f>
        <v>0</v>
      </c>
      <c r="K55" s="155">
        <f>IF('AW Schüler'!$K13=0,"x",F55/'AW Schüler'!$K13)</f>
        <v>0</v>
      </c>
      <c r="L55" s="156">
        <f>IF('AW Schüler'!$N13=0,"x",G55/'AW Schüler'!$N13)</f>
        <v>0</v>
      </c>
    </row>
    <row r="56" spans="1:12" ht="9" customHeight="1">
      <c r="A56" s="21" t="s">
        <v>88</v>
      </c>
      <c r="B56" s="120"/>
      <c r="C56" s="23">
        <f>[71]GtS!$H$24</f>
        <v>59161</v>
      </c>
      <c r="D56" s="23">
        <f>[72]GtS!$H$26</f>
        <v>66980</v>
      </c>
      <c r="E56" s="23">
        <f>[73]GtS!$H$26</f>
        <v>75024</v>
      </c>
      <c r="F56" s="23">
        <f>[74]GtS!$H$26</f>
        <v>80871</v>
      </c>
      <c r="G56" s="34">
        <f>[75]GtS!$H$26</f>
        <v>88760</v>
      </c>
      <c r="H56" s="155">
        <f>IF('AW Schüler'!$B14=0,"x",C56/'AW Schüler'!$B14)</f>
        <v>0.20547864322480705</v>
      </c>
      <c r="I56" s="155">
        <f>IF('AW Schüler'!$E14=0,"x",D56/'AW Schüler'!$E14)</f>
        <v>0.23572720681912565</v>
      </c>
      <c r="J56" s="155">
        <f>IF('AW Schüler'!$H14=0,"x",E56/'AW Schüler'!$H14)</f>
        <v>0.26717472979469736</v>
      </c>
      <c r="K56" s="155">
        <f>IF('AW Schüler'!$K14=0,"x",F56/'AW Schüler'!$K14)</f>
        <v>0.29075645358452579</v>
      </c>
      <c r="L56" s="156">
        <f>IF('AW Schüler'!$N14=0,"x",G56/'AW Schüler'!$N14)</f>
        <v>0.31697056701877685</v>
      </c>
    </row>
    <row r="57" spans="1:12" ht="9" customHeight="1">
      <c r="A57" s="21" t="s">
        <v>89</v>
      </c>
      <c r="B57" s="120"/>
      <c r="C57" s="23">
        <f>[36]GtS!$H$24</f>
        <v>230556</v>
      </c>
      <c r="D57" s="23">
        <f>[37]GtS!$H$26</f>
        <v>235240</v>
      </c>
      <c r="E57" s="23">
        <f>[38]GtS!$H$26</f>
        <v>248321</v>
      </c>
      <c r="F57" s="23">
        <f>[39]GtS!$H$26</f>
        <v>257156</v>
      </c>
      <c r="G57" s="34">
        <f>[40]GtS!$H$26</f>
        <v>272954</v>
      </c>
      <c r="H57" s="155">
        <f>IF('AW Schüler'!$B15=0,"x",C57/'AW Schüler'!$B15)</f>
        <v>0.36448948296168654</v>
      </c>
      <c r="I57" s="155">
        <f>IF('AW Schüler'!$E15=0,"x",D57/'AW Schüler'!$E15)</f>
        <v>0.38073349949826824</v>
      </c>
      <c r="J57" s="155">
        <f>IF('AW Schüler'!$H15=0,"x",E57/'AW Schüler'!$H15)</f>
        <v>0.4022630444995221</v>
      </c>
      <c r="K57" s="155">
        <f>IF('AW Schüler'!$K15=0,"x",F57/'AW Schüler'!$K15)</f>
        <v>0.42055237198105555</v>
      </c>
      <c r="L57" s="156">
        <f>IF('AW Schüler'!$N15=0,"x",G57/'AW Schüler'!$N15)</f>
        <v>0.43732676217911948</v>
      </c>
    </row>
    <row r="58" spans="1:12" ht="9" customHeight="1">
      <c r="A58" s="21" t="s">
        <v>90</v>
      </c>
      <c r="B58" s="120"/>
      <c r="C58" s="23">
        <f>[41]GtS!$H$24</f>
        <v>10343</v>
      </c>
      <c r="D58" s="23">
        <f>[42]GtS!$H$26</f>
        <v>10668</v>
      </c>
      <c r="E58" s="23">
        <f>[43]GtS!$H$26</f>
        <v>13162</v>
      </c>
      <c r="F58" s="23">
        <f>[44]GtS!$H$26</f>
        <v>14406</v>
      </c>
      <c r="G58" s="34">
        <f>[45]GtS!$H$26</f>
        <v>18466</v>
      </c>
      <c r="H58" s="155">
        <f>IF('AW Schüler'!$B16=0,"x",C58/'AW Schüler'!$B16)</f>
        <v>7.79028079055194E-2</v>
      </c>
      <c r="I58" s="155">
        <f>IF('AW Schüler'!$E16=0,"x",D58/'AW Schüler'!$E16)</f>
        <v>8.1835546452488903E-2</v>
      </c>
      <c r="J58" s="155">
        <f>IF('AW Schüler'!$H16=0,"x",E58/'AW Schüler'!$H16)</f>
        <v>0.10049706419076269</v>
      </c>
      <c r="K58" s="155">
        <f>IF('AW Schüler'!$K16=0,"x",F58/'AW Schüler'!$K16)</f>
        <v>0.10911404485446159</v>
      </c>
      <c r="L58" s="156">
        <f>IF('AW Schüler'!$N16=0,"x",G58/'AW Schüler'!$N16)</f>
        <v>0.13698711433891439</v>
      </c>
    </row>
    <row r="59" spans="1:12" ht="9" customHeight="1">
      <c r="A59" s="21" t="s">
        <v>91</v>
      </c>
      <c r="B59" s="120"/>
      <c r="C59" s="23">
        <f>[46]GtS!$H$24</f>
        <v>11347</v>
      </c>
      <c r="D59" s="23">
        <f>[47]GtS!$H$26</f>
        <v>10891</v>
      </c>
      <c r="E59" s="23">
        <f>[48]GtS!$H$26</f>
        <v>11493</v>
      </c>
      <c r="F59" s="23">
        <f>[49]GtS!$H$26</f>
        <v>12275</v>
      </c>
      <c r="G59" s="34">
        <f>[50]GtS!$H$26</f>
        <v>12731</v>
      </c>
      <c r="H59" s="155">
        <f>IF('AW Schüler'!$B17=0,"x",C59/'AW Schüler'!$B17)</f>
        <v>0.3832410159416374</v>
      </c>
      <c r="I59" s="155">
        <f>IF('AW Schüler'!$E17=0,"x",D59/'AW Schüler'!$E17)</f>
        <v>0.37572015041225376</v>
      </c>
      <c r="J59" s="155">
        <f>IF('AW Schüler'!$H17=0,"x",E59/'AW Schüler'!$H17)</f>
        <v>0.39086518840974016</v>
      </c>
      <c r="K59" s="155">
        <f>IF('AW Schüler'!$K17=0,"x",F59/'AW Schüler'!$K17)</f>
        <v>0.42103999451190233</v>
      </c>
      <c r="L59" s="156">
        <f>IF('AW Schüler'!$N17=0,"x",G59/'AW Schüler'!$N17)</f>
        <v>0.42052586377749884</v>
      </c>
    </row>
    <row r="60" spans="1:12" ht="9" customHeight="1">
      <c r="A60" s="21" t="s">
        <v>92</v>
      </c>
      <c r="B60" s="120"/>
      <c r="C60" s="23">
        <f>[51]GtS!$H$24</f>
        <v>66528</v>
      </c>
      <c r="D60" s="23">
        <f>[52]GtS!$H$26</f>
        <v>65265</v>
      </c>
      <c r="E60" s="23">
        <f>[53]GtS!$H$26</f>
        <v>69990</v>
      </c>
      <c r="F60" s="23">
        <f>[54]GtS!$H$26</f>
        <v>69745</v>
      </c>
      <c r="G60" s="34">
        <f>[55]GtS!$H$26</f>
        <v>70307</v>
      </c>
      <c r="H60" s="155">
        <f>IF('AW Schüler'!$B18=0,"x",C60/'AW Schüler'!$B18)</f>
        <v>0.57597506601445825</v>
      </c>
      <c r="I60" s="155">
        <f>IF('AW Schüler'!$E18=0,"x",D60/'AW Schüler'!$E18)</f>
        <v>0.5560525508639198</v>
      </c>
      <c r="J60" s="155">
        <f>IF('AW Schüler'!$H18=0,"x",E60/'AW Schüler'!$H18)</f>
        <v>0.58454086106819225</v>
      </c>
      <c r="K60" s="155">
        <f>IF('AW Schüler'!$K18=0,"x",F60/'AW Schüler'!$K18)</f>
        <v>0.56950500547090621</v>
      </c>
      <c r="L60" s="156">
        <f>IF('AW Schüler'!$N18=0,"x",G60/'AW Schüler'!$N18)</f>
        <v>0.55421373335750712</v>
      </c>
    </row>
    <row r="61" spans="1:12" ht="9" customHeight="1">
      <c r="A61" s="21" t="s">
        <v>93</v>
      </c>
      <c r="B61" s="120"/>
      <c r="C61" s="23">
        <f>[76]GtS!$H$24</f>
        <v>1817</v>
      </c>
      <c r="D61" s="23">
        <f>[77]GtS!$H$26</f>
        <v>1832</v>
      </c>
      <c r="E61" s="23">
        <f>[78]GtS!$H$26</f>
        <v>1961</v>
      </c>
      <c r="F61" s="23">
        <f>[79]GtS!$H$26</f>
        <v>1982</v>
      </c>
      <c r="G61" s="34">
        <f>[80]GtS!$H$26</f>
        <v>45316</v>
      </c>
      <c r="H61" s="155">
        <f>IF('AW Schüler'!$B19=0,"x",C61/'AW Schüler'!$B19)</f>
        <v>2.9602958666644943E-2</v>
      </c>
      <c r="I61" s="155">
        <f>IF('AW Schüler'!$E19=0,"x",D61/'AW Schüler'!$E19)</f>
        <v>2.9589908419879508E-2</v>
      </c>
      <c r="J61" s="155">
        <f>IF('AW Schüler'!$H19=0,"x",E61/'AW Schüler'!$H19)</f>
        <v>3.1178949042054219E-2</v>
      </c>
      <c r="K61" s="155">
        <f>IF('AW Schüler'!$K19=0,"x",F61/'AW Schüler'!$K19)</f>
        <v>3.0877564691769617E-2</v>
      </c>
      <c r="L61" s="156">
        <f>IF('AW Schüler'!$N19=0,"x",G61/'AW Schüler'!$N19)</f>
        <v>0.68300476276602162</v>
      </c>
    </row>
    <row r="62" spans="1:12" ht="9" customHeight="1">
      <c r="A62" s="21" t="s">
        <v>94</v>
      </c>
      <c r="B62" s="120"/>
      <c r="C62" s="23">
        <f>[56]GtS!$H$24</f>
        <v>14644</v>
      </c>
      <c r="D62" s="23">
        <f>[57]GtS!$H$26</f>
        <v>15414</v>
      </c>
      <c r="E62" s="23">
        <f>[58]GtS!$H$26</f>
        <v>16481</v>
      </c>
      <c r="F62" s="23">
        <f>[59]GtS!$H$26</f>
        <v>17398</v>
      </c>
      <c r="G62" s="34">
        <f>[60]GtS!$H$26</f>
        <v>18269</v>
      </c>
      <c r="H62" s="155">
        <f>IF('AW Schüler'!$B20=0,"x",C62/'AW Schüler'!$B20)</f>
        <v>0.14962858514953661</v>
      </c>
      <c r="I62" s="155">
        <f>IF('AW Schüler'!$E20=0,"x",D62/'AW Schüler'!$E20)</f>
        <v>0.16003903897668045</v>
      </c>
      <c r="J62" s="155">
        <f>IF('AW Schüler'!$H20=0,"x",E62/'AW Schüler'!$H20)</f>
        <v>0.17093104056254474</v>
      </c>
      <c r="K62" s="155">
        <f>IF('AW Schüler'!$K20=0,"x",F62/'AW Schüler'!$K20)</f>
        <v>0.17882067569095414</v>
      </c>
      <c r="L62" s="156">
        <f>IF('AW Schüler'!$N20=0,"x",G62/'AW Schüler'!$N20)</f>
        <v>0.18323053006368789</v>
      </c>
    </row>
    <row r="63" spans="1:12" ht="9" customHeight="1">
      <c r="A63" s="21" t="s">
        <v>95</v>
      </c>
      <c r="B63" s="120"/>
      <c r="C63" s="23">
        <f>[61]GtS!$H$24</f>
        <v>51995</v>
      </c>
      <c r="D63" s="23">
        <f>[62]GtS!$H$26</f>
        <v>51373</v>
      </c>
      <c r="E63" s="23">
        <f>[63]GtS!$H$26</f>
        <v>51032</v>
      </c>
      <c r="F63" s="23">
        <f>[64]GtS!$H$26</f>
        <v>51297</v>
      </c>
      <c r="G63" s="34">
        <f>[65]GtS!$H$26</f>
        <v>54918</v>
      </c>
      <c r="H63" s="155">
        <f>IF('AW Schüler'!$B21=0,"x",C63/'AW Schüler'!$B21)</f>
        <v>0.85000817394147454</v>
      </c>
      <c r="I63" s="155">
        <f>IF('AW Schüler'!$E21=0,"x",D63/'AW Schüler'!$E21)</f>
        <v>0.84521478751583556</v>
      </c>
      <c r="J63" s="155">
        <f>IF('AW Schüler'!$H21=0,"x",E63/'AW Schüler'!$H21)</f>
        <v>0.83297151717946627</v>
      </c>
      <c r="K63" s="155">
        <f>IF('AW Schüler'!$K21=0,"x",F63/'AW Schüler'!$K21)</f>
        <v>0.82822591061741158</v>
      </c>
      <c r="L63" s="156">
        <f>IF('AW Schüler'!$N21=0,"x",G63/'AW Schüler'!$N21)</f>
        <v>0.86987787686313023</v>
      </c>
    </row>
    <row r="64" spans="1:12" ht="8.65" customHeight="1">
      <c r="A64" s="24" t="s">
        <v>96</v>
      </c>
      <c r="B64" s="121"/>
      <c r="C64" s="26">
        <f>SUM(C48:C63)</f>
        <v>626110</v>
      </c>
      <c r="D64" s="26">
        <f>SUM(D48:D63)</f>
        <v>671668</v>
      </c>
      <c r="E64" s="26">
        <f>SUM(E48:E63)</f>
        <v>709871</v>
      </c>
      <c r="F64" s="26">
        <f>SUM(F48:F63)</f>
        <v>737963</v>
      </c>
      <c r="G64" s="47">
        <f>SUM(G48:G63)</f>
        <v>893152</v>
      </c>
      <c r="H64" s="157">
        <f>IF('AW Schüler'!$B22=0,"x",C64/'AW Schüler'!$B22)</f>
        <v>0.23541456892487084</v>
      </c>
      <c r="I64" s="157">
        <f>IF('AW Schüler'!$E22=0,"x",D64/'AW Schüler'!$E22)</f>
        <v>0.25648684492403356</v>
      </c>
      <c r="J64" s="157">
        <f>IF('AW Schüler'!$H22=0,"x",E64/'AW Schüler'!$H22)</f>
        <v>0.27123631345026378</v>
      </c>
      <c r="K64" s="157">
        <f>IF('AW Schüler'!$K22=0,"x",F64/'AW Schüler'!$K22)</f>
        <v>0.28139021361180921</v>
      </c>
      <c r="L64" s="158">
        <f>IF('AW Schüler'!$N22=0,"x",G64/'AW Schüler'!$N22)</f>
        <v>0.33364251339105772</v>
      </c>
    </row>
    <row r="65" spans="1:12" ht="18.75" customHeight="1">
      <c r="A65" s="396" t="s">
        <v>312</v>
      </c>
      <c r="B65" s="396"/>
      <c r="C65" s="396"/>
      <c r="D65" s="396"/>
      <c r="E65" s="396"/>
      <c r="F65" s="396"/>
      <c r="G65" s="396"/>
      <c r="H65" s="396"/>
      <c r="I65" s="396"/>
      <c r="J65" s="396"/>
      <c r="K65" s="396"/>
      <c r="L65" s="396"/>
    </row>
    <row r="66" spans="1:12" ht="10.15" customHeight="1">
      <c r="A66" s="399"/>
      <c r="B66" s="399"/>
      <c r="C66" s="399"/>
      <c r="D66" s="399"/>
      <c r="E66" s="399"/>
      <c r="F66" s="399"/>
      <c r="G66" s="399"/>
      <c r="H66" s="399"/>
      <c r="I66" s="399"/>
      <c r="J66" s="257"/>
      <c r="K66" s="325"/>
      <c r="L66" s="350"/>
    </row>
    <row r="67" spans="1:12" ht="10.15" customHeight="1">
      <c r="A67" s="214"/>
    </row>
    <row r="68" spans="1:12" ht="10.15" customHeight="1">
      <c r="A68" s="214"/>
    </row>
    <row r="83" spans="1:1" ht="10.5" customHeight="1"/>
    <row r="84" spans="1:1" ht="10.15" customHeight="1">
      <c r="A84" s="214"/>
    </row>
  </sheetData>
  <mergeCells count="8">
    <mergeCell ref="A1:L1"/>
    <mergeCell ref="A66:I66"/>
    <mergeCell ref="C9:G9"/>
    <mergeCell ref="H9:L9"/>
    <mergeCell ref="A11:L11"/>
    <mergeCell ref="A29:L29"/>
    <mergeCell ref="A47:L47"/>
    <mergeCell ref="A65:L65"/>
  </mergeCells>
  <phoneticPr fontId="18" type="noConversion"/>
  <conditionalFormatting sqref="N25">
    <cfRule type="cellIs" dxfId="2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M84"/>
  <sheetViews>
    <sheetView view="pageBreakPreview"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'3.2.2'!A1:F1+1</f>
        <v>49</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52</v>
      </c>
      <c r="B5" s="39" t="s">
        <v>9</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293</v>
      </c>
      <c r="D12" s="42">
        <f t="shared" ref="D12:E12" si="1">SUM(D30+D48)</f>
        <v>280</v>
      </c>
      <c r="E12" s="42">
        <f t="shared" si="1"/>
        <v>209</v>
      </c>
      <c r="F12" s="42">
        <f t="shared" ref="F12:G12" si="2">SUM(F30+F48)</f>
        <v>216</v>
      </c>
      <c r="G12" s="44">
        <f t="shared" si="2"/>
        <v>125</v>
      </c>
      <c r="H12" s="153">
        <f>IF('AW Schüler'!$B24=0,"x",C12/'AW Schüler'!$B24)</f>
        <v>0.73250000000000004</v>
      </c>
      <c r="I12" s="153">
        <f>IF('AW Schüler'!$E24=0,"x",D12/'AW Schüler'!$E24)</f>
        <v>0.79096045197740117</v>
      </c>
      <c r="J12" s="153">
        <f>IF('AW Schüler'!$H24=0,"x",E12/'AW Schüler'!$H24)</f>
        <v>0.63525835866261393</v>
      </c>
      <c r="K12" s="153">
        <f>IF('AW Schüler'!$K24=0,"x",F12/'AW Schüler'!$K24)</f>
        <v>0.63343108504398826</v>
      </c>
      <c r="L12" s="154">
        <f>IF('AW Schüler'!$N24=0,"x",G12/'AW Schüler'!$N24)</f>
        <v>0.33244680851063829</v>
      </c>
    </row>
    <row r="13" spans="1:13" ht="9" customHeight="1">
      <c r="A13" s="21" t="s">
        <v>81</v>
      </c>
      <c r="B13" s="120"/>
      <c r="C13" s="42">
        <f t="shared" si="0"/>
        <v>149</v>
      </c>
      <c r="D13" s="42">
        <f t="shared" ref="D13:E13" si="3">SUM(D31+D49)</f>
        <v>123</v>
      </c>
      <c r="E13" s="42">
        <f t="shared" si="3"/>
        <v>122</v>
      </c>
      <c r="F13" s="42" t="e">
        <f t="shared" ref="F13:G13" si="4">SUM(F31+F49)</f>
        <v>#VALUE!</v>
      </c>
      <c r="G13" s="44">
        <f t="shared" si="4"/>
        <v>123</v>
      </c>
      <c r="H13" s="153">
        <f>IF('AW Schüler'!$B25=0,"x",C13/'AW Schüler'!$B25)</f>
        <v>0.24306688417618272</v>
      </c>
      <c r="I13" s="153">
        <f>IF('AW Schüler'!$E25=0,"x",D13/'AW Schüler'!$E25)</f>
        <v>0.20065252854812399</v>
      </c>
      <c r="J13" s="153">
        <f>IF('AW Schüler'!$H25=0,"x",E13/'AW Schüler'!$H25)</f>
        <v>0.19967266775777415</v>
      </c>
      <c r="K13" s="153" t="e">
        <f>IF('AW Schüler'!$K25=0,"x",F13/'AW Schüler'!$K25)</f>
        <v>#VALUE!</v>
      </c>
      <c r="L13" s="154">
        <f>IF('AW Schüler'!$N25=0,"x",G13/'AW Schüler'!$N25)</f>
        <v>0.20465890183028287</v>
      </c>
    </row>
    <row r="14" spans="1:13" ht="9" customHeight="1">
      <c r="A14" s="21" t="s">
        <v>82</v>
      </c>
      <c r="B14" s="120"/>
      <c r="C14" s="42">
        <f t="shared" si="0"/>
        <v>10453</v>
      </c>
      <c r="D14" s="42">
        <f t="shared" ref="D14:E14" si="5">SUM(D32+D50)</f>
        <v>11543</v>
      </c>
      <c r="E14" s="42">
        <f t="shared" si="5"/>
        <v>12221</v>
      </c>
      <c r="F14" s="42">
        <f t="shared" ref="F14:G14" si="6">SUM(F32+F50)</f>
        <v>11475</v>
      </c>
      <c r="G14" s="44">
        <f t="shared" si="6"/>
        <v>13919</v>
      </c>
      <c r="H14" s="153">
        <f>IF('AW Schüler'!$B26=0,"x",C14/'AW Schüler'!$B26)</f>
        <v>0.25188558760452057</v>
      </c>
      <c r="I14" s="153">
        <f>IF('AW Schüler'!$E26=0,"x",D14/'AW Schüler'!$E26)</f>
        <v>0.27287125904212567</v>
      </c>
      <c r="J14" s="153">
        <f>IF('AW Schüler'!$H26=0,"x",E14/'AW Schüler'!$H26)</f>
        <v>0.28136295614136064</v>
      </c>
      <c r="K14" s="153">
        <f>IF('AW Schüler'!$K26=0,"x",F14/'AW Schüler'!$K26)</f>
        <v>0.25532909082817856</v>
      </c>
      <c r="L14" s="154">
        <f>IF('AW Schüler'!$N26=0,"x",G14/'AW Schüler'!$N26)</f>
        <v>0.2966791712848495</v>
      </c>
    </row>
    <row r="15" spans="1:13" ht="9" customHeight="1">
      <c r="A15" s="21" t="s">
        <v>83</v>
      </c>
      <c r="B15" s="120"/>
      <c r="C15" s="42">
        <f t="shared" si="0"/>
        <v>12151</v>
      </c>
      <c r="D15" s="42">
        <f t="shared" ref="D15:E15" si="7">SUM(D33+D51)</f>
        <v>12505</v>
      </c>
      <c r="E15" s="42">
        <f t="shared" si="7"/>
        <v>13046</v>
      </c>
      <c r="F15" s="42">
        <f t="shared" ref="F15:G15" si="8">SUM(F33+F51)</f>
        <v>12765</v>
      </c>
      <c r="G15" s="44">
        <f t="shared" si="8"/>
        <v>13890</v>
      </c>
      <c r="H15" s="153">
        <f>IF('AW Schüler'!$B27=0,"x",C15/'AW Schüler'!$B27)</f>
        <v>0.36865898058252428</v>
      </c>
      <c r="I15" s="153">
        <f>IF('AW Schüler'!$E27=0,"x",D15/'AW Schüler'!$E27)</f>
        <v>0.377874474964494</v>
      </c>
      <c r="J15" s="153">
        <f>IF('AW Schüler'!$H27=0,"x",E15/'AW Schüler'!$H27)</f>
        <v>0.38975860420650094</v>
      </c>
      <c r="K15" s="153">
        <f>IF('AW Schüler'!$K27=0,"x",F15/'AW Schüler'!$K27)</f>
        <v>0.38137492157389979</v>
      </c>
      <c r="L15" s="154">
        <f>IF('AW Schüler'!$N27=0,"x",G15/'AW Schüler'!$N27)</f>
        <v>0.40723583909933153</v>
      </c>
    </row>
    <row r="16" spans="1:13" ht="9" customHeight="1">
      <c r="A16" s="21" t="s">
        <v>84</v>
      </c>
      <c r="B16" s="120"/>
      <c r="C16" s="149">
        <f t="shared" si="0"/>
        <v>0</v>
      </c>
      <c r="D16" s="149">
        <f t="shared" ref="D16:E16" si="9">SUM(D34+D52)</f>
        <v>0</v>
      </c>
      <c r="E16" s="149">
        <f t="shared" si="9"/>
        <v>0</v>
      </c>
      <c r="F16" s="149">
        <f t="shared" ref="F16:G16" si="10">SUM(F34+F52)</f>
        <v>0</v>
      </c>
      <c r="G16" s="150">
        <f t="shared" si="10"/>
        <v>0</v>
      </c>
      <c r="H16" s="153" t="str">
        <f>IF('AW Schüler'!$B28=0,"x",C16/'AW Schüler'!$B28)</f>
        <v>x</v>
      </c>
      <c r="I16" s="153" t="str">
        <f>IF('AW Schüler'!$E28=0,"x",D16/'AW Schüler'!$E28)</f>
        <v>x</v>
      </c>
      <c r="J16" s="153" t="str">
        <f>IF('AW Schüler'!$H28=0,"x",E16/'AW Schüler'!$H28)</f>
        <v>x</v>
      </c>
      <c r="K16" s="153" t="str">
        <f>IF('AW Schüler'!$K28=0,"x",F16/'AW Schüler'!$K28)</f>
        <v>x</v>
      </c>
      <c r="L16" s="154" t="str">
        <f>IF('AW Schüler'!$N28=0,"x",G16/'AW Schüler'!$N28)</f>
        <v>x</v>
      </c>
    </row>
    <row r="17" spans="1:12" ht="9" customHeight="1">
      <c r="A17" s="21" t="s">
        <v>85</v>
      </c>
      <c r="B17" s="120"/>
      <c r="C17" s="42">
        <f t="shared" si="0"/>
        <v>68</v>
      </c>
      <c r="D17" s="42">
        <f t="shared" ref="D17:E17" si="11">SUM(D35+D53)</f>
        <v>272</v>
      </c>
      <c r="E17" s="42">
        <f t="shared" si="11"/>
        <v>293</v>
      </c>
      <c r="F17" s="42">
        <f t="shared" ref="F17:G17" si="12">SUM(F35+F53)</f>
        <v>337</v>
      </c>
      <c r="G17" s="44">
        <f t="shared" si="12"/>
        <v>338</v>
      </c>
      <c r="H17" s="153">
        <f>IF('AW Schüler'!$B29=0,"x",C17/'AW Schüler'!$B29)</f>
        <v>0.24113475177304963</v>
      </c>
      <c r="I17" s="153">
        <f>IF('AW Schüler'!$E29=0,"x",D17/'AW Schüler'!$E29)</f>
        <v>1</v>
      </c>
      <c r="J17" s="153">
        <f>IF('AW Schüler'!$H29=0,"x",E17/'AW Schüler'!$H29)</f>
        <v>1</v>
      </c>
      <c r="K17" s="153">
        <f>IF('AW Schüler'!$K29=0,"x",F17/'AW Schüler'!$K29)</f>
        <v>1</v>
      </c>
      <c r="L17" s="154">
        <f>IF('AW Schüler'!$N29=0,"x",G17/'AW Schüler'!$N29)</f>
        <v>1</v>
      </c>
    </row>
    <row r="18" spans="1:12" ht="9" customHeight="1">
      <c r="A18" s="21" t="s">
        <v>86</v>
      </c>
      <c r="B18" s="120"/>
      <c r="C18" s="42">
        <f t="shared" si="0"/>
        <v>8714</v>
      </c>
      <c r="D18" s="42">
        <f t="shared" ref="D18:E18" si="13">SUM(D36+D54)</f>
        <v>8214</v>
      </c>
      <c r="E18" s="42">
        <f t="shared" si="13"/>
        <v>8195</v>
      </c>
      <c r="F18" s="42">
        <f t="shared" ref="F18:G18" si="14">SUM(F36+F54)</f>
        <v>8245</v>
      </c>
      <c r="G18" s="44">
        <f t="shared" si="14"/>
        <v>8583</v>
      </c>
      <c r="H18" s="153">
        <f>IF('AW Schüler'!$B30=0,"x",C18/'AW Schüler'!$B30)</f>
        <v>0.55535020075202346</v>
      </c>
      <c r="I18" s="153">
        <f>IF('AW Schüler'!$E30=0,"x",D18/'AW Schüler'!$E30)</f>
        <v>0.56210223773352497</v>
      </c>
      <c r="J18" s="153">
        <f>IF('AW Schüler'!$H30=0,"x",E18/'AW Schüler'!$H30)</f>
        <v>0.57151823697607917</v>
      </c>
      <c r="K18" s="153">
        <f>IF('AW Schüler'!$K30=0,"x",F18/'AW Schüler'!$K30)</f>
        <v>0.57713845723085533</v>
      </c>
      <c r="L18" s="154">
        <f>IF('AW Schüler'!$N30=0,"x",G18/'AW Schüler'!$N30)</f>
        <v>0.59803511705685619</v>
      </c>
    </row>
    <row r="19" spans="1:12" ht="9" customHeight="1">
      <c r="A19" s="21" t="s">
        <v>87</v>
      </c>
      <c r="B19" s="120"/>
      <c r="C19" s="149">
        <f t="shared" si="0"/>
        <v>0</v>
      </c>
      <c r="D19" s="149">
        <f t="shared" ref="D19:E19" si="15">SUM(D37+D55)</f>
        <v>0</v>
      </c>
      <c r="E19" s="149">
        <f t="shared" si="15"/>
        <v>0</v>
      </c>
      <c r="F19" s="149">
        <f t="shared" ref="F19:G19" si="16">SUM(F37+F55)</f>
        <v>0</v>
      </c>
      <c r="G19" s="150">
        <f t="shared" si="16"/>
        <v>0</v>
      </c>
      <c r="H19" s="153" t="str">
        <f>IF('AW Schüler'!$B31=0,"x",C19/'AW Schüler'!$B31)</f>
        <v>x</v>
      </c>
      <c r="I19" s="153" t="str">
        <f>IF('AW Schüler'!$E31=0,"x",D19/'AW Schüler'!$E31)</f>
        <v>x</v>
      </c>
      <c r="J19" s="153" t="str">
        <f>IF('AW Schüler'!$H31=0,"x",E19/'AW Schüler'!$H31)</f>
        <v>x</v>
      </c>
      <c r="K19" s="153" t="str">
        <f>IF('AW Schüler'!$K31=0,"x",F19/'AW Schüler'!$K31)</f>
        <v>x</v>
      </c>
      <c r="L19" s="154" t="str">
        <f>IF('AW Schüler'!$N31=0,"x",G19/'AW Schüler'!$N31)</f>
        <v>x</v>
      </c>
    </row>
    <row r="20" spans="1:12" ht="9" customHeight="1">
      <c r="A20" s="21" t="s">
        <v>88</v>
      </c>
      <c r="B20" s="120"/>
      <c r="C20" s="149">
        <f t="shared" si="0"/>
        <v>0</v>
      </c>
      <c r="D20" s="149">
        <f t="shared" ref="D20:E20" si="17">SUM(D38+D56)</f>
        <v>0</v>
      </c>
      <c r="E20" s="149">
        <f t="shared" si="17"/>
        <v>0</v>
      </c>
      <c r="F20" s="149">
        <f t="shared" ref="F20:G20" si="18">SUM(F38+F56)</f>
        <v>0</v>
      </c>
      <c r="G20" s="150">
        <f t="shared" si="18"/>
        <v>0</v>
      </c>
      <c r="H20" s="153" t="str">
        <f>IF('AW Schüler'!$B32=0,"x",C20/'AW Schüler'!$B32)</f>
        <v>x</v>
      </c>
      <c r="I20" s="153" t="str">
        <f>IF('AW Schüler'!$E32=0,"x",D20/'AW Schüler'!$E32)</f>
        <v>x</v>
      </c>
      <c r="J20" s="153" t="str">
        <f>IF('AW Schüler'!$H32=0,"x",E20/'AW Schüler'!$H32)</f>
        <v>x</v>
      </c>
      <c r="K20" s="153" t="str">
        <f>IF('AW Schüler'!$K32=0,"x",F20/'AW Schüler'!$K32)</f>
        <v>x</v>
      </c>
      <c r="L20" s="154" t="str">
        <f>IF('AW Schüler'!$N32=0,"x",G20/'AW Schüler'!$N32)</f>
        <v>x</v>
      </c>
    </row>
    <row r="21" spans="1:12" ht="9" customHeight="1">
      <c r="A21" s="21" t="s">
        <v>89</v>
      </c>
      <c r="B21" s="120"/>
      <c r="C21" s="149">
        <f t="shared" si="0"/>
        <v>0</v>
      </c>
      <c r="D21" s="149">
        <f t="shared" ref="D21:E21" si="19">SUM(D39+D57)</f>
        <v>0</v>
      </c>
      <c r="E21" s="149">
        <f t="shared" si="19"/>
        <v>0</v>
      </c>
      <c r="F21" s="149">
        <f t="shared" ref="F21:G21" si="20">SUM(F39+F57)</f>
        <v>0</v>
      </c>
      <c r="G21" s="150">
        <f t="shared" si="20"/>
        <v>0</v>
      </c>
      <c r="H21" s="153" t="str">
        <f>IF('AW Schüler'!$B33=0,"x",C21/'AW Schüler'!$B33)</f>
        <v>x</v>
      </c>
      <c r="I21" s="153" t="str">
        <f>IF('AW Schüler'!$E33=0,"x",D21/'AW Schüler'!$E33)</f>
        <v>x</v>
      </c>
      <c r="J21" s="153" t="str">
        <f>IF('AW Schüler'!$H33=0,"x",E21/'AW Schüler'!$H33)</f>
        <v>x</v>
      </c>
      <c r="K21" s="153" t="str">
        <f>IF('AW Schüler'!$K33=0,"x",F21/'AW Schüler'!$K33)</f>
        <v>x</v>
      </c>
      <c r="L21" s="154" t="str">
        <f>IF('AW Schüler'!$N33=0,"x",G21/'AW Schüler'!$N33)</f>
        <v>x</v>
      </c>
    </row>
    <row r="22" spans="1:12" ht="9" customHeight="1">
      <c r="A22" s="21" t="s">
        <v>90</v>
      </c>
      <c r="B22" s="120"/>
      <c r="C22" s="149">
        <f t="shared" si="0"/>
        <v>0</v>
      </c>
      <c r="D22" s="149">
        <f t="shared" ref="D22:E22" si="21">SUM(D40+D58)</f>
        <v>0</v>
      </c>
      <c r="E22" s="149">
        <f t="shared" si="21"/>
        <v>0</v>
      </c>
      <c r="F22" s="149">
        <f t="shared" ref="F22:G22" si="22">SUM(F40+F58)</f>
        <v>0</v>
      </c>
      <c r="G22" s="150">
        <f t="shared" si="22"/>
        <v>0</v>
      </c>
      <c r="H22" s="153" t="str">
        <f>IF('AW Schüler'!$B34=0,"x",C22/'AW Schüler'!$B34)</f>
        <v>x</v>
      </c>
      <c r="I22" s="153" t="str">
        <f>IF('AW Schüler'!$E34=0,"x",D22/'AW Schüler'!$E34)</f>
        <v>x</v>
      </c>
      <c r="J22" s="153" t="str">
        <f>IF('AW Schüler'!$H34=0,"x",E22/'AW Schüler'!$H34)</f>
        <v>x</v>
      </c>
      <c r="K22" s="153" t="str">
        <f>IF('AW Schüler'!$K34=0,"x",F22/'AW Schüler'!$K34)</f>
        <v>x</v>
      </c>
      <c r="L22" s="154" t="str">
        <f>IF('AW Schüler'!$N34=0,"x",G22/'AW Schüler'!$N34)</f>
        <v>x</v>
      </c>
    </row>
    <row r="23" spans="1:12" ht="9" customHeight="1">
      <c r="A23" s="21" t="s">
        <v>91</v>
      </c>
      <c r="B23" s="120"/>
      <c r="C23" s="149">
        <f t="shared" si="0"/>
        <v>0</v>
      </c>
      <c r="D23" s="149">
        <f t="shared" ref="D23:E23" si="23">SUM(D41+D59)</f>
        <v>0</v>
      </c>
      <c r="E23" s="149">
        <f t="shared" si="23"/>
        <v>0</v>
      </c>
      <c r="F23" s="149">
        <f t="shared" ref="F23:G23" si="24">SUM(F41+F59)</f>
        <v>0</v>
      </c>
      <c r="G23" s="150">
        <f t="shared" si="24"/>
        <v>0</v>
      </c>
      <c r="H23" s="153" t="str">
        <f>IF('AW Schüler'!$B35=0,"x",C23/'AW Schüler'!$B35)</f>
        <v>x</v>
      </c>
      <c r="I23" s="153" t="str">
        <f>IF('AW Schüler'!$E35=0,"x",D23/'AW Schüler'!$E35)</f>
        <v>x</v>
      </c>
      <c r="J23" s="153" t="str">
        <f>IF('AW Schüler'!$H35=0,"x",E23/'AW Schüler'!$H35)</f>
        <v>x</v>
      </c>
      <c r="K23" s="153" t="str">
        <f>IF('AW Schüler'!$K35=0,"x",F23/'AW Schüler'!$K35)</f>
        <v>x</v>
      </c>
      <c r="L23" s="154" t="str">
        <f>IF('AW Schüler'!$N35=0,"x",G23/'AW Schüler'!$N35)</f>
        <v>x</v>
      </c>
    </row>
    <row r="24" spans="1:12" ht="9" customHeight="1">
      <c r="A24" s="21" t="s">
        <v>92</v>
      </c>
      <c r="B24" s="120"/>
      <c r="C24" s="149">
        <f t="shared" si="0"/>
        <v>0</v>
      </c>
      <c r="D24" s="149">
        <f t="shared" ref="D24:E24" si="25">SUM(D42+D60)</f>
        <v>0</v>
      </c>
      <c r="E24" s="149">
        <f t="shared" si="25"/>
        <v>0</v>
      </c>
      <c r="F24" s="149">
        <f t="shared" ref="F24:G24" si="26">SUM(F42+F60)</f>
        <v>0</v>
      </c>
      <c r="G24" s="150">
        <f t="shared" si="26"/>
        <v>0</v>
      </c>
      <c r="H24" s="153" t="str">
        <f>IF('AW Schüler'!$B36=0,"x",C24/'AW Schüler'!$B36)</f>
        <v>x</v>
      </c>
      <c r="I24" s="153" t="str">
        <f>IF('AW Schüler'!$E36=0,"x",D24/'AW Schüler'!$E36)</f>
        <v>x</v>
      </c>
      <c r="J24" s="153" t="str">
        <f>IF('AW Schüler'!$H36=0,"x",E24/'AW Schüler'!$H36)</f>
        <v>x</v>
      </c>
      <c r="K24" s="153" t="str">
        <f>IF('AW Schüler'!$K36=0,"x",F24/'AW Schüler'!$K36)</f>
        <v>x</v>
      </c>
      <c r="L24" s="154" t="str">
        <f>IF('AW Schüler'!$N36=0,"x",G24/'AW Schüler'!$N36)</f>
        <v>x</v>
      </c>
    </row>
    <row r="25" spans="1:12" ht="9" customHeight="1">
      <c r="A25" s="21" t="s">
        <v>93</v>
      </c>
      <c r="B25" s="120"/>
      <c r="C25" s="149">
        <f t="shared" si="0"/>
        <v>0</v>
      </c>
      <c r="D25" s="149">
        <f t="shared" ref="D25:E25" si="27">SUM(D43+D61)</f>
        <v>0</v>
      </c>
      <c r="E25" s="149">
        <f t="shared" si="27"/>
        <v>0</v>
      </c>
      <c r="F25" s="149">
        <f t="shared" ref="F25:G25" si="28">SUM(F43+F61)</f>
        <v>0</v>
      </c>
      <c r="G25" s="150">
        <f t="shared" si="28"/>
        <v>0</v>
      </c>
      <c r="H25" s="153" t="str">
        <f>IF('AW Schüler'!$B37=0,"x",C25/'AW Schüler'!$B37)</f>
        <v>x</v>
      </c>
      <c r="I25" s="153" t="str">
        <f>IF('AW Schüler'!$E37=0,"x",D25/'AW Schüler'!$E37)</f>
        <v>x</v>
      </c>
      <c r="J25" s="153" t="str">
        <f>IF('AW Schüler'!$H37=0,"x",E25/'AW Schüler'!$H37)</f>
        <v>x</v>
      </c>
      <c r="K25" s="153" t="str">
        <f>IF('AW Schüler'!$K37=0,"x",F25/'AW Schüler'!$K37)</f>
        <v>x</v>
      </c>
      <c r="L25" s="154" t="str">
        <f>IF('AW Schüler'!$N37=0,"x",G25/'AW Schüler'!$N37)</f>
        <v>x</v>
      </c>
    </row>
    <row r="26" spans="1:12" ht="9" customHeight="1">
      <c r="A26" s="21" t="s">
        <v>94</v>
      </c>
      <c r="B26" s="120"/>
      <c r="C26" s="149">
        <f t="shared" si="0"/>
        <v>0</v>
      </c>
      <c r="D26" s="149">
        <f t="shared" ref="D26:E26" si="29">SUM(D44+D62)</f>
        <v>0</v>
      </c>
      <c r="E26" s="149">
        <f t="shared" si="29"/>
        <v>0</v>
      </c>
      <c r="F26" s="149">
        <f t="shared" ref="F26:G26" si="30">SUM(F44+F62)</f>
        <v>0</v>
      </c>
      <c r="G26" s="150">
        <f t="shared" si="30"/>
        <v>0</v>
      </c>
      <c r="H26" s="153" t="str">
        <f>IF('AW Schüler'!$B38=0,"x",C26/'AW Schüler'!$B38)</f>
        <v>x</v>
      </c>
      <c r="I26" s="153" t="str">
        <f>IF('AW Schüler'!$E38=0,"x",D26/'AW Schüler'!$E38)</f>
        <v>x</v>
      </c>
      <c r="J26" s="153" t="str">
        <f>IF('AW Schüler'!$H38=0,"x",E26/'AW Schüler'!$H38)</f>
        <v>x</v>
      </c>
      <c r="K26" s="153" t="str">
        <f>IF('AW Schüler'!$K38=0,"x",F26/'AW Schüler'!$K38)</f>
        <v>x</v>
      </c>
      <c r="L26" s="154" t="str">
        <f>IF('AW Schüler'!$N38=0,"x",G26/'AW Schüler'!$N38)</f>
        <v>x</v>
      </c>
    </row>
    <row r="27" spans="1:12" ht="9" customHeight="1">
      <c r="A27" s="21" t="s">
        <v>95</v>
      </c>
      <c r="B27" s="120"/>
      <c r="C27" s="149">
        <f t="shared" si="0"/>
        <v>0</v>
      </c>
      <c r="D27" s="149">
        <f t="shared" ref="D27:E27" si="31">SUM(D45+D63)</f>
        <v>0</v>
      </c>
      <c r="E27" s="149">
        <f t="shared" si="31"/>
        <v>0</v>
      </c>
      <c r="F27" s="149">
        <f t="shared" ref="F27:G27" si="32">SUM(F45+F63)</f>
        <v>0</v>
      </c>
      <c r="G27" s="150">
        <f t="shared" si="32"/>
        <v>0</v>
      </c>
      <c r="H27" s="153" t="str">
        <f>IF('AW Schüler'!$B39=0,"x",C27/'AW Schüler'!$B39)</f>
        <v>x</v>
      </c>
      <c r="I27" s="153" t="str">
        <f>IF('AW Schüler'!$E39=0,"x",D27/'AW Schüler'!$E39)</f>
        <v>x</v>
      </c>
      <c r="J27" s="153" t="str">
        <f>IF('AW Schüler'!$H39=0,"x",E27/'AW Schüler'!$H39)</f>
        <v>x</v>
      </c>
      <c r="K27" s="153" t="str">
        <f>IF('AW Schüler'!$K39=0,"x",F27/'AW Schüler'!$K39)</f>
        <v>x</v>
      </c>
      <c r="L27" s="154" t="str">
        <f>IF('AW Schüler'!$N39=0,"x",G27/'AW Schüler'!$N39)</f>
        <v>x</v>
      </c>
    </row>
    <row r="28" spans="1:12" ht="9" customHeight="1">
      <c r="A28" s="21" t="s">
        <v>96</v>
      </c>
      <c r="B28" s="120"/>
      <c r="C28" s="42">
        <f t="shared" si="0"/>
        <v>31828</v>
      </c>
      <c r="D28" s="42">
        <f t="shared" ref="D28:E28" si="33">SUM(D46+D64)</f>
        <v>32937</v>
      </c>
      <c r="E28" s="42">
        <f t="shared" si="33"/>
        <v>34086</v>
      </c>
      <c r="F28" s="42">
        <f t="shared" ref="F28:G28" si="34">SUM(F46+F64)</f>
        <v>33162</v>
      </c>
      <c r="G28" s="44">
        <f t="shared" si="34"/>
        <v>36978</v>
      </c>
      <c r="H28" s="153">
        <f>IF('AW Schüler'!$B40=0,"x",C28/'AW Schüler'!$B40)</f>
        <v>0.34805620865000819</v>
      </c>
      <c r="I28" s="153">
        <f>IF('AW Schüler'!$E40=0,"x",D28/'AW Schüler'!$E40)</f>
        <v>0.36096529200960031</v>
      </c>
      <c r="J28" s="153">
        <f>IF('AW Schüler'!$H40=0,"x",E28/'AW Schüler'!$H40)</f>
        <v>0.36858097514030214</v>
      </c>
      <c r="K28" s="153">
        <f>IF('AW Schüler'!$K40=0,"x",F28/'AW Schüler'!$K40)</f>
        <v>0.35282852248667396</v>
      </c>
      <c r="L28" s="154">
        <f>IF('AW Schüler'!$N40=0,"x",G28/'AW Schüler'!$N40)</f>
        <v>0.38243476642086649</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[1]GtS!$E$25</f>
        <v>0</v>
      </c>
      <c r="D30" s="23">
        <f>[2]GtS!$E$27</f>
        <v>0</v>
      </c>
      <c r="E30" s="23">
        <f>[3]GtS!$E$27</f>
        <v>0</v>
      </c>
      <c r="F30" s="23">
        <f>[4]GtS!$E$27</f>
        <v>0</v>
      </c>
      <c r="G30" s="34">
        <f>[5]GtS!$E$27</f>
        <v>0</v>
      </c>
      <c r="H30" s="155">
        <f>IF('AW Schüler'!$B24=0,"x",C30/'AW Schüler'!$B24)</f>
        <v>0</v>
      </c>
      <c r="I30" s="155">
        <f>IF('AW Schüler'!$E24=0,"x",D30/'AW Schüler'!$E24)</f>
        <v>0</v>
      </c>
      <c r="J30" s="155">
        <f>IF('AW Schüler'!$H24=0,"x",E30/'AW Schüler'!$H24)</f>
        <v>0</v>
      </c>
      <c r="K30" s="155">
        <f>IF('AW Schüler'!$K24=0,"x",F30/'AW Schüler'!$K24)</f>
        <v>0</v>
      </c>
      <c r="L30" s="156">
        <f>IF('AW Schüler'!$N24=0,"x",G30/'AW Schüler'!$N24)</f>
        <v>0</v>
      </c>
    </row>
    <row r="31" spans="1:12" ht="9" customHeight="1">
      <c r="A31" s="21" t="s">
        <v>81</v>
      </c>
      <c r="B31" s="120"/>
      <c r="C31" s="23">
        <f>[6]GtS!$E$25</f>
        <v>123</v>
      </c>
      <c r="D31" s="23">
        <f>[7]GtS!$E$27</f>
        <v>123</v>
      </c>
      <c r="E31" s="23">
        <f>[8]GtS!$E$27</f>
        <v>122</v>
      </c>
      <c r="F31" s="23">
        <f>[9]GtS!$E$27</f>
        <v>124</v>
      </c>
      <c r="G31" s="34">
        <f>[10]GtS!$E$27</f>
        <v>123</v>
      </c>
      <c r="H31" s="155">
        <f>IF('AW Schüler'!$B25=0,"x",C31/'AW Schüler'!$B25)</f>
        <v>0.20065252854812399</v>
      </c>
      <c r="I31" s="155">
        <f>IF('AW Schüler'!$E25=0,"x",D31/'AW Schüler'!$E25)</f>
        <v>0.20065252854812399</v>
      </c>
      <c r="J31" s="155">
        <f>IF('AW Schüler'!$H25=0,"x",E31/'AW Schüler'!$H25)</f>
        <v>0.19967266775777415</v>
      </c>
      <c r="K31" s="155">
        <f>IF('AW Schüler'!$K25=0,"x",F31/'AW Schüler'!$K25)</f>
        <v>0.20261437908496732</v>
      </c>
      <c r="L31" s="156">
        <f>IF('AW Schüler'!$N25=0,"x",G31/'AW Schüler'!$N25)</f>
        <v>0.20465890183028287</v>
      </c>
    </row>
    <row r="32" spans="1:12" ht="9" customHeight="1">
      <c r="A32" s="21" t="s">
        <v>82</v>
      </c>
      <c r="B32" s="120"/>
      <c r="C32" s="23">
        <f>[11]GtS!$E$25</f>
        <v>7497</v>
      </c>
      <c r="D32" s="23">
        <f>[12]GtS!$E$27</f>
        <v>7279</v>
      </c>
      <c r="E32" s="23">
        <f>[13]GtS!$E$27</f>
        <v>7537</v>
      </c>
      <c r="F32" s="23">
        <f>[14]GtS!$E$27</f>
        <v>6846</v>
      </c>
      <c r="G32" s="34">
        <f>[15]GtS!$E$27</f>
        <v>8727</v>
      </c>
      <c r="H32" s="155">
        <f>IF('AW Schüler'!$B26=0,"x",C32/'AW Schüler'!$B26)</f>
        <v>0.18065495554109737</v>
      </c>
      <c r="I32" s="155">
        <f>IF('AW Schüler'!$E26=0,"x",D32/'AW Schüler'!$E26)</f>
        <v>0.17207224244716562</v>
      </c>
      <c r="J32" s="155">
        <f>IF('AW Schüler'!$H26=0,"x",E32/'AW Schüler'!$H26)</f>
        <v>0.17352365603775757</v>
      </c>
      <c r="K32" s="155">
        <f>IF('AW Schüler'!$K26=0,"x",F32/'AW Schüler'!$K26)</f>
        <v>0.15232966935160874</v>
      </c>
      <c r="L32" s="156">
        <f>IF('AW Schüler'!$N26=0,"x",G32/'AW Schüler'!$N26)</f>
        <v>0.18601330036661268</v>
      </c>
    </row>
    <row r="33" spans="1:12" ht="9" customHeight="1">
      <c r="A33" s="21" t="s">
        <v>83</v>
      </c>
      <c r="B33" s="120"/>
      <c r="C33" s="23">
        <f>[16]GtS!$E$25</f>
        <v>0</v>
      </c>
      <c r="D33" s="23">
        <f>[17]GtS!$E$27</f>
        <v>0</v>
      </c>
      <c r="E33" s="23">
        <f>[18]GtS!$E$27</f>
        <v>0</v>
      </c>
      <c r="F33" s="23">
        <f>[19]GtS!$E$27</f>
        <v>0</v>
      </c>
      <c r="G33" s="34">
        <f>[20]GtS!$E$27</f>
        <v>8102</v>
      </c>
      <c r="H33" s="155">
        <f>IF('AW Schüler'!$B27=0,"x",C33/'AW Schüler'!$B27)</f>
        <v>0</v>
      </c>
      <c r="I33" s="155">
        <f>IF('AW Schüler'!$E27=0,"x",D33/'AW Schüler'!$E27)</f>
        <v>0</v>
      </c>
      <c r="J33" s="155">
        <f>IF('AW Schüler'!$H27=0,"x",E33/'AW Schüler'!$H27)</f>
        <v>0</v>
      </c>
      <c r="K33" s="155">
        <f>IF('AW Schüler'!$K27=0,"x",F33/'AW Schüler'!$K27)</f>
        <v>0</v>
      </c>
      <c r="L33" s="156">
        <f>IF('AW Schüler'!$N27=0,"x",G33/'AW Schüler'!$N27)</f>
        <v>0.23753958015714788</v>
      </c>
    </row>
    <row r="34" spans="1:12" ht="9" customHeight="1">
      <c r="A34" s="21" t="s">
        <v>84</v>
      </c>
      <c r="B34" s="120"/>
      <c r="C34" s="151">
        <f>[21]GtS!$E$25</f>
        <v>0</v>
      </c>
      <c r="D34" s="151">
        <f>[22]GtS!$E$27</f>
        <v>0</v>
      </c>
      <c r="E34" s="151">
        <f>[23]GtS!$E$27</f>
        <v>0</v>
      </c>
      <c r="F34" s="151">
        <f>[24]GtS!$E$27</f>
        <v>0</v>
      </c>
      <c r="G34" s="152">
        <f>[25]GtS!$E$27</f>
        <v>0</v>
      </c>
      <c r="H34" s="155" t="str">
        <f>IF('AW Schüler'!$B28=0,"x",C34/'AW Schüler'!$B28)</f>
        <v>x</v>
      </c>
      <c r="I34" s="155" t="str">
        <f>IF('AW Schüler'!$E28=0,"x",D34/'AW Schüler'!$E28)</f>
        <v>x</v>
      </c>
      <c r="J34" s="155" t="str">
        <f>IF('AW Schüler'!$H28=0,"x",E34/'AW Schüler'!$H28)</f>
        <v>x</v>
      </c>
      <c r="K34" s="155" t="str">
        <f>IF('AW Schüler'!$K28=0,"x",F34/'AW Schüler'!$K28)</f>
        <v>x</v>
      </c>
      <c r="L34" s="156" t="str">
        <f>IF('AW Schüler'!$N28=0,"x",G34/'AW Schüler'!$N28)</f>
        <v>x</v>
      </c>
    </row>
    <row r="35" spans="1:12" ht="9" customHeight="1">
      <c r="A35" s="21" t="s">
        <v>85</v>
      </c>
      <c r="B35" s="120"/>
      <c r="C35" s="23">
        <f>[26]GtS!$E$25</f>
        <v>68</v>
      </c>
      <c r="D35" s="23">
        <f>[27]GtS!$E$27</f>
        <v>209</v>
      </c>
      <c r="E35" s="23">
        <f>[28]GtS!$E$27</f>
        <v>206</v>
      </c>
      <c r="F35" s="23">
        <f>[29]GtS!$E$27</f>
        <v>231</v>
      </c>
      <c r="G35" s="34">
        <f>[30]GtS!$E$27</f>
        <v>338</v>
      </c>
      <c r="H35" s="155">
        <f>IF('AW Schüler'!$B29=0,"x",C35/'AW Schüler'!$B29)</f>
        <v>0.24113475177304963</v>
      </c>
      <c r="I35" s="155">
        <f>IF('AW Schüler'!$E29=0,"x",D35/'AW Schüler'!$E29)</f>
        <v>0.76838235294117652</v>
      </c>
      <c r="J35" s="155">
        <f>IF('AW Schüler'!$H29=0,"x",E35/'AW Schüler'!$H29)</f>
        <v>0.70307167235494883</v>
      </c>
      <c r="K35" s="155">
        <f>IF('AW Schüler'!$K29=0,"x",F35/'AW Schüler'!$K29)</f>
        <v>0.68545994065281901</v>
      </c>
      <c r="L35" s="156">
        <f>IF('AW Schüler'!$N29=0,"x",G35/'AW Schüler'!$N29)</f>
        <v>1</v>
      </c>
    </row>
    <row r="36" spans="1:12" ht="9" customHeight="1">
      <c r="A36" s="21" t="s">
        <v>86</v>
      </c>
      <c r="B36" s="120"/>
      <c r="C36" s="23">
        <f>[66]GtS!$E$25</f>
        <v>515</v>
      </c>
      <c r="D36" s="23">
        <f>[67]GtS!$E$27</f>
        <v>506</v>
      </c>
      <c r="E36" s="23">
        <f>[68]GtS!$E$27</f>
        <v>428</v>
      </c>
      <c r="F36" s="23">
        <f>[69]GtS!$E$27</f>
        <v>508</v>
      </c>
      <c r="G36" s="34">
        <f>[70]GtS!$E$27</f>
        <v>769</v>
      </c>
      <c r="H36" s="155">
        <f>IF('AW Schüler'!$B30=0,"x",C36/'AW Schüler'!$B30)</f>
        <v>3.2821362564527438E-2</v>
      </c>
      <c r="I36" s="155">
        <f>IF('AW Schüler'!$E30=0,"x",D36/'AW Schüler'!$E30)</f>
        <v>3.462670225141997E-2</v>
      </c>
      <c r="J36" s="155">
        <f>IF('AW Schüler'!$H30=0,"x",E36/'AW Schüler'!$H30)</f>
        <v>2.9848664481484065E-2</v>
      </c>
      <c r="K36" s="155">
        <f>IF('AW Schüler'!$K30=0,"x",F36/'AW Schüler'!$K30)</f>
        <v>3.5559288814223718E-2</v>
      </c>
      <c r="L36" s="156">
        <f>IF('AW Schüler'!$N30=0,"x",G36/'AW Schüler'!$N30)</f>
        <v>5.3581382385730209E-2</v>
      </c>
    </row>
    <row r="37" spans="1:12" ht="9" customHeight="1">
      <c r="A37" s="21" t="s">
        <v>87</v>
      </c>
      <c r="B37" s="120"/>
      <c r="C37" s="151">
        <f>[31]GtS!$E$25</f>
        <v>0</v>
      </c>
      <c r="D37" s="151">
        <f>[32]GtS!$E$27</f>
        <v>0</v>
      </c>
      <c r="E37" s="151">
        <f>[33]GtS!$E$27</f>
        <v>0</v>
      </c>
      <c r="F37" s="151">
        <f>[34]GtS!$E$27</f>
        <v>0</v>
      </c>
      <c r="G37" s="152">
        <f>[35]GtS!$E$27</f>
        <v>0</v>
      </c>
      <c r="H37" s="155" t="str">
        <f>IF('AW Schüler'!$B31=0,"x",C37/'AW Schüler'!$B31)</f>
        <v>x</v>
      </c>
      <c r="I37" s="155" t="str">
        <f>IF('AW Schüler'!$E31=0,"x",D37/'AW Schüler'!$E31)</f>
        <v>x</v>
      </c>
      <c r="J37" s="155" t="str">
        <f>IF('AW Schüler'!$H31=0,"x",E37/'AW Schüler'!$H31)</f>
        <v>x</v>
      </c>
      <c r="K37" s="155" t="str">
        <f>IF('AW Schüler'!$K31=0,"x",F37/'AW Schüler'!$K31)</f>
        <v>x</v>
      </c>
      <c r="L37" s="156" t="str">
        <f>IF('AW Schüler'!$N31=0,"x",G37/'AW Schüler'!$N31)</f>
        <v>x</v>
      </c>
    </row>
    <row r="38" spans="1:12" ht="9" customHeight="1">
      <c r="A38" s="21" t="s">
        <v>88</v>
      </c>
      <c r="B38" s="120"/>
      <c r="C38" s="151">
        <f>[71]GtS!$E$25</f>
        <v>0</v>
      </c>
      <c r="D38" s="151">
        <f>[72]GtS!$E$27</f>
        <v>0</v>
      </c>
      <c r="E38" s="151">
        <f>[73]GtS!$E$27</f>
        <v>0</v>
      </c>
      <c r="F38" s="151">
        <f>[74]GtS!$E$27</f>
        <v>0</v>
      </c>
      <c r="G38" s="152">
        <f>[75]GtS!$E$27</f>
        <v>0</v>
      </c>
      <c r="H38" s="155" t="str">
        <f>IF('AW Schüler'!$B32=0,"x",C38/'AW Schüler'!$B32)</f>
        <v>x</v>
      </c>
      <c r="I38" s="155" t="str">
        <f>IF('AW Schüler'!$E32=0,"x",D38/'AW Schüler'!$E32)</f>
        <v>x</v>
      </c>
      <c r="J38" s="155" t="str">
        <f>IF('AW Schüler'!$H32=0,"x",E38/'AW Schüler'!$H32)</f>
        <v>x</v>
      </c>
      <c r="K38" s="155" t="str">
        <f>IF('AW Schüler'!$K32=0,"x",F38/'AW Schüler'!$K32)</f>
        <v>x</v>
      </c>
      <c r="L38" s="156" t="str">
        <f>IF('AW Schüler'!$N32=0,"x",G38/'AW Schüler'!$N32)</f>
        <v>x</v>
      </c>
    </row>
    <row r="39" spans="1:12" ht="9" customHeight="1">
      <c r="A39" s="21" t="s">
        <v>89</v>
      </c>
      <c r="B39" s="120"/>
      <c r="C39" s="151">
        <f>[36]GtS!$E$25</f>
        <v>0</v>
      </c>
      <c r="D39" s="151">
        <f>[37]GtS!$E$27</f>
        <v>0</v>
      </c>
      <c r="E39" s="151">
        <f>[38]GtS!$E$27</f>
        <v>0</v>
      </c>
      <c r="F39" s="151">
        <f>[39]GtS!$E$27</f>
        <v>0</v>
      </c>
      <c r="G39" s="152">
        <f>[40]GtS!$E$27</f>
        <v>0</v>
      </c>
      <c r="H39" s="155" t="str">
        <f>IF('AW Schüler'!$B33=0,"x",C39/'AW Schüler'!$B33)</f>
        <v>x</v>
      </c>
      <c r="I39" s="155" t="str">
        <f>IF('AW Schüler'!$E33=0,"x",D39/'AW Schüler'!$E33)</f>
        <v>x</v>
      </c>
      <c r="J39" s="155" t="str">
        <f>IF('AW Schüler'!$H33=0,"x",E39/'AW Schüler'!$H33)</f>
        <v>x</v>
      </c>
      <c r="K39" s="155" t="str">
        <f>IF('AW Schüler'!$K33=0,"x",F39/'AW Schüler'!$K33)</f>
        <v>x</v>
      </c>
      <c r="L39" s="156" t="str">
        <f>IF('AW Schüler'!$N33=0,"x",G39/'AW Schüler'!$N33)</f>
        <v>x</v>
      </c>
    </row>
    <row r="40" spans="1:12" ht="9" customHeight="1">
      <c r="A40" s="21" t="s">
        <v>90</v>
      </c>
      <c r="B40" s="120"/>
      <c r="C40" s="151">
        <f>[41]GtS!$E$25</f>
        <v>0</v>
      </c>
      <c r="D40" s="151">
        <f>[42]GtS!$E$27</f>
        <v>0</v>
      </c>
      <c r="E40" s="151">
        <f>[43]GtS!$E$27</f>
        <v>0</v>
      </c>
      <c r="F40" s="151">
        <f>[44]GtS!$E$27</f>
        <v>0</v>
      </c>
      <c r="G40" s="152">
        <f>[45]GtS!$E$27</f>
        <v>0</v>
      </c>
      <c r="H40" s="155" t="str">
        <f>IF('AW Schüler'!$B34=0,"x",C40/'AW Schüler'!$B34)</f>
        <v>x</v>
      </c>
      <c r="I40" s="155" t="str">
        <f>IF('AW Schüler'!$E34=0,"x",D40/'AW Schüler'!$E34)</f>
        <v>x</v>
      </c>
      <c r="J40" s="155" t="str">
        <f>IF('AW Schüler'!$H34=0,"x",E40/'AW Schüler'!$H34)</f>
        <v>x</v>
      </c>
      <c r="K40" s="155" t="str">
        <f>IF('AW Schüler'!$K34=0,"x",F40/'AW Schüler'!$K34)</f>
        <v>x</v>
      </c>
      <c r="L40" s="156" t="str">
        <f>IF('AW Schüler'!$N34=0,"x",G40/'AW Schüler'!$N34)</f>
        <v>x</v>
      </c>
    </row>
    <row r="41" spans="1:12" ht="9" customHeight="1">
      <c r="A41" s="21" t="s">
        <v>91</v>
      </c>
      <c r="B41" s="120"/>
      <c r="C41" s="151">
        <f>[46]GtS!$E$25</f>
        <v>0</v>
      </c>
      <c r="D41" s="151">
        <f>[47]GtS!$E$27</f>
        <v>0</v>
      </c>
      <c r="E41" s="151">
        <f>[48]GtS!$E$27</f>
        <v>0</v>
      </c>
      <c r="F41" s="151">
        <f>[49]GtS!$E$27</f>
        <v>0</v>
      </c>
      <c r="G41" s="152">
        <f>[50]GtS!$E$27</f>
        <v>0</v>
      </c>
      <c r="H41" s="155" t="str">
        <f>IF('AW Schüler'!$B35=0,"x",C41/'AW Schüler'!$B35)</f>
        <v>x</v>
      </c>
      <c r="I41" s="155" t="str">
        <f>IF('AW Schüler'!$E35=0,"x",D41/'AW Schüler'!$E35)</f>
        <v>x</v>
      </c>
      <c r="J41" s="155" t="str">
        <f>IF('AW Schüler'!$H35=0,"x",E41/'AW Schüler'!$H35)</f>
        <v>x</v>
      </c>
      <c r="K41" s="155" t="str">
        <f>IF('AW Schüler'!$K35=0,"x",F41/'AW Schüler'!$K35)</f>
        <v>x</v>
      </c>
      <c r="L41" s="156" t="str">
        <f>IF('AW Schüler'!$N35=0,"x",G41/'AW Schüler'!$N35)</f>
        <v>x</v>
      </c>
    </row>
    <row r="42" spans="1:12" ht="9" customHeight="1">
      <c r="A42" s="21" t="s">
        <v>92</v>
      </c>
      <c r="B42" s="120"/>
      <c r="C42" s="151">
        <f>[51]GtS!$E$25</f>
        <v>0</v>
      </c>
      <c r="D42" s="151">
        <f>[52]GtS!$E$27</f>
        <v>0</v>
      </c>
      <c r="E42" s="151">
        <f>[53]GtS!$E$27</f>
        <v>0</v>
      </c>
      <c r="F42" s="151">
        <f>[54]GtS!$E$27</f>
        <v>0</v>
      </c>
      <c r="G42" s="152">
        <f>[55]GtS!$E$27</f>
        <v>0</v>
      </c>
      <c r="H42" s="155" t="str">
        <f>IF('AW Schüler'!$B36=0,"x",C42/'AW Schüler'!$B36)</f>
        <v>x</v>
      </c>
      <c r="I42" s="155" t="str">
        <f>IF('AW Schüler'!$E36=0,"x",D42/'AW Schüler'!$E36)</f>
        <v>x</v>
      </c>
      <c r="J42" s="155" t="str">
        <f>IF('AW Schüler'!$H36=0,"x",E42/'AW Schüler'!$H36)</f>
        <v>x</v>
      </c>
      <c r="K42" s="155" t="str">
        <f>IF('AW Schüler'!$K36=0,"x",F42/'AW Schüler'!$K36)</f>
        <v>x</v>
      </c>
      <c r="L42" s="156" t="str">
        <f>IF('AW Schüler'!$N36=0,"x",G42/'AW Schüler'!$N36)</f>
        <v>x</v>
      </c>
    </row>
    <row r="43" spans="1:12" ht="9" customHeight="1">
      <c r="A43" s="21" t="s">
        <v>93</v>
      </c>
      <c r="B43" s="120"/>
      <c r="C43" s="151">
        <f>[76]GtS!$E$25</f>
        <v>0</v>
      </c>
      <c r="D43" s="151">
        <f>[77]GtS!$E$27</f>
        <v>0</v>
      </c>
      <c r="E43" s="151">
        <f>[78]GtS!$E$27</f>
        <v>0</v>
      </c>
      <c r="F43" s="151">
        <f>[79]GtS!$E$27</f>
        <v>0</v>
      </c>
      <c r="G43" s="152">
        <f>[80]GtS!$E$27</f>
        <v>0</v>
      </c>
      <c r="H43" s="155" t="str">
        <f>IF('AW Schüler'!$B37=0,"x",C43/'AW Schüler'!$B37)</f>
        <v>x</v>
      </c>
      <c r="I43" s="155" t="str">
        <f>IF('AW Schüler'!$E37=0,"x",D43/'AW Schüler'!$E37)</f>
        <v>x</v>
      </c>
      <c r="J43" s="155" t="str">
        <f>IF('AW Schüler'!$H37=0,"x",E43/'AW Schüler'!$H37)</f>
        <v>x</v>
      </c>
      <c r="K43" s="155" t="str">
        <f>IF('AW Schüler'!$K37=0,"x",F43/'AW Schüler'!$K37)</f>
        <v>x</v>
      </c>
      <c r="L43" s="156" t="str">
        <f>IF('AW Schüler'!$N37=0,"x",G43/'AW Schüler'!$N37)</f>
        <v>x</v>
      </c>
    </row>
    <row r="44" spans="1:12" ht="9" customHeight="1">
      <c r="A44" s="21" t="s">
        <v>94</v>
      </c>
      <c r="B44" s="120"/>
      <c r="C44" s="151">
        <f>[56]GtS!$E$25</f>
        <v>0</v>
      </c>
      <c r="D44" s="151">
        <f>[57]GtS!$E$27</f>
        <v>0</v>
      </c>
      <c r="E44" s="151">
        <f>[58]GtS!$E$27</f>
        <v>0</v>
      </c>
      <c r="F44" s="151">
        <f>[59]GtS!$E$27</f>
        <v>0</v>
      </c>
      <c r="G44" s="152">
        <f>[60]GtS!$E$27</f>
        <v>0</v>
      </c>
      <c r="H44" s="155" t="str">
        <f>IF('AW Schüler'!$B38=0,"x",C44/'AW Schüler'!$B38)</f>
        <v>x</v>
      </c>
      <c r="I44" s="155" t="str">
        <f>IF('AW Schüler'!$E38=0,"x",D44/'AW Schüler'!$E38)</f>
        <v>x</v>
      </c>
      <c r="J44" s="155" t="str">
        <f>IF('AW Schüler'!$H38=0,"x",E44/'AW Schüler'!$H38)</f>
        <v>x</v>
      </c>
      <c r="K44" s="155" t="str">
        <f>IF('AW Schüler'!$K38=0,"x",F44/'AW Schüler'!$K38)</f>
        <v>x</v>
      </c>
      <c r="L44" s="156" t="str">
        <f>IF('AW Schüler'!$N38=0,"x",G44/'AW Schüler'!$N38)</f>
        <v>x</v>
      </c>
    </row>
    <row r="45" spans="1:12" ht="9" customHeight="1">
      <c r="A45" s="21" t="s">
        <v>95</v>
      </c>
      <c r="B45" s="120"/>
      <c r="C45" s="151">
        <f>[61]GtS!$E$25</f>
        <v>0</v>
      </c>
      <c r="D45" s="151">
        <f>[62]GtS!$E$27</f>
        <v>0</v>
      </c>
      <c r="E45" s="151">
        <f>[63]GtS!$E$27</f>
        <v>0</v>
      </c>
      <c r="F45" s="151">
        <f>[64]GtS!$E$27</f>
        <v>0</v>
      </c>
      <c r="G45" s="152">
        <f>[65]GtS!$E$27</f>
        <v>0</v>
      </c>
      <c r="H45" s="155" t="str">
        <f>IF('AW Schüler'!$B39=0,"x",C45/'AW Schüler'!$B39)</f>
        <v>x</v>
      </c>
      <c r="I45" s="155" t="str">
        <f>IF('AW Schüler'!$E39=0,"x",D45/'AW Schüler'!$E39)</f>
        <v>x</v>
      </c>
      <c r="J45" s="155" t="str">
        <f>IF('AW Schüler'!$H39=0,"x",E45/'AW Schüler'!$H39)</f>
        <v>x</v>
      </c>
      <c r="K45" s="155" t="str">
        <f>IF('AW Schüler'!$K39=0,"x",F45/'AW Schüler'!$K39)</f>
        <v>x</v>
      </c>
      <c r="L45" s="156" t="str">
        <f>IF('AW Schüler'!$N39=0,"x",G45/'AW Schüler'!$N39)</f>
        <v>x</v>
      </c>
    </row>
    <row r="46" spans="1:12" ht="9" customHeight="1">
      <c r="A46" s="21" t="s">
        <v>96</v>
      </c>
      <c r="B46" s="120"/>
      <c r="C46" s="23">
        <f>SUM(C30:C45)</f>
        <v>8203</v>
      </c>
      <c r="D46" s="23">
        <f>SUM(D30:D45)</f>
        <v>8117</v>
      </c>
      <c r="E46" s="23">
        <f>SUM(E30:E45)</f>
        <v>8293</v>
      </c>
      <c r="F46" s="23">
        <f>SUM(F30:F45)</f>
        <v>7709</v>
      </c>
      <c r="G46" s="34">
        <f>SUM(G30:G45)</f>
        <v>18059</v>
      </c>
      <c r="H46" s="155">
        <f>IF('AW Schüler'!$B40=0,"x",C46/'AW Schüler'!$B40)</f>
        <v>8.9704193777680574E-2</v>
      </c>
      <c r="I46" s="155">
        <f>IF('AW Schüler'!$E40=0,"x",D46/'AW Schüler'!$E40)</f>
        <v>8.8956349249838348E-2</v>
      </c>
      <c r="J46" s="155">
        <f>IF('AW Schüler'!$H40=0,"x",E46/'AW Schüler'!$H40)</f>
        <v>8.967441256934007E-2</v>
      </c>
      <c r="K46" s="155">
        <f>IF('AW Schüler'!$K40=0,"x",F46/'AW Schüler'!$K40)</f>
        <v>8.2020236410643793E-2</v>
      </c>
      <c r="L46" s="156">
        <f>IF('AW Schüler'!$N40=0,"x",G46/'AW Schüler'!$N40)</f>
        <v>0.18677022680497668</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[1]GtS!$H$25</f>
        <v>293</v>
      </c>
      <c r="D48" s="23">
        <f>[2]GtS!$H$27</f>
        <v>280</v>
      </c>
      <c r="E48" s="23">
        <f>[3]GtS!$H$27</f>
        <v>209</v>
      </c>
      <c r="F48" s="23">
        <f>[4]GtS!$H$27</f>
        <v>216</v>
      </c>
      <c r="G48" s="34">
        <f>[5]GtS!$H$27</f>
        <v>125</v>
      </c>
      <c r="H48" s="155">
        <f>IF('AW Schüler'!$B24=0,"x",C48/'AW Schüler'!$B24)</f>
        <v>0.73250000000000004</v>
      </c>
      <c r="I48" s="155">
        <f>IF('AW Schüler'!$E24=0,"x",D48/'AW Schüler'!$E24)</f>
        <v>0.79096045197740117</v>
      </c>
      <c r="J48" s="155">
        <f>IF('AW Schüler'!$H24=0,"x",E48/'AW Schüler'!$H24)</f>
        <v>0.63525835866261393</v>
      </c>
      <c r="K48" s="155">
        <f>IF('AW Schüler'!$K24=0,"x",F48/'AW Schüler'!$K24)</f>
        <v>0.63343108504398826</v>
      </c>
      <c r="L48" s="156">
        <f>IF('AW Schüler'!$N24=0,"x",G48/'AW Schüler'!$N24)</f>
        <v>0.33244680851063829</v>
      </c>
    </row>
    <row r="49" spans="1:12" ht="9" customHeight="1">
      <c r="A49" s="21" t="s">
        <v>81</v>
      </c>
      <c r="B49" s="120"/>
      <c r="C49" s="23">
        <f>[6]GtS!$H$25</f>
        <v>26</v>
      </c>
      <c r="D49" s="23">
        <f>[7]GtS!$H$27</f>
        <v>0</v>
      </c>
      <c r="E49" s="23">
        <f>[8]GtS!$H$27</f>
        <v>0</v>
      </c>
      <c r="F49" s="23" t="str">
        <f>[9]GtS!$H$27</f>
        <v xml:space="preserve">                                      -   </v>
      </c>
      <c r="G49" s="34">
        <f>[10]GtS!$H$27</f>
        <v>0</v>
      </c>
      <c r="H49" s="155">
        <f>IF('AW Schüler'!$B25=0,"x",C49/'AW Schüler'!$B25)</f>
        <v>4.2414355628058731E-2</v>
      </c>
      <c r="I49" s="155">
        <f>IF('AW Schüler'!$E25=0,"x",D49/'AW Schüler'!$E25)</f>
        <v>0</v>
      </c>
      <c r="J49" s="155">
        <f>IF('AW Schüler'!$H25=0,"x",E49/'AW Schüler'!$H25)</f>
        <v>0</v>
      </c>
      <c r="K49" s="155" t="e">
        <f>IF('AW Schüler'!$K25=0,"x",F49/'AW Schüler'!$K25)</f>
        <v>#VALUE!</v>
      </c>
      <c r="L49" s="156">
        <f>IF('AW Schüler'!$N25=0,"x",G49/'AW Schüler'!$N25)</f>
        <v>0</v>
      </c>
    </row>
    <row r="50" spans="1:12" ht="9" customHeight="1">
      <c r="A50" s="21" t="s">
        <v>82</v>
      </c>
      <c r="B50" s="120"/>
      <c r="C50" s="23">
        <f>[11]GtS!$H$25</f>
        <v>2956</v>
      </c>
      <c r="D50" s="23">
        <f>[12]GtS!$H$27</f>
        <v>4264</v>
      </c>
      <c r="E50" s="23">
        <f>[13]GtS!$H$27</f>
        <v>4684</v>
      </c>
      <c r="F50" s="23">
        <f>[14]GtS!$H$27</f>
        <v>4629</v>
      </c>
      <c r="G50" s="34">
        <f>[15]GtS!$H$27</f>
        <v>5192</v>
      </c>
      <c r="H50" s="155">
        <f>IF('AW Schüler'!$B26=0,"x",C50/'AW Schüler'!$B26)</f>
        <v>7.1230632063423213E-2</v>
      </c>
      <c r="I50" s="155">
        <f>IF('AW Schüler'!$E26=0,"x",D50/'AW Schüler'!$E26)</f>
        <v>0.10079901659496004</v>
      </c>
      <c r="J50" s="155">
        <f>IF('AW Schüler'!$H26=0,"x",E50/'AW Schüler'!$H26)</f>
        <v>0.10783930010360308</v>
      </c>
      <c r="K50" s="155">
        <f>IF('AW Schüler'!$K26=0,"x",F50/'AW Schüler'!$K26)</f>
        <v>0.10299942147656981</v>
      </c>
      <c r="L50" s="156">
        <f>IF('AW Schüler'!$N26=0,"x",G50/'AW Schüler'!$N26)</f>
        <v>0.11066587091823685</v>
      </c>
    </row>
    <row r="51" spans="1:12" ht="9" customHeight="1">
      <c r="A51" s="21" t="s">
        <v>83</v>
      </c>
      <c r="B51" s="120"/>
      <c r="C51" s="23">
        <f>[16]GtS!$H$25</f>
        <v>12151</v>
      </c>
      <c r="D51" s="23">
        <f>[17]GtS!$H$27</f>
        <v>12505</v>
      </c>
      <c r="E51" s="23">
        <f>[18]GtS!$H$27</f>
        <v>13046</v>
      </c>
      <c r="F51" s="23">
        <f>[19]GtS!$H$27</f>
        <v>12765</v>
      </c>
      <c r="G51" s="34">
        <f>[20]GtS!$H$27</f>
        <v>5788</v>
      </c>
      <c r="H51" s="155">
        <f>IF('AW Schüler'!$B27=0,"x",C51/'AW Schüler'!$B27)</f>
        <v>0.36865898058252428</v>
      </c>
      <c r="I51" s="155">
        <f>IF('AW Schüler'!$E27=0,"x",D51/'AW Schüler'!$E27)</f>
        <v>0.377874474964494</v>
      </c>
      <c r="J51" s="155">
        <f>IF('AW Schüler'!$H27=0,"x",E51/'AW Schüler'!$H27)</f>
        <v>0.38975860420650094</v>
      </c>
      <c r="K51" s="155">
        <f>IF('AW Schüler'!$K27=0,"x",F51/'AW Schüler'!$K27)</f>
        <v>0.38137492157389979</v>
      </c>
      <c r="L51" s="156">
        <f>IF('AW Schüler'!$N27=0,"x",G51/'AW Schüler'!$N27)</f>
        <v>0.16969625894218365</v>
      </c>
    </row>
    <row r="52" spans="1:12" ht="9" customHeight="1">
      <c r="A52" s="21" t="s">
        <v>84</v>
      </c>
      <c r="B52" s="120"/>
      <c r="C52" s="151">
        <f>[21]GtS!$H$25</f>
        <v>0</v>
      </c>
      <c r="D52" s="151">
        <f>[22]GtS!$H$27</f>
        <v>0</v>
      </c>
      <c r="E52" s="151">
        <f>[23]GtS!$H$27</f>
        <v>0</v>
      </c>
      <c r="F52" s="151">
        <f>[24]GtS!$H$27</f>
        <v>0</v>
      </c>
      <c r="G52" s="152">
        <f>[25]GtS!$H$27</f>
        <v>0</v>
      </c>
      <c r="H52" s="155" t="str">
        <f>IF('AW Schüler'!$B28=0,"x",C52/'AW Schüler'!$B28)</f>
        <v>x</v>
      </c>
      <c r="I52" s="155" t="str">
        <f>IF('AW Schüler'!$E28=0,"x",D52/'AW Schüler'!$E28)</f>
        <v>x</v>
      </c>
      <c r="J52" s="155" t="str">
        <f>IF('AW Schüler'!$H28=0,"x",E52/'AW Schüler'!$H28)</f>
        <v>x</v>
      </c>
      <c r="K52" s="155" t="str">
        <f>IF('AW Schüler'!$K28=0,"x",F52/'AW Schüler'!$K28)</f>
        <v>x</v>
      </c>
      <c r="L52" s="156" t="str">
        <f>IF('AW Schüler'!$N28=0,"x",G52/'AW Schüler'!$N28)</f>
        <v>x</v>
      </c>
    </row>
    <row r="53" spans="1:12" ht="9" customHeight="1">
      <c r="A53" s="21" t="s">
        <v>85</v>
      </c>
      <c r="B53" s="120"/>
      <c r="C53" s="23">
        <f>[26]GtS!$H$25</f>
        <v>0</v>
      </c>
      <c r="D53" s="23">
        <f>[27]GtS!$H$27</f>
        <v>63</v>
      </c>
      <c r="E53" s="23">
        <f>[28]GtS!$H$27</f>
        <v>87</v>
      </c>
      <c r="F53" s="23">
        <f>[29]GtS!$H$27</f>
        <v>106</v>
      </c>
      <c r="G53" s="34">
        <f>[30]GtS!$H$27</f>
        <v>0</v>
      </c>
      <c r="H53" s="155">
        <f>IF('AW Schüler'!$B29=0,"x",C53/'AW Schüler'!$B29)</f>
        <v>0</v>
      </c>
      <c r="I53" s="155">
        <f>IF('AW Schüler'!$E29=0,"x",D53/'AW Schüler'!$E29)</f>
        <v>0.23161764705882354</v>
      </c>
      <c r="J53" s="155">
        <f>IF('AW Schüler'!$H29=0,"x",E53/'AW Schüler'!$H29)</f>
        <v>0.29692832764505117</v>
      </c>
      <c r="K53" s="155">
        <f>IF('AW Schüler'!$K29=0,"x",F53/'AW Schüler'!$K29)</f>
        <v>0.31454005934718099</v>
      </c>
      <c r="L53" s="156">
        <f>IF('AW Schüler'!$N29=0,"x",G53/'AW Schüler'!$N29)</f>
        <v>0</v>
      </c>
    </row>
    <row r="54" spans="1:12" ht="9" customHeight="1">
      <c r="A54" s="21" t="s">
        <v>114</v>
      </c>
      <c r="B54" s="120"/>
      <c r="C54" s="23">
        <f>[66]GtS!$H$25</f>
        <v>8199</v>
      </c>
      <c r="D54" s="23">
        <f>[67]GtS!$H$27</f>
        <v>7708</v>
      </c>
      <c r="E54" s="23">
        <f>[68]GtS!$H$27</f>
        <v>7767</v>
      </c>
      <c r="F54" s="23">
        <f>[69]GtS!$H$27</f>
        <v>7737</v>
      </c>
      <c r="G54" s="34">
        <f>[70]GtS!$H$27</f>
        <v>7814</v>
      </c>
      <c r="H54" s="155">
        <f>IF('AW Schüler'!$B30=0,"x",C54/'AW Schüler'!$B30)</f>
        <v>0.52252883818749607</v>
      </c>
      <c r="I54" s="155">
        <f>IF('AW Schüler'!$E30=0,"x",D54/'AW Schüler'!$E30)</f>
        <v>0.52747553548210502</v>
      </c>
      <c r="J54" s="155">
        <f>IF('AW Schüler'!$H30=0,"x",E54/'AW Schüler'!$H30)</f>
        <v>0.54166957249459513</v>
      </c>
      <c r="K54" s="155">
        <f>IF('AW Schüler'!$K30=0,"x",F54/'AW Schüler'!$K30)</f>
        <v>0.54157916841663167</v>
      </c>
      <c r="L54" s="156">
        <f>IF('AW Schüler'!$N30=0,"x",G54/'AW Schüler'!$N30)</f>
        <v>0.54445373467112601</v>
      </c>
    </row>
    <row r="55" spans="1:12" ht="9" customHeight="1">
      <c r="A55" s="21" t="s">
        <v>87</v>
      </c>
      <c r="B55" s="120"/>
      <c r="C55" s="151">
        <f>[31]GtS!$H$25</f>
        <v>0</v>
      </c>
      <c r="D55" s="151">
        <f>[32]GtS!$H$27</f>
        <v>0</v>
      </c>
      <c r="E55" s="151">
        <f>[33]GtS!$H$27</f>
        <v>0</v>
      </c>
      <c r="F55" s="151">
        <f>[34]GtS!$H$27</f>
        <v>0</v>
      </c>
      <c r="G55" s="152">
        <f>[35]GtS!$H$27</f>
        <v>0</v>
      </c>
      <c r="H55" s="155" t="str">
        <f>IF('AW Schüler'!$B31=0,"x",C55/'AW Schüler'!$B31)</f>
        <v>x</v>
      </c>
      <c r="I55" s="155" t="str">
        <f>IF('AW Schüler'!$E31=0,"x",D55/'AW Schüler'!$E31)</f>
        <v>x</v>
      </c>
      <c r="J55" s="155" t="str">
        <f>IF('AW Schüler'!$H31=0,"x",E55/'AW Schüler'!$H31)</f>
        <v>x</v>
      </c>
      <c r="K55" s="155" t="str">
        <f>IF('AW Schüler'!$K31=0,"x",F55/'AW Schüler'!$K31)</f>
        <v>x</v>
      </c>
      <c r="L55" s="156" t="str">
        <f>IF('AW Schüler'!$N31=0,"x",G55/'AW Schüler'!$N31)</f>
        <v>x</v>
      </c>
    </row>
    <row r="56" spans="1:12" ht="9" customHeight="1">
      <c r="A56" s="21" t="s">
        <v>88</v>
      </c>
      <c r="B56" s="120"/>
      <c r="C56" s="151">
        <f>[71]GtS!$H$25</f>
        <v>0</v>
      </c>
      <c r="D56" s="151">
        <f>[72]GtS!$H$27</f>
        <v>0</v>
      </c>
      <c r="E56" s="151">
        <f>[73]GtS!$H$27</f>
        <v>0</v>
      </c>
      <c r="F56" s="151">
        <f>[74]GtS!$H$27</f>
        <v>0</v>
      </c>
      <c r="G56" s="152">
        <f>[75]GtS!$H$27</f>
        <v>0</v>
      </c>
      <c r="H56" s="155" t="str">
        <f>IF('AW Schüler'!$B32=0,"x",C56/'AW Schüler'!$B32)</f>
        <v>x</v>
      </c>
      <c r="I56" s="155" t="str">
        <f>IF('AW Schüler'!$E32=0,"x",D56/'AW Schüler'!$E32)</f>
        <v>x</v>
      </c>
      <c r="J56" s="155" t="str">
        <f>IF('AW Schüler'!$H32=0,"x",E56/'AW Schüler'!$H32)</f>
        <v>x</v>
      </c>
      <c r="K56" s="155" t="str">
        <f>IF('AW Schüler'!$K32=0,"x",F56/'AW Schüler'!$K32)</f>
        <v>x</v>
      </c>
      <c r="L56" s="156" t="str">
        <f>IF('AW Schüler'!$N32=0,"x",G56/'AW Schüler'!$N32)</f>
        <v>x</v>
      </c>
    </row>
    <row r="57" spans="1:12" ht="9" customHeight="1">
      <c r="A57" s="21" t="s">
        <v>89</v>
      </c>
      <c r="B57" s="120"/>
      <c r="C57" s="151">
        <f>[36]GtS!$H$25</f>
        <v>0</v>
      </c>
      <c r="D57" s="151">
        <f>[37]GtS!$H$27</f>
        <v>0</v>
      </c>
      <c r="E57" s="151">
        <f>[38]GtS!$H$27</f>
        <v>0</v>
      </c>
      <c r="F57" s="151">
        <f>[39]GtS!$H$27</f>
        <v>0</v>
      </c>
      <c r="G57" s="152">
        <f>[40]GtS!$H$27</f>
        <v>0</v>
      </c>
      <c r="H57" s="155" t="str">
        <f>IF('AW Schüler'!$B33=0,"x",C57/'AW Schüler'!$B33)</f>
        <v>x</v>
      </c>
      <c r="I57" s="155" t="str">
        <f>IF('AW Schüler'!$E33=0,"x",D57/'AW Schüler'!$E33)</f>
        <v>x</v>
      </c>
      <c r="J57" s="155" t="str">
        <f>IF('AW Schüler'!$H33=0,"x",E57/'AW Schüler'!$H33)</f>
        <v>x</v>
      </c>
      <c r="K57" s="155" t="str">
        <f>IF('AW Schüler'!$K33=0,"x",F57/'AW Schüler'!$K33)</f>
        <v>x</v>
      </c>
      <c r="L57" s="156" t="str">
        <f>IF('AW Schüler'!$N33=0,"x",G57/'AW Schüler'!$N33)</f>
        <v>x</v>
      </c>
    </row>
    <row r="58" spans="1:12" ht="9" customHeight="1">
      <c r="A58" s="21" t="s">
        <v>90</v>
      </c>
      <c r="B58" s="120"/>
      <c r="C58" s="151">
        <f>[41]GtS!$H$25</f>
        <v>0</v>
      </c>
      <c r="D58" s="151">
        <f>[42]GtS!$H$27</f>
        <v>0</v>
      </c>
      <c r="E58" s="151">
        <f>[43]GtS!$H$27</f>
        <v>0</v>
      </c>
      <c r="F58" s="151">
        <f>[44]GtS!$H$27</f>
        <v>0</v>
      </c>
      <c r="G58" s="152">
        <f>[45]GtS!$H$27</f>
        <v>0</v>
      </c>
      <c r="H58" s="155" t="str">
        <f>IF('AW Schüler'!$B34=0,"x",C58/'AW Schüler'!$B34)</f>
        <v>x</v>
      </c>
      <c r="I58" s="155" t="str">
        <f>IF('AW Schüler'!$E34=0,"x",D58/'AW Schüler'!$E34)</f>
        <v>x</v>
      </c>
      <c r="J58" s="155" t="str">
        <f>IF('AW Schüler'!$H34=0,"x",E58/'AW Schüler'!$H34)</f>
        <v>x</v>
      </c>
      <c r="K58" s="155" t="str">
        <f>IF('AW Schüler'!$K34=0,"x",F58/'AW Schüler'!$K34)</f>
        <v>x</v>
      </c>
      <c r="L58" s="156" t="str">
        <f>IF('AW Schüler'!$N34=0,"x",G58/'AW Schüler'!$N34)</f>
        <v>x</v>
      </c>
    </row>
    <row r="59" spans="1:12" ht="9" customHeight="1">
      <c r="A59" s="21" t="s">
        <v>91</v>
      </c>
      <c r="B59" s="120"/>
      <c r="C59" s="151">
        <f>[46]GtS!$H$25</f>
        <v>0</v>
      </c>
      <c r="D59" s="151">
        <f>[47]GtS!$H$27</f>
        <v>0</v>
      </c>
      <c r="E59" s="151">
        <f>[48]GtS!$H$27</f>
        <v>0</v>
      </c>
      <c r="F59" s="151">
        <f>[49]GtS!$H$27</f>
        <v>0</v>
      </c>
      <c r="G59" s="152">
        <f>[50]GtS!$H$27</f>
        <v>0</v>
      </c>
      <c r="H59" s="155" t="str">
        <f>IF('AW Schüler'!$B35=0,"x",C59/'AW Schüler'!$B35)</f>
        <v>x</v>
      </c>
      <c r="I59" s="155" t="str">
        <f>IF('AW Schüler'!$E35=0,"x",D59/'AW Schüler'!$E35)</f>
        <v>x</v>
      </c>
      <c r="J59" s="155" t="str">
        <f>IF('AW Schüler'!$H35=0,"x",E59/'AW Schüler'!$H35)</f>
        <v>x</v>
      </c>
      <c r="K59" s="155" t="str">
        <f>IF('AW Schüler'!$K35=0,"x",F59/'AW Schüler'!$K35)</f>
        <v>x</v>
      </c>
      <c r="L59" s="156" t="str">
        <f>IF('AW Schüler'!$N35=0,"x",G59/'AW Schüler'!$N35)</f>
        <v>x</v>
      </c>
    </row>
    <row r="60" spans="1:12" ht="9" customHeight="1">
      <c r="A60" s="21" t="s">
        <v>92</v>
      </c>
      <c r="B60" s="120"/>
      <c r="C60" s="151">
        <f>[51]GtS!$H$25</f>
        <v>0</v>
      </c>
      <c r="D60" s="151">
        <f>[52]GtS!$H$27</f>
        <v>0</v>
      </c>
      <c r="E60" s="151">
        <f>[53]GtS!$H$27</f>
        <v>0</v>
      </c>
      <c r="F60" s="151">
        <f>[54]GtS!$H$27</f>
        <v>0</v>
      </c>
      <c r="G60" s="152">
        <f>[55]GtS!$H$27</f>
        <v>0</v>
      </c>
      <c r="H60" s="155" t="str">
        <f>IF('AW Schüler'!$B36=0,"x",C60/'AW Schüler'!$B36)</f>
        <v>x</v>
      </c>
      <c r="I60" s="155" t="str">
        <f>IF('AW Schüler'!$E36=0,"x",D60/'AW Schüler'!$E36)</f>
        <v>x</v>
      </c>
      <c r="J60" s="155" t="str">
        <f>IF('AW Schüler'!$H36=0,"x",E60/'AW Schüler'!$H36)</f>
        <v>x</v>
      </c>
      <c r="K60" s="155" t="str">
        <f>IF('AW Schüler'!$K36=0,"x",F60/'AW Schüler'!$K36)</f>
        <v>x</v>
      </c>
      <c r="L60" s="156" t="str">
        <f>IF('AW Schüler'!$N36=0,"x",G60/'AW Schüler'!$N36)</f>
        <v>x</v>
      </c>
    </row>
    <row r="61" spans="1:12" ht="9" customHeight="1">
      <c r="A61" s="21" t="s">
        <v>93</v>
      </c>
      <c r="B61" s="120"/>
      <c r="C61" s="151">
        <f>[76]GtS!$H$25</f>
        <v>0</v>
      </c>
      <c r="D61" s="151">
        <f>[77]GtS!$H$27</f>
        <v>0</v>
      </c>
      <c r="E61" s="151">
        <f>[78]GtS!$H$27</f>
        <v>0</v>
      </c>
      <c r="F61" s="151">
        <f>[79]GtS!$H$27</f>
        <v>0</v>
      </c>
      <c r="G61" s="152">
        <f>[80]GtS!$H$27</f>
        <v>0</v>
      </c>
      <c r="H61" s="155" t="str">
        <f>IF('AW Schüler'!$B37=0,"x",C61/'AW Schüler'!$B37)</f>
        <v>x</v>
      </c>
      <c r="I61" s="155" t="str">
        <f>IF('AW Schüler'!$E37=0,"x",D61/'AW Schüler'!$E37)</f>
        <v>x</v>
      </c>
      <c r="J61" s="155" t="str">
        <f>IF('AW Schüler'!$H37=0,"x",E61/'AW Schüler'!$H37)</f>
        <v>x</v>
      </c>
      <c r="K61" s="155" t="str">
        <f>IF('AW Schüler'!$K37=0,"x",F61/'AW Schüler'!$K37)</f>
        <v>x</v>
      </c>
      <c r="L61" s="156" t="str">
        <f>IF('AW Schüler'!$N37=0,"x",G61/'AW Schüler'!$N37)</f>
        <v>x</v>
      </c>
    </row>
    <row r="62" spans="1:12" ht="9" customHeight="1">
      <c r="A62" s="21" t="s">
        <v>94</v>
      </c>
      <c r="B62" s="120"/>
      <c r="C62" s="151">
        <f>[56]GtS!$H$25</f>
        <v>0</v>
      </c>
      <c r="D62" s="151">
        <f>[57]GtS!$H$27</f>
        <v>0</v>
      </c>
      <c r="E62" s="151">
        <f>[58]GtS!$H$27</f>
        <v>0</v>
      </c>
      <c r="F62" s="151">
        <f>[59]GtS!$H$27</f>
        <v>0</v>
      </c>
      <c r="G62" s="152">
        <f>[60]GtS!$H$27</f>
        <v>0</v>
      </c>
      <c r="H62" s="155" t="str">
        <f>IF('AW Schüler'!$B38=0,"x",C62/'AW Schüler'!$B38)</f>
        <v>x</v>
      </c>
      <c r="I62" s="155" t="str">
        <f>IF('AW Schüler'!$E38=0,"x",D62/'AW Schüler'!$E38)</f>
        <v>x</v>
      </c>
      <c r="J62" s="155" t="str">
        <f>IF('AW Schüler'!$H38=0,"x",E62/'AW Schüler'!$H38)</f>
        <v>x</v>
      </c>
      <c r="K62" s="155" t="str">
        <f>IF('AW Schüler'!$K38=0,"x",F62/'AW Schüler'!$K38)</f>
        <v>x</v>
      </c>
      <c r="L62" s="156" t="str">
        <f>IF('AW Schüler'!$N38=0,"x",G62/'AW Schüler'!$N38)</f>
        <v>x</v>
      </c>
    </row>
    <row r="63" spans="1:12" ht="9" customHeight="1">
      <c r="A63" s="21" t="s">
        <v>95</v>
      </c>
      <c r="B63" s="120"/>
      <c r="C63" s="151">
        <f>[61]GtS!$H$25</f>
        <v>0</v>
      </c>
      <c r="D63" s="151">
        <f>[62]GtS!$H$27</f>
        <v>0</v>
      </c>
      <c r="E63" s="151">
        <f>[63]GtS!$H$27</f>
        <v>0</v>
      </c>
      <c r="F63" s="151">
        <f>[64]GtS!$H$27</f>
        <v>0</v>
      </c>
      <c r="G63" s="152">
        <f>[65]GtS!$H$27</f>
        <v>0</v>
      </c>
      <c r="H63" s="155" t="str">
        <f>IF('AW Schüler'!$B39=0,"x",C63/'AW Schüler'!$B39)</f>
        <v>x</v>
      </c>
      <c r="I63" s="155" t="str">
        <f>IF('AW Schüler'!$E39=0,"x",D63/'AW Schüler'!$E39)</f>
        <v>x</v>
      </c>
      <c r="J63" s="155" t="str">
        <f>IF('AW Schüler'!$H39=0,"x",E63/'AW Schüler'!$H39)</f>
        <v>x</v>
      </c>
      <c r="K63" s="155" t="str">
        <f>IF('AW Schüler'!$K39=0,"x",F63/'AW Schüler'!$K39)</f>
        <v>x</v>
      </c>
      <c r="L63" s="156" t="str">
        <f>IF('AW Schüler'!$N39=0,"x",G63/'AW Schüler'!$N39)</f>
        <v>x</v>
      </c>
    </row>
    <row r="64" spans="1:12" ht="8.65" customHeight="1">
      <c r="A64" s="24" t="s">
        <v>96</v>
      </c>
      <c r="B64" s="121"/>
      <c r="C64" s="26">
        <f>SUM(C48:C63)</f>
        <v>23625</v>
      </c>
      <c r="D64" s="26">
        <f>SUM(D48:D63)</f>
        <v>24820</v>
      </c>
      <c r="E64" s="26">
        <f>SUM(E48:E63)</f>
        <v>25793</v>
      </c>
      <c r="F64" s="26">
        <f>SUM(F48:F63)</f>
        <v>25453</v>
      </c>
      <c r="G64" s="47">
        <f>SUM(G48:G63)</f>
        <v>18919</v>
      </c>
      <c r="H64" s="157">
        <f>IF('AW Schüler'!$B40=0,"x",C64/'AW Schüler'!$B40)</f>
        <v>0.25835201487232762</v>
      </c>
      <c r="I64" s="157">
        <f>IF('AW Schüler'!$E40=0,"x",D64/'AW Schüler'!$E40)</f>
        <v>0.27200894275976195</v>
      </c>
      <c r="J64" s="157">
        <f>IF('AW Schüler'!$H40=0,"x",E64/'AW Schüler'!$H40)</f>
        <v>0.27890656257096208</v>
      </c>
      <c r="K64" s="157">
        <f>IF('AW Schüler'!$K40=0,"x",F64/'AW Schüler'!$K40)</f>
        <v>0.27080828607603019</v>
      </c>
      <c r="L64" s="158">
        <f>IF('AW Schüler'!$N40=0,"x",G64/'AW Schüler'!$N40)</f>
        <v>0.19566453961588978</v>
      </c>
    </row>
    <row r="65" spans="1:12" ht="18.75" customHeight="1">
      <c r="A65" s="396" t="s">
        <v>312</v>
      </c>
      <c r="B65" s="396"/>
      <c r="C65" s="396"/>
      <c r="D65" s="396"/>
      <c r="E65" s="396"/>
      <c r="F65" s="396"/>
      <c r="G65" s="396"/>
      <c r="H65" s="396"/>
      <c r="I65" s="396"/>
      <c r="J65" s="396"/>
      <c r="K65" s="396"/>
      <c r="L65" s="396"/>
    </row>
    <row r="66" spans="1:12" ht="10.15" customHeight="1">
      <c r="A66" s="399" t="s">
        <v>101</v>
      </c>
      <c r="B66" s="399"/>
      <c r="C66" s="399"/>
      <c r="D66" s="399"/>
      <c r="E66" s="399"/>
      <c r="F66" s="399"/>
      <c r="G66" s="399"/>
      <c r="H66" s="399"/>
      <c r="I66" s="399"/>
      <c r="J66" s="257"/>
      <c r="K66" s="325"/>
      <c r="L66" s="350"/>
    </row>
    <row r="67" spans="1:12" ht="10.15" customHeight="1">
      <c r="A67" s="214"/>
    </row>
    <row r="68" spans="1:12" ht="10.15" customHeight="1">
      <c r="A68" s="214"/>
    </row>
    <row r="83" spans="1:1" ht="10.5" customHeight="1"/>
    <row r="84" spans="1:1" ht="10.15" customHeight="1">
      <c r="A84" s="214"/>
    </row>
  </sheetData>
  <mergeCells count="8">
    <mergeCell ref="A1:L1"/>
    <mergeCell ref="A66:I66"/>
    <mergeCell ref="C9:G9"/>
    <mergeCell ref="H9:L9"/>
    <mergeCell ref="A11:L11"/>
    <mergeCell ref="A29:L29"/>
    <mergeCell ref="A47:L47"/>
    <mergeCell ref="A65:L65"/>
  </mergeCells>
  <phoneticPr fontId="18" type="noConversion"/>
  <conditionalFormatting sqref="N25">
    <cfRule type="cellIs" dxfId="21"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M84"/>
  <sheetViews>
    <sheetView view="pageBreakPreview" topLeftCell="A43"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'3.2.3'!A1:F1+1</f>
        <v>50</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53</v>
      </c>
      <c r="B5" s="39" t="s">
        <v>11</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SUM(C30+C48)</f>
        <v>56437</v>
      </c>
      <c r="D12" s="42">
        <f>SUM(D30+D48)</f>
        <v>52148</v>
      </c>
      <c r="E12" s="42">
        <f>SUM(E30+E48)</f>
        <v>45718</v>
      </c>
      <c r="F12" s="42">
        <f>SUM(F30+F48)</f>
        <v>41361</v>
      </c>
      <c r="G12" s="44">
        <f>SUM(G30+G48)</f>
        <v>33022</v>
      </c>
      <c r="H12" s="153">
        <f>IF('AW Schüler'!$B42=0,"x",C12/'AW Schüler'!$B42)</f>
        <v>0.41373976408835322</v>
      </c>
      <c r="I12" s="153">
        <f>IF('AW Schüler'!$E42=0,"x",D12/'AW Schüler'!$E42)</f>
        <v>0.42625470001634791</v>
      </c>
      <c r="J12" s="153">
        <f>IF('AW Schüler'!$H42=0,"x",E12/'AW Schüler'!$H42)</f>
        <v>0.41704371305553528</v>
      </c>
      <c r="K12" s="153">
        <f>IF('AW Schüler'!$K42=0,"x",F12/'AW Schüler'!$K42)</f>
        <v>0.43261476670118298</v>
      </c>
      <c r="L12" s="154">
        <f>IF('AW Schüler'!$N42=0,"x",G12/'AW Schüler'!$N42)</f>
        <v>0.41377841265067788</v>
      </c>
    </row>
    <row r="13" spans="1:13" ht="9" customHeight="1">
      <c r="A13" s="21" t="s">
        <v>81</v>
      </c>
      <c r="B13" s="120"/>
      <c r="C13" s="42">
        <f t="shared" ref="C13:C26" si="0">SUM(C31+C49)</f>
        <v>43539</v>
      </c>
      <c r="D13" s="42">
        <f t="shared" ref="D13:E13" si="1">SUM(D31+D49)</f>
        <v>48862</v>
      </c>
      <c r="E13" s="42">
        <f t="shared" si="1"/>
        <v>49936</v>
      </c>
      <c r="F13" s="42">
        <f t="shared" ref="F13:G13" si="2">SUM(F31+F49)</f>
        <v>50982</v>
      </c>
      <c r="G13" s="44">
        <f t="shared" si="2"/>
        <v>52961</v>
      </c>
      <c r="H13" s="153">
        <f>IF('AW Schüler'!$B43=0,"x",C13/'AW Schüler'!$B43)</f>
        <v>0.22299903197553816</v>
      </c>
      <c r="I13" s="153">
        <f>IF('AW Schüler'!$E43=0,"x",D13/'AW Schüler'!$E43)</f>
        <v>0.25472971916233533</v>
      </c>
      <c r="J13" s="153">
        <f>IF('AW Schüler'!$H43=0,"x",E13/'AW Schüler'!$H43)</f>
        <v>0.26359797297297299</v>
      </c>
      <c r="K13" s="153">
        <f>IF('AW Schüler'!$K43=0,"x",F13/'AW Schüler'!$K43)</f>
        <v>0.27040415826880237</v>
      </c>
      <c r="L13" s="154">
        <f>IF('AW Schüler'!$N43=0,"x",G13/'AW Schüler'!$N43)</f>
        <v>0.28020951826671253</v>
      </c>
    </row>
    <row r="14" spans="1:13" ht="9" customHeight="1">
      <c r="A14" s="21" t="s">
        <v>82</v>
      </c>
      <c r="B14" s="120"/>
      <c r="C14" s="149">
        <f t="shared" si="0"/>
        <v>0</v>
      </c>
      <c r="D14" s="149">
        <f t="shared" ref="D14:E14" si="3">SUM(D32+D50)</f>
        <v>0</v>
      </c>
      <c r="E14" s="149">
        <f t="shared" si="3"/>
        <v>0</v>
      </c>
      <c r="F14" s="149">
        <f t="shared" ref="F14:G14" si="4">SUM(F32+F50)</f>
        <v>0</v>
      </c>
      <c r="G14" s="150">
        <f t="shared" si="4"/>
        <v>0</v>
      </c>
      <c r="H14" s="198">
        <f>IF('AW Schüler'!$B44=0,"x",C14/'AW Schüler'!$B44)</f>
        <v>0</v>
      </c>
      <c r="I14" s="198" t="str">
        <f>IF('AW Schüler'!$E44=0,"x",D14/'AW Schüler'!$E44)</f>
        <v>x</v>
      </c>
      <c r="J14" s="198" t="str">
        <f>IF('AW Schüler'!$H44=0,"x",E14/'AW Schüler'!$H44)</f>
        <v>x</v>
      </c>
      <c r="K14" s="198" t="str">
        <f>IF('AW Schüler'!$K44=0,"x",F14/'AW Schüler'!$K44)</f>
        <v>x</v>
      </c>
      <c r="L14" s="199" t="str">
        <f>IF('AW Schüler'!$N44=0,"x",G14/'AW Schüler'!$N44)</f>
        <v>x</v>
      </c>
    </row>
    <row r="15" spans="1:13" ht="9" customHeight="1">
      <c r="A15" s="21" t="s">
        <v>83</v>
      </c>
      <c r="B15" s="120"/>
      <c r="C15" s="149">
        <f t="shared" si="0"/>
        <v>0</v>
      </c>
      <c r="D15" s="149">
        <f t="shared" ref="D15:E15" si="5">SUM(D33+D51)</f>
        <v>0</v>
      </c>
      <c r="E15" s="149">
        <f t="shared" si="5"/>
        <v>0</v>
      </c>
      <c r="F15" s="149">
        <f t="shared" ref="F15:G15" si="6">SUM(F33+F51)</f>
        <v>0</v>
      </c>
      <c r="G15" s="150">
        <f t="shared" si="6"/>
        <v>0</v>
      </c>
      <c r="H15" s="153" t="str">
        <f>IF('AW Schüler'!$B45=0,"x",C15/'AW Schüler'!$B45)</f>
        <v>x</v>
      </c>
      <c r="I15" s="153" t="str">
        <f>IF('AW Schüler'!$E45=0,"x",D15/'AW Schüler'!$E45)</f>
        <v>x</v>
      </c>
      <c r="J15" s="153" t="str">
        <f>IF('AW Schüler'!$H45=0,"x",E15/'AW Schüler'!$H45)</f>
        <v>x</v>
      </c>
      <c r="K15" s="153" t="str">
        <f>IF('AW Schüler'!$K45=0,"x",F15/'AW Schüler'!$K45)</f>
        <v>x</v>
      </c>
      <c r="L15" s="154" t="str">
        <f>IF('AW Schüler'!$N45=0,"x",G15/'AW Schüler'!$N45)</f>
        <v>x</v>
      </c>
    </row>
    <row r="16" spans="1:13" ht="9" customHeight="1">
      <c r="A16" s="21" t="s">
        <v>84</v>
      </c>
      <c r="B16" s="120"/>
      <c r="C16" s="149">
        <f t="shared" si="0"/>
        <v>0</v>
      </c>
      <c r="D16" s="149">
        <f t="shared" ref="D16:E16" si="7">SUM(D34+D52)</f>
        <v>0</v>
      </c>
      <c r="E16" s="149">
        <f t="shared" si="7"/>
        <v>0</v>
      </c>
      <c r="F16" s="149">
        <f t="shared" ref="F16:G16" si="8">SUM(F34+F52)</f>
        <v>0</v>
      </c>
      <c r="G16" s="150">
        <f t="shared" si="8"/>
        <v>0</v>
      </c>
      <c r="H16" s="153" t="str">
        <f>IF('AW Schüler'!$B46=0,"x",C16/'AW Schüler'!$B46)</f>
        <v>x</v>
      </c>
      <c r="I16" s="153" t="str">
        <f>IF('AW Schüler'!$E46=0,"x",D16/'AW Schüler'!$E46)</f>
        <v>x</v>
      </c>
      <c r="J16" s="153" t="str">
        <f>IF('AW Schüler'!$H46=0,"x",E16/'AW Schüler'!$H46)</f>
        <v>x</v>
      </c>
      <c r="K16" s="153" t="str">
        <f>IF('AW Schüler'!$K46=0,"x",F16/'AW Schüler'!$K46)</f>
        <v>x</v>
      </c>
      <c r="L16" s="154" t="str">
        <f>IF('AW Schüler'!$N46=0,"x",G16/'AW Schüler'!$N46)</f>
        <v>x</v>
      </c>
    </row>
    <row r="17" spans="1:12" ht="9" customHeight="1">
      <c r="A17" s="21" t="s">
        <v>85</v>
      </c>
      <c r="B17" s="120"/>
      <c r="C17" s="149">
        <f t="shared" si="0"/>
        <v>0</v>
      </c>
      <c r="D17" s="149">
        <f t="shared" ref="D17:E17" si="9">SUM(D35+D53)</f>
        <v>0</v>
      </c>
      <c r="E17" s="149">
        <f t="shared" si="9"/>
        <v>0</v>
      </c>
      <c r="F17" s="149">
        <f t="shared" ref="F17:G17" si="10">SUM(F35+F53)</f>
        <v>0</v>
      </c>
      <c r="G17" s="150">
        <f t="shared" si="10"/>
        <v>0</v>
      </c>
      <c r="H17" s="153" t="str">
        <f>IF('AW Schüler'!$B47=0,"x",C17/'AW Schüler'!$B47)</f>
        <v>x</v>
      </c>
      <c r="I17" s="153" t="str">
        <f>IF('AW Schüler'!$E47=0,"x",D17/'AW Schüler'!$E47)</f>
        <v>x</v>
      </c>
      <c r="J17" s="153" t="str">
        <f>IF('AW Schüler'!$H47=0,"x",E17/'AW Schüler'!$H47)</f>
        <v>x</v>
      </c>
      <c r="K17" s="153" t="str">
        <f>IF('AW Schüler'!$K47=0,"x",F17/'AW Schüler'!$K47)</f>
        <v>x</v>
      </c>
      <c r="L17" s="154" t="str">
        <f>IF('AW Schüler'!$N47=0,"x",G17/'AW Schüler'!$N47)</f>
        <v>x</v>
      </c>
    </row>
    <row r="18" spans="1:12" ht="9" customHeight="1">
      <c r="A18" s="21" t="s">
        <v>86</v>
      </c>
      <c r="B18" s="120"/>
      <c r="C18" s="42">
        <f t="shared" si="0"/>
        <v>12153</v>
      </c>
      <c r="D18" s="42">
        <f t="shared" ref="D18:E18" si="11">SUM(D36+D54)</f>
        <v>11809</v>
      </c>
      <c r="E18" s="42">
        <f t="shared" si="11"/>
        <v>11894</v>
      </c>
      <c r="F18" s="42">
        <f t="shared" ref="F18:G18" si="12">SUM(F36+F54)</f>
        <v>12433</v>
      </c>
      <c r="G18" s="44">
        <f t="shared" si="12"/>
        <v>13659</v>
      </c>
      <c r="H18" s="153">
        <f>IF('AW Schüler'!$B48=0,"x",C18/'AW Schüler'!$B48)</f>
        <v>0.50570073235685753</v>
      </c>
      <c r="I18" s="153">
        <f>IF('AW Schüler'!$E48=0,"x",D18/'AW Schüler'!$E48)</f>
        <v>0.51787045564180156</v>
      </c>
      <c r="J18" s="153">
        <f>IF('AW Schüler'!$H48=0,"x",E18/'AW Schüler'!$H48)</f>
        <v>0.53914147137482438</v>
      </c>
      <c r="K18" s="153">
        <f>IF('AW Schüler'!$K48=0,"x",F18/'AW Schüler'!$K48)</f>
        <v>0.55529254131308625</v>
      </c>
      <c r="L18" s="154">
        <f>IF('AW Schüler'!$N48=0,"x",G18/'AW Schüler'!$N48)</f>
        <v>0.57842805115609386</v>
      </c>
    </row>
    <row r="19" spans="1:12" ht="9" customHeight="1">
      <c r="A19" s="21" t="s">
        <v>87</v>
      </c>
      <c r="B19" s="120"/>
      <c r="C19" s="149">
        <f t="shared" si="0"/>
        <v>0</v>
      </c>
      <c r="D19" s="149">
        <f t="shared" ref="D19:E19" si="13">SUM(D37+D55)</f>
        <v>0</v>
      </c>
      <c r="E19" s="149">
        <f t="shared" si="13"/>
        <v>0</v>
      </c>
      <c r="F19" s="149">
        <f t="shared" ref="F19:G19" si="14">SUM(F37+F55)</f>
        <v>0</v>
      </c>
      <c r="G19" s="150">
        <f t="shared" si="14"/>
        <v>0</v>
      </c>
      <c r="H19" s="153" t="str">
        <f>IF('AW Schüler'!$B49=0,"x",C19/'AW Schüler'!$B49)</f>
        <v>x</v>
      </c>
      <c r="I19" s="153" t="str">
        <f>IF('AW Schüler'!$E49=0,"x",D19/'AW Schüler'!$E49)</f>
        <v>x</v>
      </c>
      <c r="J19" s="153" t="str">
        <f>IF('AW Schüler'!$H49=0,"x",E19/'AW Schüler'!$H49)</f>
        <v>x</v>
      </c>
      <c r="K19" s="153" t="str">
        <f>IF('AW Schüler'!$K49=0,"x",F19/'AW Schüler'!$K49)</f>
        <v>x</v>
      </c>
      <c r="L19" s="154" t="str">
        <f>IF('AW Schüler'!$N49=0,"x",G19/'AW Schüler'!$N49)</f>
        <v>x</v>
      </c>
    </row>
    <row r="20" spans="1:12" ht="9" customHeight="1">
      <c r="A20" s="21" t="s">
        <v>88</v>
      </c>
      <c r="B20" s="120"/>
      <c r="C20" s="42">
        <f t="shared" si="0"/>
        <v>35398</v>
      </c>
      <c r="D20" s="42">
        <f t="shared" ref="D20:E20" si="15">SUM(D38+D56)</f>
        <v>30555</v>
      </c>
      <c r="E20" s="42">
        <f t="shared" si="15"/>
        <v>26054</v>
      </c>
      <c r="F20" s="42">
        <f t="shared" ref="F20:G20" si="16">SUM(F38+F56)</f>
        <v>21785</v>
      </c>
      <c r="G20" s="44">
        <f t="shared" si="16"/>
        <v>18031</v>
      </c>
      <c r="H20" s="153">
        <f>IF('AW Schüler'!$B50=0,"x",C20/'AW Schüler'!$B50)</f>
        <v>0.5524118666021629</v>
      </c>
      <c r="I20" s="153">
        <f>IF('AW Schüler'!$E50=0,"x",D20/'AW Schüler'!$E50)</f>
        <v>0.5503124831151055</v>
      </c>
      <c r="J20" s="153">
        <f>IF('AW Schüler'!$H50=0,"x",E20/'AW Schüler'!$H50)</f>
        <v>0.5525651629869992</v>
      </c>
      <c r="K20" s="153">
        <f>IF('AW Schüler'!$K50=0,"x",F20/'AW Schüler'!$K50)</f>
        <v>0.55602348136804491</v>
      </c>
      <c r="L20" s="154">
        <f>IF('AW Schüler'!$N50=0,"x",G20/'AW Schüler'!$N50)</f>
        <v>0.55510744412289881</v>
      </c>
    </row>
    <row r="21" spans="1:12" ht="9" customHeight="1">
      <c r="A21" s="21" t="s">
        <v>89</v>
      </c>
      <c r="B21" s="120"/>
      <c r="C21" s="42">
        <f t="shared" si="0"/>
        <v>82740</v>
      </c>
      <c r="D21" s="42">
        <f t="shared" ref="D21:E21" si="17">SUM(D39+D57)</f>
        <v>77692</v>
      </c>
      <c r="E21" s="42">
        <f t="shared" si="17"/>
        <v>69313</v>
      </c>
      <c r="F21" s="42">
        <f t="shared" ref="F21:G21" si="18">SUM(F39+F57)</f>
        <v>60520</v>
      </c>
      <c r="G21" s="44">
        <f t="shared" si="18"/>
        <v>51968</v>
      </c>
      <c r="H21" s="153">
        <f>IF('AW Schüler'!$B51=0,"x",C21/'AW Schüler'!$B51)</f>
        <v>0.52588760217117725</v>
      </c>
      <c r="I21" s="153">
        <f>IF('AW Schüler'!$E51=0,"x",D21/'AW Schüler'!$E51)</f>
        <v>0.563773973745891</v>
      </c>
      <c r="J21" s="153">
        <f>IF('AW Schüler'!$H51=0,"x",E21/'AW Schüler'!$H51)</f>
        <v>0.58995310199252693</v>
      </c>
      <c r="K21" s="153">
        <f>IF('AW Schüler'!$K51=0,"x",F21/'AW Schüler'!$K51)</f>
        <v>0.59417799813460315</v>
      </c>
      <c r="L21" s="154">
        <f>IF('AW Schüler'!$N51=0,"x",G21/'AW Schüler'!$N51)</f>
        <v>0.60091812074328466</v>
      </c>
    </row>
    <row r="22" spans="1:12" ht="9" customHeight="1">
      <c r="A22" s="21" t="s">
        <v>90</v>
      </c>
      <c r="B22" s="120"/>
      <c r="C22" s="42">
        <f t="shared" si="0"/>
        <v>459</v>
      </c>
      <c r="D22" s="149">
        <f t="shared" ref="D22:E22" si="19">SUM(D40+D58)</f>
        <v>0</v>
      </c>
      <c r="E22" s="149">
        <f t="shared" si="19"/>
        <v>0</v>
      </c>
      <c r="F22" s="149">
        <f t="shared" ref="F22:G22" si="20">SUM(F40+F58)</f>
        <v>0</v>
      </c>
      <c r="G22" s="150">
        <f t="shared" si="20"/>
        <v>0</v>
      </c>
      <c r="H22" s="153">
        <f>IF('AW Schüler'!$B52=0,"x",C22/'AW Schüler'!$B52)</f>
        <v>0.40298507462686567</v>
      </c>
      <c r="I22" s="153" t="str">
        <f>IF('AW Schüler'!$E52=0,"x",D22/'AW Schüler'!$E52)</f>
        <v>x</v>
      </c>
      <c r="J22" s="153" t="str">
        <f>IF('AW Schüler'!$H52=0,"x",E22/'AW Schüler'!$H52)</f>
        <v>x</v>
      </c>
      <c r="K22" s="153" t="str">
        <f>IF('AW Schüler'!$K52=0,"x",F22/'AW Schüler'!$K52)</f>
        <v>x</v>
      </c>
      <c r="L22" s="154" t="str">
        <f>IF('AW Schüler'!$N52=0,"x",G22/'AW Schüler'!$N52)</f>
        <v>x</v>
      </c>
    </row>
    <row r="23" spans="1:12" ht="9" customHeight="1">
      <c r="A23" s="21" t="s">
        <v>91</v>
      </c>
      <c r="B23" s="120"/>
      <c r="C23" s="149">
        <f t="shared" si="0"/>
        <v>0</v>
      </c>
      <c r="D23" s="149">
        <f t="shared" ref="D23:E23" si="21">SUM(D41+D59)</f>
        <v>0</v>
      </c>
      <c r="E23" s="149">
        <f t="shared" si="21"/>
        <v>0</v>
      </c>
      <c r="F23" s="149">
        <f t="shared" ref="F23:G23" si="22">SUM(F41+F59)</f>
        <v>0</v>
      </c>
      <c r="G23" s="150">
        <f t="shared" si="22"/>
        <v>0</v>
      </c>
      <c r="H23" s="153" t="str">
        <f>IF('AW Schüler'!$B53=0,"x",C23/'AW Schüler'!$B53)</f>
        <v>x</v>
      </c>
      <c r="I23" s="153" t="str">
        <f>IF('AW Schüler'!$E53=0,"x",D23/'AW Schüler'!$E53)</f>
        <v>x</v>
      </c>
      <c r="J23" s="153" t="str">
        <f>IF('AW Schüler'!$H53=0,"x",E23/'AW Schüler'!$H53)</f>
        <v>x</v>
      </c>
      <c r="K23" s="153" t="str">
        <f>IF('AW Schüler'!$K53=0,"x",F23/'AW Schüler'!$K53)</f>
        <v>x</v>
      </c>
      <c r="L23" s="154" t="str">
        <f>IF('AW Schüler'!$N53=0,"x",G23/'AW Schüler'!$N53)</f>
        <v>x</v>
      </c>
    </row>
    <row r="24" spans="1:12" ht="9" customHeight="1">
      <c r="A24" s="21" t="s">
        <v>92</v>
      </c>
      <c r="B24" s="120"/>
      <c r="C24" s="149">
        <f t="shared" si="0"/>
        <v>0</v>
      </c>
      <c r="D24" s="149">
        <f t="shared" ref="D24:E24" si="23">SUM(D42+D60)</f>
        <v>0</v>
      </c>
      <c r="E24" s="149">
        <f t="shared" si="23"/>
        <v>0</v>
      </c>
      <c r="F24" s="149">
        <f t="shared" ref="F24:G24" si="24">SUM(F42+F60)</f>
        <v>0</v>
      </c>
      <c r="G24" s="150">
        <f t="shared" si="24"/>
        <v>0</v>
      </c>
      <c r="H24" s="153" t="str">
        <f>IF('AW Schüler'!$B54=0,"x",C24/'AW Schüler'!$B54)</f>
        <v>x</v>
      </c>
      <c r="I24" s="153" t="str">
        <f>IF('AW Schüler'!$E54=0,"x",D24/'AW Schüler'!$E54)</f>
        <v>x</v>
      </c>
      <c r="J24" s="153" t="str">
        <f>IF('AW Schüler'!$H54=0,"x",E24/'AW Schüler'!$H54)</f>
        <v>x</v>
      </c>
      <c r="K24" s="153" t="str">
        <f>IF('AW Schüler'!$K54=0,"x",F24/'AW Schüler'!$K54)</f>
        <v>x</v>
      </c>
      <c r="L24" s="154" t="str">
        <f>IF('AW Schüler'!$N54=0,"x",G24/'AW Schüler'!$N54)</f>
        <v>x</v>
      </c>
    </row>
    <row r="25" spans="1:12" ht="9" customHeight="1">
      <c r="A25" s="21" t="s">
        <v>93</v>
      </c>
      <c r="B25" s="120"/>
      <c r="C25" s="149">
        <f t="shared" si="0"/>
        <v>0</v>
      </c>
      <c r="D25" s="149">
        <f t="shared" ref="D25:E25" si="25">SUM(D43+D61)</f>
        <v>0</v>
      </c>
      <c r="E25" s="149">
        <f t="shared" si="25"/>
        <v>0</v>
      </c>
      <c r="F25" s="149">
        <f t="shared" ref="F25:G25" si="26">SUM(F43+F61)</f>
        <v>0</v>
      </c>
      <c r="G25" s="150">
        <f t="shared" si="26"/>
        <v>0</v>
      </c>
      <c r="H25" s="153" t="str">
        <f>IF('AW Schüler'!$B55=0,"x",C25/'AW Schüler'!$B55)</f>
        <v>x</v>
      </c>
      <c r="I25" s="153" t="str">
        <f>IF('AW Schüler'!$E55=0,"x",D25/'AW Schüler'!$E55)</f>
        <v>x</v>
      </c>
      <c r="J25" s="153" t="str">
        <f>IF('AW Schüler'!$H55=0,"x",E25/'AW Schüler'!$H55)</f>
        <v>x</v>
      </c>
      <c r="K25" s="153" t="str">
        <f>IF('AW Schüler'!$K55=0,"x",F25/'AW Schüler'!$K55)</f>
        <v>x</v>
      </c>
      <c r="L25" s="154" t="str">
        <f>IF('AW Schüler'!$N55=0,"x",G25/'AW Schüler'!$N55)</f>
        <v>x</v>
      </c>
    </row>
    <row r="26" spans="1:12" ht="9" customHeight="1">
      <c r="A26" s="21" t="s">
        <v>94</v>
      </c>
      <c r="B26" s="120"/>
      <c r="C26" s="42">
        <f t="shared" si="0"/>
        <v>1013</v>
      </c>
      <c r="D26" s="42">
        <f t="shared" ref="D26:E26" si="27">SUM(D44+D62)</f>
        <v>230</v>
      </c>
      <c r="E26" s="42">
        <f t="shared" si="27"/>
        <v>26</v>
      </c>
      <c r="F26" s="149">
        <f t="shared" ref="F26:G26" si="28">SUM(F44+F62)</f>
        <v>0</v>
      </c>
      <c r="G26" s="150">
        <f t="shared" si="28"/>
        <v>0</v>
      </c>
      <c r="H26" s="153">
        <f>IF('AW Schüler'!$B56=0,"x",C26/'AW Schüler'!$B56)</f>
        <v>0.25130240635078144</v>
      </c>
      <c r="I26" s="153">
        <f>IF('AW Schüler'!$E56=0,"x",D26/'AW Schüler'!$E56)</f>
        <v>0.25191675794085433</v>
      </c>
      <c r="J26" s="153">
        <f>IF('AW Schüler'!$H56=0,"x",E26/'AW Schüler'!$H56)</f>
        <v>0.28260869565217389</v>
      </c>
      <c r="K26" s="153" t="str">
        <f>IF('AW Schüler'!$K56=0,"x",F26/'AW Schüler'!$K56)</f>
        <v>x</v>
      </c>
      <c r="L26" s="154" t="str">
        <f>IF('AW Schüler'!$N56=0,"x",G26/'AW Schüler'!$N56)</f>
        <v>x</v>
      </c>
    </row>
    <row r="27" spans="1:12" ht="9" customHeight="1">
      <c r="A27" s="21" t="s">
        <v>95</v>
      </c>
      <c r="B27" s="120"/>
      <c r="C27" s="149">
        <f t="shared" ref="C27:D28" si="29">SUM(C45+C63)</f>
        <v>0</v>
      </c>
      <c r="D27" s="149">
        <f t="shared" si="29"/>
        <v>0</v>
      </c>
      <c r="E27" s="149">
        <f t="shared" ref="E27:F27" si="30">SUM(E45+E63)</f>
        <v>0</v>
      </c>
      <c r="F27" s="149">
        <f t="shared" si="30"/>
        <v>0</v>
      </c>
      <c r="G27" s="150">
        <f t="shared" ref="G27" si="31">SUM(G45+G63)</f>
        <v>0</v>
      </c>
      <c r="H27" s="153" t="str">
        <f>IF('AW Schüler'!$B57=0,"x",C27/'AW Schüler'!$B57)</f>
        <v>x</v>
      </c>
      <c r="I27" s="153" t="str">
        <f>IF('AW Schüler'!$E57=0,"x",D27/'AW Schüler'!$E57)</f>
        <v>x</v>
      </c>
      <c r="J27" s="153" t="str">
        <f>IF('AW Schüler'!$H57=0,"x",E27/'AW Schüler'!$H57)</f>
        <v>x</v>
      </c>
      <c r="K27" s="153" t="str">
        <f>IF('AW Schüler'!$K57=0,"x",F27/'AW Schüler'!$K57)</f>
        <v>x</v>
      </c>
      <c r="L27" s="154" t="str">
        <f>IF('AW Schüler'!$N57=0,"x",G27/'AW Schüler'!$N57)</f>
        <v>x</v>
      </c>
    </row>
    <row r="28" spans="1:12" ht="9" customHeight="1">
      <c r="A28" s="21" t="s">
        <v>96</v>
      </c>
      <c r="B28" s="120"/>
      <c r="C28" s="42">
        <f t="shared" si="29"/>
        <v>231739</v>
      </c>
      <c r="D28" s="42">
        <f t="shared" si="29"/>
        <v>221296</v>
      </c>
      <c r="E28" s="42">
        <f t="shared" ref="E28:F28" si="32">SUM(E46+E64)</f>
        <v>202941</v>
      </c>
      <c r="F28" s="42">
        <f t="shared" si="32"/>
        <v>187081</v>
      </c>
      <c r="G28" s="44">
        <f t="shared" ref="G28" si="33">SUM(G46+G64)</f>
        <v>169641</v>
      </c>
      <c r="H28" s="153">
        <f>IF('AW Schüler'!$B58=0,"x",C28/'AW Schüler'!$B58)</f>
        <v>0.3963810022287334</v>
      </c>
      <c r="I28" s="153">
        <f>IF('AW Schüler'!$E58=0,"x",D28/'AW Schüler'!$E58)</f>
        <v>0.41659246430285862</v>
      </c>
      <c r="J28" s="153">
        <f>IF('AW Schüler'!$H58=0,"x",E28/'AW Schüler'!$H58)</f>
        <v>0.41769697668243949</v>
      </c>
      <c r="K28" s="153">
        <f>IF('AW Schüler'!$K58=0,"x",F28/'AW Schüler'!$K58)</f>
        <v>0.41799084839981054</v>
      </c>
      <c r="L28" s="154">
        <f>IF('AW Schüler'!$N58=0,"x",G28/'AW Schüler'!$N58)</f>
        <v>0.41236253852810484</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[1]GtS!$E$26</f>
        <v>42750</v>
      </c>
      <c r="D30" s="23">
        <f>[2]GtS!$E$28</f>
        <v>39577</v>
      </c>
      <c r="E30" s="23">
        <f>[3]GtS!$E$28</f>
        <v>34663</v>
      </c>
      <c r="F30" s="23">
        <f>[4]GtS!$E$28</f>
        <v>31809</v>
      </c>
      <c r="G30" s="34">
        <f>[5]GtS!$E$28</f>
        <v>25048</v>
      </c>
      <c r="H30" s="155">
        <f>IF('AW Schüler'!$B42=0,"x",C30/'AW Schüler'!$B42)</f>
        <v>0.31340033869229583</v>
      </c>
      <c r="I30" s="155">
        <f>IF('AW Schüler'!$E42=0,"x",D30/'AW Schüler'!$E42)</f>
        <v>0.32350008173941475</v>
      </c>
      <c r="J30" s="155">
        <f>IF('AW Schüler'!$H42=0,"x",E30/'AW Schüler'!$H42)</f>
        <v>0.31619900751660218</v>
      </c>
      <c r="K30" s="155">
        <f>IF('AW Schüler'!$K42=0,"x",F30/'AW Schüler'!$K42)</f>
        <v>0.33270576422228498</v>
      </c>
      <c r="L30" s="156">
        <f>IF('AW Schüler'!$N42=0,"x",G30/'AW Schüler'!$N42)</f>
        <v>0.31386111319950882</v>
      </c>
    </row>
    <row r="31" spans="1:12" ht="9" customHeight="1">
      <c r="A31" s="21" t="s">
        <v>81</v>
      </c>
      <c r="B31" s="120"/>
      <c r="C31" s="23">
        <f>[6]GtS!$E$26</f>
        <v>29728</v>
      </c>
      <c r="D31" s="23">
        <f>[7]GtS!$E$28</f>
        <v>32928</v>
      </c>
      <c r="E31" s="23">
        <f>[8]GtS!$E$28</f>
        <v>33458</v>
      </c>
      <c r="F31" s="23">
        <f>[9]GtS!$E$28</f>
        <v>33596</v>
      </c>
      <c r="G31" s="34">
        <f>[10]GtS!$E$28</f>
        <v>34216</v>
      </c>
      <c r="H31" s="155">
        <f>IF('AW Schüler'!$B43=0,"x",C31/'AW Schüler'!$B43)</f>
        <v>0.15226154074665929</v>
      </c>
      <c r="I31" s="155">
        <f>IF('AW Schüler'!$E43=0,"x",D31/'AW Schüler'!$E43)</f>
        <v>0.17166182703486099</v>
      </c>
      <c r="J31" s="155">
        <f>IF('AW Schüler'!$H43=0,"x",E31/'AW Schüler'!$H43)</f>
        <v>0.17661528716216215</v>
      </c>
      <c r="K31" s="155">
        <f>IF('AW Schüler'!$K43=0,"x",F31/'AW Schüler'!$K43)</f>
        <v>0.17819030444468018</v>
      </c>
      <c r="L31" s="156">
        <f>IF('AW Schüler'!$N43=0,"x",G31/'AW Schüler'!$N43)</f>
        <v>0.18103224782413163</v>
      </c>
    </row>
    <row r="32" spans="1:12" ht="9" customHeight="1">
      <c r="A32" s="21" t="s">
        <v>82</v>
      </c>
      <c r="B32" s="120"/>
      <c r="C32" s="23">
        <f>[11]GtS!$E$26</f>
        <v>0</v>
      </c>
      <c r="D32" s="23">
        <f>[12]GtS!$E$28</f>
        <v>0</v>
      </c>
      <c r="E32" s="23">
        <f>[13]GtS!$E$28</f>
        <v>0</v>
      </c>
      <c r="F32" s="23">
        <f>[14]GtS!$E$28</f>
        <v>0</v>
      </c>
      <c r="G32" s="34">
        <f>[15]GtS!$E$28</f>
        <v>0</v>
      </c>
      <c r="H32" s="193">
        <f>IF('AW Schüler'!$B44=0,"x",C32/'AW Schüler'!$B44)</f>
        <v>0</v>
      </c>
      <c r="I32" s="193" t="str">
        <f>IF('AW Schüler'!$E44=0,"x",D32/'AW Schüler'!$E44)</f>
        <v>x</v>
      </c>
      <c r="J32" s="193" t="str">
        <f>IF('AW Schüler'!$H44=0,"x",E32/'AW Schüler'!$H44)</f>
        <v>x</v>
      </c>
      <c r="K32" s="193" t="str">
        <f>IF('AW Schüler'!$K44=0,"x",F32/'AW Schüler'!$K44)</f>
        <v>x</v>
      </c>
      <c r="L32" s="194" t="str">
        <f>IF('AW Schüler'!$N44=0,"x",G32/'AW Schüler'!$N44)</f>
        <v>x</v>
      </c>
    </row>
    <row r="33" spans="1:12" ht="9" customHeight="1">
      <c r="A33" s="21" t="s">
        <v>83</v>
      </c>
      <c r="B33" s="120"/>
      <c r="C33" s="151">
        <f>[16]GtS!$E$26</f>
        <v>0</v>
      </c>
      <c r="D33" s="151">
        <f>[17]GtS!$E$28</f>
        <v>0</v>
      </c>
      <c r="E33" s="151">
        <f>[18]GtS!$E$28</f>
        <v>0</v>
      </c>
      <c r="F33" s="151">
        <f>[19]GtS!$E$28</f>
        <v>0</v>
      </c>
      <c r="G33" s="152">
        <f>[20]GtS!$E$28</f>
        <v>0</v>
      </c>
      <c r="H33" s="155" t="str">
        <f>IF('AW Schüler'!$B45=0,"x",C33/'AW Schüler'!$B45)</f>
        <v>x</v>
      </c>
      <c r="I33" s="155" t="str">
        <f>IF('AW Schüler'!$E45=0,"x",D33/'AW Schüler'!$E45)</f>
        <v>x</v>
      </c>
      <c r="J33" s="155" t="str">
        <f>IF('AW Schüler'!$H45=0,"x",E33/'AW Schüler'!$H45)</f>
        <v>x</v>
      </c>
      <c r="K33" s="155" t="str">
        <f>IF('AW Schüler'!$K45=0,"x",F33/'AW Schüler'!$K45)</f>
        <v>x</v>
      </c>
      <c r="L33" s="156" t="str">
        <f>IF('AW Schüler'!$N45=0,"x",G33/'AW Schüler'!$N45)</f>
        <v>x</v>
      </c>
    </row>
    <row r="34" spans="1:12" ht="9" customHeight="1">
      <c r="A34" s="21" t="s">
        <v>84</v>
      </c>
      <c r="B34" s="120"/>
      <c r="C34" s="151">
        <f>[21]GtS!$E$26</f>
        <v>0</v>
      </c>
      <c r="D34" s="151">
        <f>[22]GtS!$E$28</f>
        <v>0</v>
      </c>
      <c r="E34" s="151">
        <f>[23]GtS!$E$28</f>
        <v>0</v>
      </c>
      <c r="F34" s="151">
        <f>[24]GtS!$E$28</f>
        <v>0</v>
      </c>
      <c r="G34" s="152">
        <f>[25]GtS!$E$28</f>
        <v>0</v>
      </c>
      <c r="H34" s="155" t="str">
        <f>IF('AW Schüler'!$B46=0,"x",C34/'AW Schüler'!$B46)</f>
        <v>x</v>
      </c>
      <c r="I34" s="155" t="str">
        <f>IF('AW Schüler'!$E46=0,"x",D34/'AW Schüler'!$E46)</f>
        <v>x</v>
      </c>
      <c r="J34" s="155" t="str">
        <f>IF('AW Schüler'!$H46=0,"x",E34/'AW Schüler'!$H46)</f>
        <v>x</v>
      </c>
      <c r="K34" s="155" t="str">
        <f>IF('AW Schüler'!$K46=0,"x",F34/'AW Schüler'!$K46)</f>
        <v>x</v>
      </c>
      <c r="L34" s="156" t="str">
        <f>IF('AW Schüler'!$N46=0,"x",G34/'AW Schüler'!$N46)</f>
        <v>x</v>
      </c>
    </row>
    <row r="35" spans="1:12" ht="9" customHeight="1">
      <c r="A35" s="21" t="s">
        <v>85</v>
      </c>
      <c r="B35" s="120"/>
      <c r="C35" s="151">
        <f>[26]GtS!$E$26</f>
        <v>0</v>
      </c>
      <c r="D35" s="151">
        <f>[27]GtS!$E$28</f>
        <v>0</v>
      </c>
      <c r="E35" s="151">
        <f>[28]GtS!$E$28</f>
        <v>0</v>
      </c>
      <c r="F35" s="151">
        <f>[29]GtS!$E$28</f>
        <v>0</v>
      </c>
      <c r="G35" s="152">
        <f>[30]GtS!$E$28</f>
        <v>0</v>
      </c>
      <c r="H35" s="155" t="str">
        <f>IF('AW Schüler'!$B47=0,"x",C35/'AW Schüler'!$B47)</f>
        <v>x</v>
      </c>
      <c r="I35" s="155" t="str">
        <f>IF('AW Schüler'!$E47=0,"x",D35/'AW Schüler'!$E47)</f>
        <v>x</v>
      </c>
      <c r="J35" s="155" t="str">
        <f>IF('AW Schüler'!$H47=0,"x",E35/'AW Schüler'!$H47)</f>
        <v>x</v>
      </c>
      <c r="K35" s="155" t="str">
        <f>IF('AW Schüler'!$K47=0,"x",F35/'AW Schüler'!$K47)</f>
        <v>x</v>
      </c>
      <c r="L35" s="156" t="str">
        <f>IF('AW Schüler'!$N47=0,"x",G35/'AW Schüler'!$N47)</f>
        <v>x</v>
      </c>
    </row>
    <row r="36" spans="1:12" ht="9" customHeight="1">
      <c r="A36" s="21" t="s">
        <v>86</v>
      </c>
      <c r="B36" s="120"/>
      <c r="C36" s="23">
        <f>[66]GtS!$E$26</f>
        <v>983</v>
      </c>
      <c r="D36" s="23">
        <f>[67]GtS!$E$28</f>
        <v>931</v>
      </c>
      <c r="E36" s="23">
        <f>[68]GtS!$E$28</f>
        <v>962</v>
      </c>
      <c r="F36" s="23">
        <f>[69]GtS!$E$28</f>
        <v>1036</v>
      </c>
      <c r="G36" s="34">
        <f>[70]GtS!$E$28</f>
        <v>1302</v>
      </c>
      <c r="H36" s="155">
        <f>IF('AW Schüler'!$B48=0,"x",C36/'AW Schüler'!$B48)</f>
        <v>4.0903794940079896E-2</v>
      </c>
      <c r="I36" s="155">
        <f>IF('AW Schüler'!$E48=0,"x",D36/'AW Schüler'!$E48)</f>
        <v>4.0827961233171076E-2</v>
      </c>
      <c r="J36" s="155">
        <f>IF('AW Schüler'!$H48=0,"x",E36/'AW Schüler'!$H48)</f>
        <v>4.3606364172068354E-2</v>
      </c>
      <c r="K36" s="155">
        <f>IF('AW Schüler'!$K48=0,"x",F36/'AW Schüler'!$K48)</f>
        <v>4.62706565430996E-2</v>
      </c>
      <c r="L36" s="156">
        <f>IF('AW Schüler'!$N48=0,"x",G36/'AW Schüler'!$N48)</f>
        <v>5.5136783264165323E-2</v>
      </c>
    </row>
    <row r="37" spans="1:12" ht="9" customHeight="1">
      <c r="A37" s="21" t="s">
        <v>87</v>
      </c>
      <c r="B37" s="120"/>
      <c r="C37" s="151">
        <f>[31]GtS!$E$26</f>
        <v>0</v>
      </c>
      <c r="D37" s="151">
        <f>[32]GtS!$E$28</f>
        <v>0</v>
      </c>
      <c r="E37" s="151">
        <f>[33]GtS!$E$28</f>
        <v>0</v>
      </c>
      <c r="F37" s="151">
        <f>[34]GtS!$E$28</f>
        <v>0</v>
      </c>
      <c r="G37" s="152">
        <f>[35]GtS!$E$28</f>
        <v>0</v>
      </c>
      <c r="H37" s="155" t="str">
        <f>IF('AW Schüler'!$B49=0,"x",C37/'AW Schüler'!$B49)</f>
        <v>x</v>
      </c>
      <c r="I37" s="155" t="str">
        <f>IF('AW Schüler'!$E49=0,"x",D37/'AW Schüler'!$E49)</f>
        <v>x</v>
      </c>
      <c r="J37" s="155" t="str">
        <f>IF('AW Schüler'!$H49=0,"x",E37/'AW Schüler'!$H49)</f>
        <v>x</v>
      </c>
      <c r="K37" s="155" t="str">
        <f>IF('AW Schüler'!$K49=0,"x",F37/'AW Schüler'!$K49)</f>
        <v>x</v>
      </c>
      <c r="L37" s="156" t="str">
        <f>IF('AW Schüler'!$N49=0,"x",G37/'AW Schüler'!$N49)</f>
        <v>x</v>
      </c>
    </row>
    <row r="38" spans="1:12" ht="9" customHeight="1">
      <c r="A38" s="21" t="s">
        <v>88</v>
      </c>
      <c r="B38" s="120"/>
      <c r="C38" s="23">
        <f>[71]GtS!$E$26</f>
        <v>13563</v>
      </c>
      <c r="D38" s="23">
        <f>[72]GtS!$E$28</f>
        <v>11930</v>
      </c>
      <c r="E38" s="23">
        <f>[73]GtS!$E$28</f>
        <v>11061</v>
      </c>
      <c r="F38" s="23">
        <f>[74]GtS!$E$28</f>
        <v>9710</v>
      </c>
      <c r="G38" s="34">
        <f>[75]GtS!$E$28</f>
        <v>8431</v>
      </c>
      <c r="H38" s="155">
        <f>IF('AW Schüler'!$B50=0,"x",C38/'AW Schüler'!$B50)</f>
        <v>0.21166060643892695</v>
      </c>
      <c r="I38" s="155">
        <f>IF('AW Schüler'!$E50=0,"x",D38/'AW Schüler'!$E50)</f>
        <v>0.21486591142409453</v>
      </c>
      <c r="J38" s="155">
        <f>IF('AW Schüler'!$H50=0,"x",E38/'AW Schüler'!$H50)</f>
        <v>0.23458675319717504</v>
      </c>
      <c r="K38" s="155">
        <f>IF('AW Schüler'!$K50=0,"x",F38/'AW Schüler'!$K50)</f>
        <v>0.2478305257784584</v>
      </c>
      <c r="L38" s="156">
        <f>IF('AW Schüler'!$N50=0,"x",G38/'AW Schüler'!$N50)</f>
        <v>0.25955914044701683</v>
      </c>
    </row>
    <row r="39" spans="1:12" ht="9" customHeight="1">
      <c r="A39" s="21" t="s">
        <v>89</v>
      </c>
      <c r="B39" s="120"/>
      <c r="C39" s="23">
        <f>[36]GtS!$E$26</f>
        <v>82740</v>
      </c>
      <c r="D39" s="23">
        <f>[37]GtS!$E$28</f>
        <v>77692</v>
      </c>
      <c r="E39" s="23">
        <f>[38]GtS!$E$28</f>
        <v>69313</v>
      </c>
      <c r="F39" s="23">
        <f>[39]GtS!$E$28</f>
        <v>60520</v>
      </c>
      <c r="G39" s="34">
        <f>[40]GtS!$E$28</f>
        <v>51968</v>
      </c>
      <c r="H39" s="155">
        <f>IF('AW Schüler'!$B51=0,"x",C39/'AW Schüler'!$B51)</f>
        <v>0.52588760217117725</v>
      </c>
      <c r="I39" s="155">
        <f>IF('AW Schüler'!$E51=0,"x",D39/'AW Schüler'!$E51)</f>
        <v>0.563773973745891</v>
      </c>
      <c r="J39" s="155">
        <f>IF('AW Schüler'!$H51=0,"x",E39/'AW Schüler'!$H51)</f>
        <v>0.58995310199252693</v>
      </c>
      <c r="K39" s="155">
        <f>IF('AW Schüler'!$K51=0,"x",F39/'AW Schüler'!$K51)</f>
        <v>0.59417799813460315</v>
      </c>
      <c r="L39" s="156">
        <f>IF('AW Schüler'!$N51=0,"x",G39/'AW Schüler'!$N51)</f>
        <v>0.60091812074328466</v>
      </c>
    </row>
    <row r="40" spans="1:12" ht="9" customHeight="1">
      <c r="A40" s="21" t="s">
        <v>90</v>
      </c>
      <c r="B40" s="120"/>
      <c r="C40" s="23">
        <f>[41]GtS!$E$26</f>
        <v>459</v>
      </c>
      <c r="D40" s="151">
        <f>[42]GtS!$E$28</f>
        <v>0</v>
      </c>
      <c r="E40" s="151">
        <f>[43]GtS!$E$28</f>
        <v>0</v>
      </c>
      <c r="F40" s="151">
        <f>[44]GtS!$E$28</f>
        <v>0</v>
      </c>
      <c r="G40" s="152">
        <f>[45]GtS!$E$28</f>
        <v>0</v>
      </c>
      <c r="H40" s="155">
        <f>IF('AW Schüler'!$B52=0,"x",C40/'AW Schüler'!$B52)</f>
        <v>0.40298507462686567</v>
      </c>
      <c r="I40" s="155" t="str">
        <f>IF('AW Schüler'!$E52=0,"x",D40/'AW Schüler'!$E52)</f>
        <v>x</v>
      </c>
      <c r="J40" s="155" t="str">
        <f>IF('AW Schüler'!$H52=0,"x",E40/'AW Schüler'!$H52)</f>
        <v>x</v>
      </c>
      <c r="K40" s="155" t="str">
        <f>IF('AW Schüler'!$K52=0,"x",F40/'AW Schüler'!$K52)</f>
        <v>x</v>
      </c>
      <c r="L40" s="156" t="str">
        <f>IF('AW Schüler'!$N52=0,"x",G40/'AW Schüler'!$N52)</f>
        <v>x</v>
      </c>
    </row>
    <row r="41" spans="1:12" ht="9" customHeight="1">
      <c r="A41" s="21" t="s">
        <v>91</v>
      </c>
      <c r="B41" s="120"/>
      <c r="C41" s="151">
        <f>[46]GtS!$E$26</f>
        <v>0</v>
      </c>
      <c r="D41" s="151">
        <f>[47]GtS!$E$28</f>
        <v>0</v>
      </c>
      <c r="E41" s="151">
        <f>[48]GtS!$E$28</f>
        <v>0</v>
      </c>
      <c r="F41" s="151">
        <f>[49]GtS!$E$28</f>
        <v>0</v>
      </c>
      <c r="G41" s="152">
        <f>[50]GtS!$E$28</f>
        <v>0</v>
      </c>
      <c r="H41" s="155" t="str">
        <f>IF('AW Schüler'!$B53=0,"x",C41/'AW Schüler'!$B53)</f>
        <v>x</v>
      </c>
      <c r="I41" s="155" t="str">
        <f>IF('AW Schüler'!$E53=0,"x",D41/'AW Schüler'!$E53)</f>
        <v>x</v>
      </c>
      <c r="J41" s="155" t="str">
        <f>IF('AW Schüler'!$H53=0,"x",E41/'AW Schüler'!$H53)</f>
        <v>x</v>
      </c>
      <c r="K41" s="155" t="str">
        <f>IF('AW Schüler'!$K53=0,"x",F41/'AW Schüler'!$K53)</f>
        <v>x</v>
      </c>
      <c r="L41" s="156" t="str">
        <f>IF('AW Schüler'!$N53=0,"x",G41/'AW Schüler'!$N53)</f>
        <v>x</v>
      </c>
    </row>
    <row r="42" spans="1:12" ht="9" customHeight="1">
      <c r="A42" s="21" t="s">
        <v>92</v>
      </c>
      <c r="B42" s="120"/>
      <c r="C42" s="151">
        <f>[51]GtS!$E$26</f>
        <v>0</v>
      </c>
      <c r="D42" s="151">
        <f>[52]GtS!$E$28</f>
        <v>0</v>
      </c>
      <c r="E42" s="151">
        <f>[53]GtS!$E$28</f>
        <v>0</v>
      </c>
      <c r="F42" s="151">
        <f>[54]GtS!$E$28</f>
        <v>0</v>
      </c>
      <c r="G42" s="152">
        <f>[55]GtS!$E$28</f>
        <v>0</v>
      </c>
      <c r="H42" s="155" t="str">
        <f>IF('AW Schüler'!$B54=0,"x",C42/'AW Schüler'!$B54)</f>
        <v>x</v>
      </c>
      <c r="I42" s="155" t="str">
        <f>IF('AW Schüler'!$E54=0,"x",D42/'AW Schüler'!$E54)</f>
        <v>x</v>
      </c>
      <c r="J42" s="155" t="str">
        <f>IF('AW Schüler'!$H54=0,"x",E42/'AW Schüler'!$H54)</f>
        <v>x</v>
      </c>
      <c r="K42" s="155" t="str">
        <f>IF('AW Schüler'!$K54=0,"x",F42/'AW Schüler'!$K54)</f>
        <v>x</v>
      </c>
      <c r="L42" s="156" t="str">
        <f>IF('AW Schüler'!$N54=0,"x",G42/'AW Schüler'!$N54)</f>
        <v>x</v>
      </c>
    </row>
    <row r="43" spans="1:12" ht="9" customHeight="1">
      <c r="A43" s="21" t="s">
        <v>93</v>
      </c>
      <c r="B43" s="120"/>
      <c r="C43" s="151">
        <f>[76]GtS!$E$26</f>
        <v>0</v>
      </c>
      <c r="D43" s="151">
        <f>[77]GtS!$E$28</f>
        <v>0</v>
      </c>
      <c r="E43" s="151">
        <f>[78]GtS!$E$28</f>
        <v>0</v>
      </c>
      <c r="F43" s="151">
        <f>[79]GtS!$E$28</f>
        <v>0</v>
      </c>
      <c r="G43" s="152">
        <f>[80]GtS!$E$28</f>
        <v>0</v>
      </c>
      <c r="H43" s="155" t="str">
        <f>IF('AW Schüler'!$B55=0,"x",C43/'AW Schüler'!$B55)</f>
        <v>x</v>
      </c>
      <c r="I43" s="155" t="str">
        <f>IF('AW Schüler'!$E55=0,"x",D43/'AW Schüler'!$E55)</f>
        <v>x</v>
      </c>
      <c r="J43" s="155" t="str">
        <f>IF('AW Schüler'!$H55=0,"x",E43/'AW Schüler'!$H55)</f>
        <v>x</v>
      </c>
      <c r="K43" s="155" t="str">
        <f>IF('AW Schüler'!$K55=0,"x",F43/'AW Schüler'!$K55)</f>
        <v>x</v>
      </c>
      <c r="L43" s="156" t="str">
        <f>IF('AW Schüler'!$N55=0,"x",G43/'AW Schüler'!$N55)</f>
        <v>x</v>
      </c>
    </row>
    <row r="44" spans="1:12" ht="9" customHeight="1">
      <c r="A44" s="21" t="s">
        <v>94</v>
      </c>
      <c r="B44" s="120"/>
      <c r="C44" s="23">
        <f>[56]GtS!$E$26</f>
        <v>0</v>
      </c>
      <c r="D44" s="23">
        <f>[57]GtS!$E$28</f>
        <v>0</v>
      </c>
      <c r="E44" s="23">
        <f>[58]GtS!$E$28</f>
        <v>0</v>
      </c>
      <c r="F44" s="151">
        <f>[59]GtS!$E$28</f>
        <v>0</v>
      </c>
      <c r="G44" s="152">
        <f>[60]GtS!$E$28</f>
        <v>0</v>
      </c>
      <c r="H44" s="155">
        <f>IF('AW Schüler'!$B56=0,"x",C44/'AW Schüler'!$B56)</f>
        <v>0</v>
      </c>
      <c r="I44" s="155">
        <f>IF('AW Schüler'!$E56=0,"x",D44/'AW Schüler'!$E56)</f>
        <v>0</v>
      </c>
      <c r="J44" s="155">
        <f>IF('AW Schüler'!$H56=0,"x",E44/'AW Schüler'!$H56)</f>
        <v>0</v>
      </c>
      <c r="K44" s="155" t="str">
        <f>IF('AW Schüler'!$K56=0,"x",F44/'AW Schüler'!$K56)</f>
        <v>x</v>
      </c>
      <c r="L44" s="156" t="str">
        <f>IF('AW Schüler'!$N56=0,"x",G44/'AW Schüler'!$N56)</f>
        <v>x</v>
      </c>
    </row>
    <row r="45" spans="1:12" ht="9" customHeight="1">
      <c r="A45" s="21" t="s">
        <v>95</v>
      </c>
      <c r="B45" s="120"/>
      <c r="C45" s="151">
        <f>[61]GtS!$E$26</f>
        <v>0</v>
      </c>
      <c r="D45" s="151">
        <f>[62]GtS!$E$28</f>
        <v>0</v>
      </c>
      <c r="E45" s="151">
        <f>[63]GtS!$E$28</f>
        <v>0</v>
      </c>
      <c r="F45" s="151">
        <f>[64]GtS!$E$28</f>
        <v>0</v>
      </c>
      <c r="G45" s="152">
        <f>[65]GtS!$E$28</f>
        <v>0</v>
      </c>
      <c r="H45" s="155" t="str">
        <f>IF('AW Schüler'!$B57=0,"x",C45/'AW Schüler'!$B57)</f>
        <v>x</v>
      </c>
      <c r="I45" s="155" t="str">
        <f>IF('AW Schüler'!$E57=0,"x",D45/'AW Schüler'!$E57)</f>
        <v>x</v>
      </c>
      <c r="J45" s="155" t="str">
        <f>IF('AW Schüler'!$H57=0,"x",E45/'AW Schüler'!$H57)</f>
        <v>x</v>
      </c>
      <c r="K45" s="155" t="str">
        <f>IF('AW Schüler'!$K57=0,"x",F45/'AW Schüler'!$K57)</f>
        <v>x</v>
      </c>
      <c r="L45" s="156" t="str">
        <f>IF('AW Schüler'!$N57=0,"x",G45/'AW Schüler'!$N57)</f>
        <v>x</v>
      </c>
    </row>
    <row r="46" spans="1:12" ht="9" customHeight="1">
      <c r="A46" s="21" t="s">
        <v>96</v>
      </c>
      <c r="B46" s="120"/>
      <c r="C46" s="23">
        <f>SUM(C30:C45)</f>
        <v>170223</v>
      </c>
      <c r="D46" s="23">
        <f>SUM(D30:D45)</f>
        <v>163058</v>
      </c>
      <c r="E46" s="23">
        <f>SUM(E30:E45)</f>
        <v>149457</v>
      </c>
      <c r="F46" s="23">
        <f>SUM(F30:F45)</f>
        <v>136671</v>
      </c>
      <c r="G46" s="34">
        <f>SUM(G30:G45)</f>
        <v>120965</v>
      </c>
      <c r="H46" s="155">
        <f>IF('AW Schüler'!$B58=0,"x",C46/'AW Schüler'!$B58)</f>
        <v>0.29116015578897675</v>
      </c>
      <c r="I46" s="155">
        <f>IF('AW Schüler'!$E58=0,"x",D46/'AW Schüler'!$E58)</f>
        <v>0.30695870709048295</v>
      </c>
      <c r="J46" s="155">
        <f>IF('AW Schüler'!$H58=0,"x",E46/'AW Schüler'!$H58)</f>
        <v>0.3076152036504568</v>
      </c>
      <c r="K46" s="155">
        <f>IF('AW Schüler'!$K58=0,"x",F46/'AW Schüler'!$K58)</f>
        <v>0.30536092516958163</v>
      </c>
      <c r="L46" s="156">
        <f>IF('AW Schüler'!$N58=0,"x",G46/'AW Schüler'!$N58)</f>
        <v>0.29404114850214397</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[1]GtS!$H$26</f>
        <v>13687</v>
      </c>
      <c r="D48" s="23">
        <f>[2]GtS!$H$28</f>
        <v>12571</v>
      </c>
      <c r="E48" s="23">
        <f>[3]GtS!$H$28</f>
        <v>11055</v>
      </c>
      <c r="F48" s="23">
        <f>[4]GtS!$H$28</f>
        <v>9552</v>
      </c>
      <c r="G48" s="34">
        <f>[5]GtS!$H$28</f>
        <v>7974</v>
      </c>
      <c r="H48" s="155">
        <f>IF('AW Schüler'!$B42=0,"x",C48/'AW Schüler'!$B42)</f>
        <v>0.10033942539605739</v>
      </c>
      <c r="I48" s="155">
        <f>IF('AW Schüler'!$E42=0,"x",D48/'AW Schüler'!$E42)</f>
        <v>0.10275461827693314</v>
      </c>
      <c r="J48" s="155">
        <f>IF('AW Schüler'!$H42=0,"x",E48/'AW Schüler'!$H42)</f>
        <v>0.10084470553893309</v>
      </c>
      <c r="K48" s="155">
        <f>IF('AW Schüler'!$K42=0,"x",F48/'AW Schüler'!$K42)</f>
        <v>9.9909002478897987E-2</v>
      </c>
      <c r="L48" s="156">
        <f>IF('AW Schüler'!$N42=0,"x",G48/'AW Schüler'!$N42)</f>
        <v>9.9917299451169089E-2</v>
      </c>
    </row>
    <row r="49" spans="1:12" ht="9" customHeight="1">
      <c r="A49" s="21" t="s">
        <v>81</v>
      </c>
      <c r="B49" s="120"/>
      <c r="C49" s="23">
        <f>[6]GtS!$H$26</f>
        <v>13811</v>
      </c>
      <c r="D49" s="23">
        <f>[7]GtS!$H$28</f>
        <v>15934</v>
      </c>
      <c r="E49" s="23">
        <f>[8]GtS!$H$28</f>
        <v>16478</v>
      </c>
      <c r="F49" s="23">
        <f>[9]GtS!$H$28</f>
        <v>17386</v>
      </c>
      <c r="G49" s="34">
        <f>[10]GtS!$H$28</f>
        <v>18745</v>
      </c>
      <c r="H49" s="155">
        <f>IF('AW Schüler'!$B43=0,"x",C49/'AW Schüler'!$B43)</f>
        <v>7.0737491228878888E-2</v>
      </c>
      <c r="I49" s="155">
        <f>IF('AW Schüler'!$E43=0,"x",D49/'AW Schüler'!$E43)</f>
        <v>8.3067892127474341E-2</v>
      </c>
      <c r="J49" s="155">
        <f>IF('AW Schüler'!$H43=0,"x",E49/'AW Schüler'!$H43)</f>
        <v>8.6982685810810811E-2</v>
      </c>
      <c r="K49" s="155">
        <f>IF('AW Schüler'!$K43=0,"x",F49/'AW Schüler'!$K43)</f>
        <v>9.2213853824122199E-2</v>
      </c>
      <c r="L49" s="156">
        <f>IF('AW Schüler'!$N43=0,"x",G49/'AW Schüler'!$N43)</f>
        <v>9.9177270442580887E-2</v>
      </c>
    </row>
    <row r="50" spans="1:12" ht="9" customHeight="1">
      <c r="A50" s="21" t="s">
        <v>82</v>
      </c>
      <c r="B50" s="120"/>
      <c r="C50" s="23">
        <f>[11]GtS!$H$26</f>
        <v>0</v>
      </c>
      <c r="D50" s="23">
        <f>[12]GtS!$H$28</f>
        <v>0</v>
      </c>
      <c r="E50" s="23">
        <f>[13]GtS!$H$28</f>
        <v>0</v>
      </c>
      <c r="F50" s="23">
        <f>[14]GtS!$H$28</f>
        <v>0</v>
      </c>
      <c r="G50" s="34">
        <f>[15]GtS!$H$28</f>
        <v>0</v>
      </c>
      <c r="H50" s="193">
        <f>IF('AW Schüler'!$B44=0,"x",C50/'AW Schüler'!$B44)</f>
        <v>0</v>
      </c>
      <c r="I50" s="193" t="str">
        <f>IF('AW Schüler'!$E44=0,"x",D50/'AW Schüler'!$E44)</f>
        <v>x</v>
      </c>
      <c r="J50" s="193" t="str">
        <f>IF('AW Schüler'!$H44=0,"x",E50/'AW Schüler'!$H44)</f>
        <v>x</v>
      </c>
      <c r="K50" s="193" t="str">
        <f>IF('AW Schüler'!$K44=0,"x",F50/'AW Schüler'!$K44)</f>
        <v>x</v>
      </c>
      <c r="L50" s="194" t="str">
        <f>IF('AW Schüler'!$N44=0,"x",G50/'AW Schüler'!$N44)</f>
        <v>x</v>
      </c>
    </row>
    <row r="51" spans="1:12" ht="9" customHeight="1">
      <c r="A51" s="21" t="s">
        <v>83</v>
      </c>
      <c r="B51" s="120"/>
      <c r="C51" s="151">
        <f>[16]GtS!$H$26</f>
        <v>0</v>
      </c>
      <c r="D51" s="151">
        <f>[17]GtS!$H$28</f>
        <v>0</v>
      </c>
      <c r="E51" s="151">
        <f>[18]GtS!$H$28</f>
        <v>0</v>
      </c>
      <c r="F51" s="151">
        <f>[19]GtS!$H$28</f>
        <v>0</v>
      </c>
      <c r="G51" s="152">
        <f>[20]GtS!$H$28</f>
        <v>0</v>
      </c>
      <c r="H51" s="155" t="str">
        <f>IF('AW Schüler'!$B45=0,"x",C51/'AW Schüler'!$B45)</f>
        <v>x</v>
      </c>
      <c r="I51" s="155" t="str">
        <f>IF('AW Schüler'!$E45=0,"x",D51/'AW Schüler'!$E45)</f>
        <v>x</v>
      </c>
      <c r="J51" s="155" t="str">
        <f>IF('AW Schüler'!$H45=0,"x",E51/'AW Schüler'!$H45)</f>
        <v>x</v>
      </c>
      <c r="K51" s="155" t="str">
        <f>IF('AW Schüler'!$K45=0,"x",F51/'AW Schüler'!$K45)</f>
        <v>x</v>
      </c>
      <c r="L51" s="156" t="str">
        <f>IF('AW Schüler'!$N45=0,"x",G51/'AW Schüler'!$N45)</f>
        <v>x</v>
      </c>
    </row>
    <row r="52" spans="1:12" ht="9" customHeight="1">
      <c r="A52" s="21" t="s">
        <v>84</v>
      </c>
      <c r="B52" s="120"/>
      <c r="C52" s="151">
        <f>[21]GtS!$H$26</f>
        <v>0</v>
      </c>
      <c r="D52" s="151">
        <f>[22]GtS!$H$28</f>
        <v>0</v>
      </c>
      <c r="E52" s="151">
        <f>[23]GtS!$H$28</f>
        <v>0</v>
      </c>
      <c r="F52" s="151">
        <f>[24]GtS!$H$28</f>
        <v>0</v>
      </c>
      <c r="G52" s="152">
        <f>[25]GtS!$H$28</f>
        <v>0</v>
      </c>
      <c r="H52" s="155" t="str">
        <f>IF('AW Schüler'!$B46=0,"x",C52/'AW Schüler'!$B46)</f>
        <v>x</v>
      </c>
      <c r="I52" s="155" t="str">
        <f>IF('AW Schüler'!$E46=0,"x",D52/'AW Schüler'!$E46)</f>
        <v>x</v>
      </c>
      <c r="J52" s="155" t="str">
        <f>IF('AW Schüler'!$H46=0,"x",E52/'AW Schüler'!$H46)</f>
        <v>x</v>
      </c>
      <c r="K52" s="155" t="str">
        <f>IF('AW Schüler'!$K46=0,"x",F52/'AW Schüler'!$K46)</f>
        <v>x</v>
      </c>
      <c r="L52" s="156" t="str">
        <f>IF('AW Schüler'!$N46=0,"x",G52/'AW Schüler'!$N46)</f>
        <v>x</v>
      </c>
    </row>
    <row r="53" spans="1:12" ht="9" customHeight="1">
      <c r="A53" s="21" t="s">
        <v>85</v>
      </c>
      <c r="B53" s="120"/>
      <c r="C53" s="151">
        <f>[26]GtS!$H$26</f>
        <v>0</v>
      </c>
      <c r="D53" s="151">
        <f>[27]GtS!$H$28</f>
        <v>0</v>
      </c>
      <c r="E53" s="151">
        <f>[28]GtS!$H$28</f>
        <v>0</v>
      </c>
      <c r="F53" s="151">
        <f>[29]GtS!$H$28</f>
        <v>0</v>
      </c>
      <c r="G53" s="152">
        <f>[30]GtS!$H$28</f>
        <v>0</v>
      </c>
      <c r="H53" s="155" t="str">
        <f>IF('AW Schüler'!$B47=0,"x",C53/'AW Schüler'!$B47)</f>
        <v>x</v>
      </c>
      <c r="I53" s="155" t="str">
        <f>IF('AW Schüler'!$E47=0,"x",D53/'AW Schüler'!$E47)</f>
        <v>x</v>
      </c>
      <c r="J53" s="155" t="str">
        <f>IF('AW Schüler'!$H47=0,"x",E53/'AW Schüler'!$H47)</f>
        <v>x</v>
      </c>
      <c r="K53" s="155" t="str">
        <f>IF('AW Schüler'!$K47=0,"x",F53/'AW Schüler'!$K47)</f>
        <v>x</v>
      </c>
      <c r="L53" s="156" t="str">
        <f>IF('AW Schüler'!$N47=0,"x",G53/'AW Schüler'!$N47)</f>
        <v>x</v>
      </c>
    </row>
    <row r="54" spans="1:12" ht="9" customHeight="1">
      <c r="A54" s="21" t="s">
        <v>114</v>
      </c>
      <c r="B54" s="120"/>
      <c r="C54" s="23">
        <f>[66]GtS!$H$26</f>
        <v>11170</v>
      </c>
      <c r="D54" s="23">
        <f>[67]GtS!$H$28</f>
        <v>10878</v>
      </c>
      <c r="E54" s="23">
        <f>[68]GtS!$H$28</f>
        <v>10932</v>
      </c>
      <c r="F54" s="23">
        <f>[69]GtS!$H$28</f>
        <v>11397</v>
      </c>
      <c r="G54" s="34">
        <f>[70]GtS!$H$28</f>
        <v>12357</v>
      </c>
      <c r="H54" s="155">
        <f>IF('AW Schüler'!$B48=0,"x",C54/'AW Schüler'!$B48)</f>
        <v>0.46479693741677763</v>
      </c>
      <c r="I54" s="155">
        <f>IF('AW Schüler'!$E48=0,"x",D54/'AW Schüler'!$E48)</f>
        <v>0.47704249440863045</v>
      </c>
      <c r="J54" s="155">
        <f>IF('AW Schüler'!$H48=0,"x",E54/'AW Schüler'!$H48)</f>
        <v>0.49553510720275601</v>
      </c>
      <c r="K54" s="155">
        <f>IF('AW Schüler'!$K48=0,"x",F54/'AW Schüler'!$K48)</f>
        <v>0.50902188476998655</v>
      </c>
      <c r="L54" s="156">
        <f>IF('AW Schüler'!$N48=0,"x",G54/'AW Schüler'!$N48)</f>
        <v>0.52329126789192848</v>
      </c>
    </row>
    <row r="55" spans="1:12" ht="9" customHeight="1">
      <c r="A55" s="21" t="s">
        <v>87</v>
      </c>
      <c r="B55" s="120"/>
      <c r="C55" s="151">
        <f>[31]GtS!$H$26</f>
        <v>0</v>
      </c>
      <c r="D55" s="151">
        <f>[32]GtS!$H$28</f>
        <v>0</v>
      </c>
      <c r="E55" s="151">
        <f>[33]GtS!$H$28</f>
        <v>0</v>
      </c>
      <c r="F55" s="151">
        <f>[34]GtS!$H$28</f>
        <v>0</v>
      </c>
      <c r="G55" s="152">
        <f>[35]GtS!$H$28</f>
        <v>0</v>
      </c>
      <c r="H55" s="155" t="str">
        <f>IF('AW Schüler'!$B49=0,"x",C55/'AW Schüler'!$B49)</f>
        <v>x</v>
      </c>
      <c r="I55" s="155" t="str">
        <f>IF('AW Schüler'!$E49=0,"x",D55/'AW Schüler'!$E49)</f>
        <v>x</v>
      </c>
      <c r="J55" s="155" t="str">
        <f>IF('AW Schüler'!$H49=0,"x",E55/'AW Schüler'!$H49)</f>
        <v>x</v>
      </c>
      <c r="K55" s="155" t="str">
        <f>IF('AW Schüler'!$K49=0,"x",F55/'AW Schüler'!$K49)</f>
        <v>x</v>
      </c>
      <c r="L55" s="156" t="str">
        <f>IF('AW Schüler'!$N49=0,"x",G55/'AW Schüler'!$N49)</f>
        <v>x</v>
      </c>
    </row>
    <row r="56" spans="1:12" ht="9" customHeight="1">
      <c r="A56" s="21" t="s">
        <v>88</v>
      </c>
      <c r="B56" s="120"/>
      <c r="C56" s="23">
        <f>[71]GtS!$H$26</f>
        <v>21835</v>
      </c>
      <c r="D56" s="23">
        <f>[72]GtS!$H$28</f>
        <v>18625</v>
      </c>
      <c r="E56" s="23">
        <f>[73]GtS!$H$28</f>
        <v>14993</v>
      </c>
      <c r="F56" s="23">
        <f>[74]GtS!$H$28</f>
        <v>12075</v>
      </c>
      <c r="G56" s="34">
        <f>[75]GtS!$H$28</f>
        <v>9600</v>
      </c>
      <c r="H56" s="155">
        <f>IF('AW Schüler'!$B50=0,"x",C56/'AW Schüler'!$B50)</f>
        <v>0.34075126016323598</v>
      </c>
      <c r="I56" s="155">
        <f>IF('AW Schüler'!$E50=0,"x",D56/'AW Schüler'!$E50)</f>
        <v>0.33544657169101094</v>
      </c>
      <c r="J56" s="155">
        <f>IF('AW Schüler'!$H50=0,"x",E56/'AW Schüler'!$H50)</f>
        <v>0.31797840978982417</v>
      </c>
      <c r="K56" s="155">
        <f>IF('AW Schüler'!$K50=0,"x",F56/'AW Schüler'!$K50)</f>
        <v>0.30819295558958654</v>
      </c>
      <c r="L56" s="156">
        <f>IF('AW Schüler'!$N50=0,"x",G56/'AW Schüler'!$N50)</f>
        <v>0.29554830367588203</v>
      </c>
    </row>
    <row r="57" spans="1:12" ht="9" customHeight="1">
      <c r="A57" s="21" t="s">
        <v>89</v>
      </c>
      <c r="B57" s="120"/>
      <c r="C57" s="23">
        <f>[36]GtS!$H$26</f>
        <v>0</v>
      </c>
      <c r="D57" s="23">
        <f>[37]GtS!$H$28</f>
        <v>0</v>
      </c>
      <c r="E57" s="23">
        <f>[38]GtS!$H$28</f>
        <v>0</v>
      </c>
      <c r="F57" s="23">
        <f>[39]GtS!$H$28</f>
        <v>0</v>
      </c>
      <c r="G57" s="34">
        <f>[40]GtS!$H$28</f>
        <v>0</v>
      </c>
      <c r="H57" s="155">
        <f>IF('AW Schüler'!$B51=0,"x",C57/'AW Schüler'!$B51)</f>
        <v>0</v>
      </c>
      <c r="I57" s="155">
        <f>IF('AW Schüler'!$E51=0,"x",D57/'AW Schüler'!$E51)</f>
        <v>0</v>
      </c>
      <c r="J57" s="155">
        <f>IF('AW Schüler'!$H51=0,"x",E57/'AW Schüler'!$H51)</f>
        <v>0</v>
      </c>
      <c r="K57" s="155">
        <f>IF('AW Schüler'!$K51=0,"x",F57/'AW Schüler'!$K51)</f>
        <v>0</v>
      </c>
      <c r="L57" s="156">
        <f>IF('AW Schüler'!$N51=0,"x",G57/'AW Schüler'!$N51)</f>
        <v>0</v>
      </c>
    </row>
    <row r="58" spans="1:12" ht="9" customHeight="1">
      <c r="A58" s="21" t="s">
        <v>90</v>
      </c>
      <c r="B58" s="120"/>
      <c r="C58" s="23">
        <f>[41]GtS!$H$26</f>
        <v>0</v>
      </c>
      <c r="D58" s="151">
        <f>[42]GtS!$H$28</f>
        <v>0</v>
      </c>
      <c r="E58" s="151">
        <f>[43]GtS!$H$28</f>
        <v>0</v>
      </c>
      <c r="F58" s="151">
        <f>[44]GtS!$H$28</f>
        <v>0</v>
      </c>
      <c r="G58" s="152">
        <f>[45]GtS!$H$28</f>
        <v>0</v>
      </c>
      <c r="H58" s="155">
        <f>IF('AW Schüler'!$B52=0,"x",C58/'AW Schüler'!$B52)</f>
        <v>0</v>
      </c>
      <c r="I58" s="155" t="str">
        <f>IF('AW Schüler'!$E52=0,"x",D58/'AW Schüler'!$E52)</f>
        <v>x</v>
      </c>
      <c r="J58" s="155" t="str">
        <f>IF('AW Schüler'!$H52=0,"x",E58/'AW Schüler'!$H52)</f>
        <v>x</v>
      </c>
      <c r="K58" s="155" t="str">
        <f>IF('AW Schüler'!$K52=0,"x",F58/'AW Schüler'!$K52)</f>
        <v>x</v>
      </c>
      <c r="L58" s="156" t="str">
        <f>IF('AW Schüler'!$N52=0,"x",G58/'AW Schüler'!$N52)</f>
        <v>x</v>
      </c>
    </row>
    <row r="59" spans="1:12" ht="9" customHeight="1">
      <c r="A59" s="21" t="s">
        <v>91</v>
      </c>
      <c r="B59" s="120"/>
      <c r="C59" s="151">
        <f>[46]GtS!$H$26</f>
        <v>0</v>
      </c>
      <c r="D59" s="151">
        <f>[47]GtS!$H$28</f>
        <v>0</v>
      </c>
      <c r="E59" s="151">
        <f>[48]GtS!$H$28</f>
        <v>0</v>
      </c>
      <c r="F59" s="151">
        <f>[49]GtS!$H$28</f>
        <v>0</v>
      </c>
      <c r="G59" s="152">
        <f>[50]GtS!$H$28</f>
        <v>0</v>
      </c>
      <c r="H59" s="155" t="str">
        <f>IF('AW Schüler'!$B53=0,"x",C59/'AW Schüler'!$B53)</f>
        <v>x</v>
      </c>
      <c r="I59" s="155" t="str">
        <f>IF('AW Schüler'!$E53=0,"x",D59/'AW Schüler'!$E53)</f>
        <v>x</v>
      </c>
      <c r="J59" s="155" t="str">
        <f>IF('AW Schüler'!$H53=0,"x",E59/'AW Schüler'!$H53)</f>
        <v>x</v>
      </c>
      <c r="K59" s="155" t="str">
        <f>IF('AW Schüler'!$K53=0,"x",F59/'AW Schüler'!$K53)</f>
        <v>x</v>
      </c>
      <c r="L59" s="156" t="str">
        <f>IF('AW Schüler'!$N53=0,"x",G59/'AW Schüler'!$N53)</f>
        <v>x</v>
      </c>
    </row>
    <row r="60" spans="1:12" ht="9" customHeight="1">
      <c r="A60" s="21" t="s">
        <v>92</v>
      </c>
      <c r="B60" s="120"/>
      <c r="C60" s="151">
        <f>[51]GtS!$H$26</f>
        <v>0</v>
      </c>
      <c r="D60" s="151">
        <f>[52]GtS!$H$28</f>
        <v>0</v>
      </c>
      <c r="E60" s="151">
        <f>[53]GtS!$H$28</f>
        <v>0</v>
      </c>
      <c r="F60" s="151">
        <f>[54]GtS!$H$28</f>
        <v>0</v>
      </c>
      <c r="G60" s="152">
        <f>[55]GtS!$H$28</f>
        <v>0</v>
      </c>
      <c r="H60" s="155" t="str">
        <f>IF('AW Schüler'!$B54=0,"x",C60/'AW Schüler'!$B54)</f>
        <v>x</v>
      </c>
      <c r="I60" s="155" t="str">
        <f>IF('AW Schüler'!$E54=0,"x",D60/'AW Schüler'!$E54)</f>
        <v>x</v>
      </c>
      <c r="J60" s="155" t="str">
        <f>IF('AW Schüler'!$H54=0,"x",E60/'AW Schüler'!$H54)</f>
        <v>x</v>
      </c>
      <c r="K60" s="155" t="str">
        <f>IF('AW Schüler'!$K54=0,"x",F60/'AW Schüler'!$K54)</f>
        <v>x</v>
      </c>
      <c r="L60" s="156" t="str">
        <f>IF('AW Schüler'!$N54=0,"x",G60/'AW Schüler'!$N54)</f>
        <v>x</v>
      </c>
    </row>
    <row r="61" spans="1:12" ht="9" customHeight="1">
      <c r="A61" s="21" t="s">
        <v>93</v>
      </c>
      <c r="B61" s="120"/>
      <c r="C61" s="151">
        <f>[76]GtS!$H$26</f>
        <v>0</v>
      </c>
      <c r="D61" s="151">
        <f>[77]GtS!$H$28</f>
        <v>0</v>
      </c>
      <c r="E61" s="151">
        <f>[78]GtS!$H$28</f>
        <v>0</v>
      </c>
      <c r="F61" s="151">
        <f>[79]GtS!$H$28</f>
        <v>0</v>
      </c>
      <c r="G61" s="152">
        <f>[80]GtS!$H$28</f>
        <v>0</v>
      </c>
      <c r="H61" s="155" t="str">
        <f>IF('AW Schüler'!$B55=0,"x",C61/'AW Schüler'!$B55)</f>
        <v>x</v>
      </c>
      <c r="I61" s="155" t="str">
        <f>IF('AW Schüler'!$E55=0,"x",D61/'AW Schüler'!$E55)</f>
        <v>x</v>
      </c>
      <c r="J61" s="155" t="str">
        <f>IF('AW Schüler'!$H55=0,"x",E61/'AW Schüler'!$H55)</f>
        <v>x</v>
      </c>
      <c r="K61" s="155" t="str">
        <f>IF('AW Schüler'!$K55=0,"x",F61/'AW Schüler'!$K55)</f>
        <v>x</v>
      </c>
      <c r="L61" s="156" t="str">
        <f>IF('AW Schüler'!$N55=0,"x",G61/'AW Schüler'!$N55)</f>
        <v>x</v>
      </c>
    </row>
    <row r="62" spans="1:12" ht="9" customHeight="1">
      <c r="A62" s="21" t="s">
        <v>94</v>
      </c>
      <c r="B62" s="120"/>
      <c r="C62" s="23">
        <f>[56]GtS!$H$26</f>
        <v>1013</v>
      </c>
      <c r="D62" s="23">
        <f>[57]GtS!$H$28</f>
        <v>230</v>
      </c>
      <c r="E62" s="23">
        <f>[58]GtS!$H$28</f>
        <v>26</v>
      </c>
      <c r="F62" s="151">
        <f>[59]GtS!$H$28</f>
        <v>0</v>
      </c>
      <c r="G62" s="152">
        <f>[60]GtS!$H$28</f>
        <v>0</v>
      </c>
      <c r="H62" s="155">
        <f>IF('AW Schüler'!$B56=0,"x",C62/'AW Schüler'!$B56)</f>
        <v>0.25130240635078144</v>
      </c>
      <c r="I62" s="155">
        <f>IF('AW Schüler'!$E56=0,"x",D62/'AW Schüler'!$E56)</f>
        <v>0.25191675794085433</v>
      </c>
      <c r="J62" s="155">
        <f>IF('AW Schüler'!$H56=0,"x",E62/'AW Schüler'!$H56)</f>
        <v>0.28260869565217389</v>
      </c>
      <c r="K62" s="155" t="str">
        <f>IF('AW Schüler'!$K56=0,"x",F62/'AW Schüler'!$K56)</f>
        <v>x</v>
      </c>
      <c r="L62" s="156" t="str">
        <f>IF('AW Schüler'!$N56=0,"x",G62/'AW Schüler'!$N56)</f>
        <v>x</v>
      </c>
    </row>
    <row r="63" spans="1:12" ht="9" customHeight="1">
      <c r="A63" s="21" t="s">
        <v>95</v>
      </c>
      <c r="B63" s="120"/>
      <c r="C63" s="151">
        <f>[61]GtS!$H$26</f>
        <v>0</v>
      </c>
      <c r="D63" s="151">
        <f>[62]GtS!$H$28</f>
        <v>0</v>
      </c>
      <c r="E63" s="151">
        <f>[63]GtS!$H$28</f>
        <v>0</v>
      </c>
      <c r="F63" s="151">
        <f>[64]GtS!$H$28</f>
        <v>0</v>
      </c>
      <c r="G63" s="152">
        <f>[65]GtS!$H$28</f>
        <v>0</v>
      </c>
      <c r="H63" s="155" t="str">
        <f>IF('AW Schüler'!$B57=0,"x",C63/'AW Schüler'!$B57)</f>
        <v>x</v>
      </c>
      <c r="I63" s="155" t="str">
        <f>IF('AW Schüler'!$E57=0,"x",D63/'AW Schüler'!$E57)</f>
        <v>x</v>
      </c>
      <c r="J63" s="155" t="str">
        <f>IF('AW Schüler'!$H57=0,"x",E63/'AW Schüler'!$H57)</f>
        <v>x</v>
      </c>
      <c r="K63" s="155" t="str">
        <f>IF('AW Schüler'!$K57=0,"x",F63/'AW Schüler'!$K57)</f>
        <v>x</v>
      </c>
      <c r="L63" s="156" t="str">
        <f>IF('AW Schüler'!$N57=0,"x",G63/'AW Schüler'!$N57)</f>
        <v>x</v>
      </c>
    </row>
    <row r="64" spans="1:12" ht="8.65" customHeight="1">
      <c r="A64" s="24" t="s">
        <v>96</v>
      </c>
      <c r="B64" s="121"/>
      <c r="C64" s="26">
        <f>SUM(C48:C63)</f>
        <v>61516</v>
      </c>
      <c r="D64" s="26">
        <f>SUM(D48:D63)</f>
        <v>58238</v>
      </c>
      <c r="E64" s="26">
        <f>SUM(E48:E63)</f>
        <v>53484</v>
      </c>
      <c r="F64" s="26">
        <f>SUM(F48:F63)</f>
        <v>50410</v>
      </c>
      <c r="G64" s="47">
        <f>SUM(G48:G63)</f>
        <v>48676</v>
      </c>
      <c r="H64" s="157">
        <f>IF('AW Schüler'!$B58=0,"x",C64/'AW Schüler'!$B58)</f>
        <v>0.10522084643975664</v>
      </c>
      <c r="I64" s="157">
        <f>IF('AW Schüler'!$E58=0,"x",D64/'AW Schüler'!$E58)</f>
        <v>0.10963375721237564</v>
      </c>
      <c r="J64" s="157">
        <f>IF('AW Schüler'!$H58=0,"x",E64/'AW Schüler'!$H58)</f>
        <v>0.11008177303198266</v>
      </c>
      <c r="K64" s="157">
        <f>IF('AW Schüler'!$K58=0,"x",F64/'AW Schüler'!$K58)</f>
        <v>0.11262992323022888</v>
      </c>
      <c r="L64" s="158">
        <f>IF('AW Schüler'!$N58=0,"x",G64/'AW Schüler'!$N58)</f>
        <v>0.1183213900259609</v>
      </c>
    </row>
    <row r="65" spans="1:12" ht="18.75" customHeight="1">
      <c r="A65" s="396" t="s">
        <v>312</v>
      </c>
      <c r="B65" s="396"/>
      <c r="C65" s="396"/>
      <c r="D65" s="396"/>
      <c r="E65" s="396"/>
      <c r="F65" s="396"/>
      <c r="G65" s="396"/>
      <c r="H65" s="396"/>
      <c r="I65" s="396"/>
      <c r="J65" s="396"/>
      <c r="K65" s="396"/>
      <c r="L65" s="396"/>
    </row>
    <row r="66" spans="1:12" ht="10.15" customHeight="1">
      <c r="A66" s="399" t="s">
        <v>101</v>
      </c>
      <c r="B66" s="399"/>
      <c r="C66" s="399"/>
      <c r="D66" s="399"/>
      <c r="E66" s="399"/>
      <c r="F66" s="399"/>
      <c r="G66" s="399"/>
      <c r="H66" s="399"/>
      <c r="I66" s="399"/>
      <c r="J66" s="257"/>
      <c r="K66" s="325"/>
      <c r="L66" s="350"/>
    </row>
    <row r="67" spans="1:12" ht="10.15" customHeight="1">
      <c r="A67" s="214"/>
    </row>
    <row r="68" spans="1:12" ht="10.15" customHeight="1">
      <c r="A68" s="214"/>
    </row>
    <row r="83" spans="1:1" ht="10.5" customHeight="1"/>
    <row r="84" spans="1:1" ht="10.15" customHeight="1">
      <c r="A84" s="214"/>
    </row>
  </sheetData>
  <mergeCells count="8">
    <mergeCell ref="A1:L1"/>
    <mergeCell ref="A66:I66"/>
    <mergeCell ref="C9:G9"/>
    <mergeCell ref="H9:L9"/>
    <mergeCell ref="A11:L11"/>
    <mergeCell ref="A29:L29"/>
    <mergeCell ref="A47:L47"/>
    <mergeCell ref="A65:L65"/>
  </mergeCells>
  <phoneticPr fontId="18" type="noConversion"/>
  <conditionalFormatting sqref="N25">
    <cfRule type="cellIs" dxfId="20"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M84"/>
  <sheetViews>
    <sheetView view="pageBreakPreview" topLeftCell="A43"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'3.2.4'!A1:F1+1</f>
        <v>51</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54</v>
      </c>
      <c r="B5" s="39" t="s">
        <v>13</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C28" si="0">SUM(C30+C48)</f>
        <v>0</v>
      </c>
      <c r="D12" s="149">
        <f t="shared" ref="D12:E12" si="1">SUM(D30+D48)</f>
        <v>0</v>
      </c>
      <c r="E12" s="149">
        <f t="shared" si="1"/>
        <v>0</v>
      </c>
      <c r="F12" s="149">
        <f t="shared" ref="F12:G12" si="2">SUM(F30+F48)</f>
        <v>0</v>
      </c>
      <c r="G12" s="150">
        <f t="shared" si="2"/>
        <v>0</v>
      </c>
      <c r="H12" s="153" t="str">
        <f>IF('AW Schüler'!$B60=0,"x",C12/'AW Schüler'!$B60)</f>
        <v>x</v>
      </c>
      <c r="I12" s="153" t="str">
        <f>IF('AW Schüler'!$E60=0,"x",D12/'AW Schüler'!$E60)</f>
        <v>x</v>
      </c>
      <c r="J12" s="153" t="str">
        <f>IF('AW Schüler'!$H60=0,"x",E12/'AW Schüler'!$H60)</f>
        <v>x</v>
      </c>
      <c r="K12" s="153" t="str">
        <f>IF('AW Schüler'!$K60=0,"x",F12/'AW Schüler'!$K60)</f>
        <v>x</v>
      </c>
      <c r="L12" s="154" t="str">
        <f>IF('AW Schüler'!$N60=0,"x",G12/'AW Schüler'!$N60)</f>
        <v>x</v>
      </c>
    </row>
    <row r="13" spans="1:13" ht="9" customHeight="1">
      <c r="A13" s="21" t="s">
        <v>81</v>
      </c>
      <c r="B13" s="120"/>
      <c r="C13" s="149">
        <f t="shared" si="0"/>
        <v>0</v>
      </c>
      <c r="D13" s="149">
        <f t="shared" ref="D13:E13" si="3">SUM(D31+D49)</f>
        <v>0</v>
      </c>
      <c r="E13" s="149">
        <f t="shared" si="3"/>
        <v>0</v>
      </c>
      <c r="F13" s="149" t="e">
        <f t="shared" ref="F13:G13" si="4">SUM(F31+F49)</f>
        <v>#VALUE!</v>
      </c>
      <c r="G13" s="150">
        <f t="shared" si="4"/>
        <v>0</v>
      </c>
      <c r="H13" s="153" t="str">
        <f>IF('AW Schüler'!$B61=0,"x",C13/'AW Schüler'!$B61)</f>
        <v>x</v>
      </c>
      <c r="I13" s="153" t="str">
        <f>IF('AW Schüler'!$E61=0,"x",D13/'AW Schüler'!$E61)</f>
        <v>x</v>
      </c>
      <c r="J13" s="153" t="str">
        <f>IF('AW Schüler'!$H61=0,"x",E13/'AW Schüler'!$H61)</f>
        <v>x</v>
      </c>
      <c r="K13" s="153" t="str">
        <f>IF('AW Schüler'!$K61=0,"x",F13/'AW Schüler'!$K61)</f>
        <v>x</v>
      </c>
      <c r="L13" s="154" t="str">
        <f>IF('AW Schüler'!$N61=0,"x",G13/'AW Schüler'!$N61)</f>
        <v>x</v>
      </c>
    </row>
    <row r="14" spans="1:13" ht="9" customHeight="1">
      <c r="A14" s="21" t="s">
        <v>82</v>
      </c>
      <c r="B14" s="120"/>
      <c r="C14" s="149">
        <f t="shared" si="0"/>
        <v>0</v>
      </c>
      <c r="D14" s="149">
        <f t="shared" ref="D14:E14" si="5">SUM(D32+D50)</f>
        <v>0</v>
      </c>
      <c r="E14" s="149">
        <f t="shared" si="5"/>
        <v>0</v>
      </c>
      <c r="F14" s="149">
        <f t="shared" ref="F14:G14" si="6">SUM(F32+F50)</f>
        <v>0</v>
      </c>
      <c r="G14" s="150">
        <f t="shared" si="6"/>
        <v>0</v>
      </c>
      <c r="H14" s="153" t="str">
        <f>IF('AW Schüler'!$B62=0,"x",C14/'AW Schüler'!$B62)</f>
        <v>x</v>
      </c>
      <c r="I14" s="153" t="str">
        <f>IF('AW Schüler'!$E62=0,"x",D14/'AW Schüler'!$E62)</f>
        <v>x</v>
      </c>
      <c r="J14" s="153" t="str">
        <f>IF('AW Schüler'!$H62=0,"x",E14/'AW Schüler'!$H62)</f>
        <v>x</v>
      </c>
      <c r="K14" s="153" t="str">
        <f>IF('AW Schüler'!$K62=0,"x",F14/'AW Schüler'!$K62)</f>
        <v>x</v>
      </c>
      <c r="L14" s="154" t="str">
        <f>IF('AW Schüler'!$N62=0,"x",G14/'AW Schüler'!$N62)</f>
        <v>x</v>
      </c>
    </row>
    <row r="15" spans="1:13" ht="9" customHeight="1">
      <c r="A15" s="21" t="s">
        <v>83</v>
      </c>
      <c r="B15" s="120"/>
      <c r="C15" s="42">
        <f t="shared" si="0"/>
        <v>18856</v>
      </c>
      <c r="D15" s="42">
        <f t="shared" ref="D15:E15" si="7">SUM(D33+D51)</f>
        <v>19389</v>
      </c>
      <c r="E15" s="42">
        <f t="shared" si="7"/>
        <v>20007</v>
      </c>
      <c r="F15" s="42">
        <f t="shared" ref="F15:G15" si="8">SUM(F33+F51)</f>
        <v>20079</v>
      </c>
      <c r="G15" s="44">
        <f t="shared" si="8"/>
        <v>20442</v>
      </c>
      <c r="H15" s="153">
        <f>IF('AW Schüler'!$B63=0,"x",C15/'AW Schüler'!$B63)</f>
        <v>0.66841545551222969</v>
      </c>
      <c r="I15" s="153">
        <f>IF('AW Schüler'!$E63=0,"x",D15/'AW Schüler'!$E63)</f>
        <v>0.6691861669082626</v>
      </c>
      <c r="J15" s="153">
        <f>IF('AW Schüler'!$H63=0,"x",E15/'AW Schüler'!$H63)</f>
        <v>0.67227822580645158</v>
      </c>
      <c r="K15" s="153">
        <f>IF('AW Schüler'!$K63=0,"x",F15/'AW Schüler'!$K63)</f>
        <v>0.67758917423143117</v>
      </c>
      <c r="L15" s="154">
        <f>IF('AW Schüler'!$N63=0,"x",G15/'AW Schüler'!$N63)</f>
        <v>0.68370179604669057</v>
      </c>
    </row>
    <row r="16" spans="1:13" ht="9" customHeight="1">
      <c r="A16" s="21" t="s">
        <v>84</v>
      </c>
      <c r="B16" s="120"/>
      <c r="C16" s="42">
        <f t="shared" si="0"/>
        <v>278</v>
      </c>
      <c r="D16" s="42">
        <f t="shared" ref="D16:E16" si="9">SUM(D34+D52)</f>
        <v>159</v>
      </c>
      <c r="E16" s="42">
        <f t="shared" si="9"/>
        <v>96</v>
      </c>
      <c r="F16" s="42">
        <f t="shared" ref="F16:G16" si="10">SUM(F34+F52)</f>
        <v>85</v>
      </c>
      <c r="G16" s="44">
        <f t="shared" si="10"/>
        <v>0</v>
      </c>
      <c r="H16" s="153">
        <f>IF('AW Schüler'!$B64=0,"x",C16/'AW Schüler'!$B64)</f>
        <v>6.8321454902924558E-2</v>
      </c>
      <c r="I16" s="153">
        <f>IF('AW Schüler'!$E64=0,"x",D16/'AW Schüler'!$E64)</f>
        <v>5.8327219369038882E-2</v>
      </c>
      <c r="J16" s="153">
        <f>IF('AW Schüler'!$H64=0,"x",E16/'AW Schüler'!$H64)</f>
        <v>6.552901023890785E-2</v>
      </c>
      <c r="K16" s="153">
        <f>IF('AW Schüler'!$K64=0,"x",F16/'AW Schüler'!$K64)</f>
        <v>0.15740740740740741</v>
      </c>
      <c r="L16" s="154" t="str">
        <f>IF('AW Schüler'!$N64=0,"x",G16/'AW Schüler'!$N64)</f>
        <v>x</v>
      </c>
    </row>
    <row r="17" spans="1:12" ht="9" customHeight="1">
      <c r="A17" s="21" t="s">
        <v>85</v>
      </c>
      <c r="B17" s="120"/>
      <c r="C17" s="42">
        <f t="shared" si="0"/>
        <v>1193</v>
      </c>
      <c r="D17" s="149">
        <f t="shared" ref="D17:E17" si="11">SUM(D35+D53)</f>
        <v>0</v>
      </c>
      <c r="E17" s="149">
        <f t="shared" si="11"/>
        <v>0</v>
      </c>
      <c r="F17" s="149">
        <f t="shared" ref="F17:G17" si="12">SUM(F35+F53)</f>
        <v>0</v>
      </c>
      <c r="G17" s="150">
        <f t="shared" si="12"/>
        <v>0</v>
      </c>
      <c r="H17" s="153">
        <f>IF('AW Schüler'!$B65=0,"x",C17/'AW Schüler'!$B65)</f>
        <v>0.61431513903192581</v>
      </c>
      <c r="I17" s="153" t="str">
        <f>IF('AW Schüler'!$E65=0,"x",D17/'AW Schüler'!$E65)</f>
        <v>x</v>
      </c>
      <c r="J17" s="153" t="str">
        <f>IF('AW Schüler'!$H65=0,"x",E17/'AW Schüler'!$H65)</f>
        <v>x</v>
      </c>
      <c r="K17" s="153" t="str">
        <f>IF('AW Schüler'!$K65=0,"x",F17/'AW Schüler'!$K65)</f>
        <v>x</v>
      </c>
      <c r="L17" s="154" t="str">
        <f>IF('AW Schüler'!$N65=0,"x",G17/'AW Schüler'!$N65)</f>
        <v>x</v>
      </c>
    </row>
    <row r="18" spans="1:12" ht="9" customHeight="1">
      <c r="A18" s="21" t="s">
        <v>86</v>
      </c>
      <c r="B18" s="120"/>
      <c r="C18" s="149">
        <f t="shared" si="0"/>
        <v>1153</v>
      </c>
      <c r="D18" s="149">
        <f t="shared" ref="D18:E18" si="13">SUM(D36+D54)</f>
        <v>1814</v>
      </c>
      <c r="E18" s="149">
        <f t="shared" si="13"/>
        <v>2562</v>
      </c>
      <c r="F18" s="149">
        <f t="shared" ref="F18:G18" si="14">SUM(F36+F54)</f>
        <v>3509</v>
      </c>
      <c r="G18" s="150">
        <f t="shared" si="14"/>
        <v>4425</v>
      </c>
      <c r="H18" s="153">
        <f>IF('AW Schüler'!$B66=0,"x",C18/'AW Schüler'!$B66)</f>
        <v>0.4735112936344969</v>
      </c>
      <c r="I18" s="153">
        <f>IF('AW Schüler'!$E66=0,"x",D18/'AW Schüler'!$E66)</f>
        <v>0.52246543778801846</v>
      </c>
      <c r="J18" s="153">
        <f>IF('AW Schüler'!$H66=0,"x",E18/'AW Schüler'!$H66)</f>
        <v>0.56073539067629674</v>
      </c>
      <c r="K18" s="153">
        <f>IF('AW Schüler'!$K66=0,"x",F18/'AW Schüler'!$K66)</f>
        <v>0.60479145122371591</v>
      </c>
      <c r="L18" s="154">
        <f>IF('AW Schüler'!$N66=0,"x",G18/'AW Schüler'!$N66)</f>
        <v>0.66822712171549381</v>
      </c>
    </row>
    <row r="19" spans="1:12" ht="9" customHeight="1">
      <c r="A19" s="21" t="s">
        <v>87</v>
      </c>
      <c r="B19" s="120"/>
      <c r="C19" s="42">
        <f t="shared" si="0"/>
        <v>23885</v>
      </c>
      <c r="D19" s="42">
        <f t="shared" ref="D19:E19" si="15">SUM(D37+D55)</f>
        <v>24032</v>
      </c>
      <c r="E19" s="42">
        <f t="shared" si="15"/>
        <v>26114</v>
      </c>
      <c r="F19" s="42">
        <f t="shared" ref="F19:G19" si="16">SUM(F37+F55)</f>
        <v>27687</v>
      </c>
      <c r="G19" s="44">
        <f t="shared" si="16"/>
        <v>28082</v>
      </c>
      <c r="H19" s="153">
        <f>IF('AW Schüler'!$B67=0,"x",C19/'AW Schüler'!$B67)</f>
        <v>0.63793702091290294</v>
      </c>
      <c r="I19" s="153">
        <f>IF('AW Schüler'!$E67=0,"x",D19/'AW Schüler'!$E67)</f>
        <v>0.6376565485035024</v>
      </c>
      <c r="J19" s="153">
        <f>IF('AW Schüler'!$H67=0,"x",E19/'AW Schüler'!$H67)</f>
        <v>0.67563581796072547</v>
      </c>
      <c r="K19" s="153">
        <f>IF('AW Schüler'!$K67=0,"x",F19/'AW Schüler'!$K67)</f>
        <v>0.69941393421916842</v>
      </c>
      <c r="L19" s="154">
        <f>IF('AW Schüler'!$N67=0,"x",G19/'AW Schüler'!$N67)</f>
        <v>0.6981404136833731</v>
      </c>
    </row>
    <row r="20" spans="1:12" ht="9" customHeight="1">
      <c r="A20" s="21" t="s">
        <v>88</v>
      </c>
      <c r="B20" s="120"/>
      <c r="C20" s="149">
        <f t="shared" si="0"/>
        <v>17593</v>
      </c>
      <c r="D20" s="149">
        <f t="shared" ref="D20:E20" si="17">SUM(D38+D56)</f>
        <v>29473</v>
      </c>
      <c r="E20" s="149">
        <f t="shared" si="17"/>
        <v>44106</v>
      </c>
      <c r="F20" s="149">
        <f t="shared" ref="F20:G20" si="18">SUM(F38+F56)</f>
        <v>56762</v>
      </c>
      <c r="G20" s="150">
        <f t="shared" si="18"/>
        <v>72428</v>
      </c>
      <c r="H20" s="153">
        <f>IF('AW Schüler'!$B68=0,"x",C20/'AW Schüler'!$B68)</f>
        <v>0.82755538830612918</v>
      </c>
      <c r="I20" s="153">
        <f>IF('AW Schüler'!$E68=0,"x",D20/'AW Schüler'!$E68)</f>
        <v>0.84413575827008447</v>
      </c>
      <c r="J20" s="153">
        <f>IF('AW Schüler'!$H68=0,"x",E20/'AW Schüler'!$H68)</f>
        <v>0.85946451537472235</v>
      </c>
      <c r="K20" s="153">
        <f>IF('AW Schüler'!$K68=0,"x",F20/'AW Schüler'!$K68)</f>
        <v>0.82553302888391167</v>
      </c>
      <c r="L20" s="154">
        <f>IF('AW Schüler'!$N68=0,"x",G20/'AW Schüler'!$N68)</f>
        <v>0.83612897267469377</v>
      </c>
    </row>
    <row r="21" spans="1:12" ht="9" customHeight="1">
      <c r="A21" s="21" t="s">
        <v>89</v>
      </c>
      <c r="B21" s="120"/>
      <c r="C21" s="149">
        <f t="shared" si="0"/>
        <v>6308</v>
      </c>
      <c r="D21" s="149">
        <f t="shared" ref="D21:E21" si="19">SUM(D39+D57)</f>
        <v>16079</v>
      </c>
      <c r="E21" s="149">
        <f t="shared" si="19"/>
        <v>26457</v>
      </c>
      <c r="F21" s="149">
        <f t="shared" ref="F21:G21" si="20">SUM(F39+F57)</f>
        <v>37121</v>
      </c>
      <c r="G21" s="150">
        <f t="shared" si="20"/>
        <v>47049</v>
      </c>
      <c r="H21" s="153">
        <f>IF('AW Schüler'!$B69=0,"x",C21/'AW Schüler'!$B69)</f>
        <v>0.87103010218171772</v>
      </c>
      <c r="I21" s="153">
        <f>IF('AW Schüler'!$E69=0,"x",D21/'AW Schüler'!$E69)</f>
        <v>0.88770496328603765</v>
      </c>
      <c r="J21" s="153">
        <f>IF('AW Schüler'!$H69=0,"x",E21/'AW Schüler'!$H69)</f>
        <v>0.8522968880871078</v>
      </c>
      <c r="K21" s="153">
        <f>IF('AW Schüler'!$K69=0,"x",F21/'AW Schüler'!$K69)</f>
        <v>0.90831457374963298</v>
      </c>
      <c r="L21" s="154">
        <f>IF('AW Schüler'!$N69=0,"x",G21/'AW Schüler'!$N69)</f>
        <v>0.92130101041748258</v>
      </c>
    </row>
    <row r="22" spans="1:12" ht="9" customHeight="1">
      <c r="A22" s="21" t="s">
        <v>90</v>
      </c>
      <c r="B22" s="120"/>
      <c r="C22" s="42">
        <f t="shared" si="0"/>
        <v>18604</v>
      </c>
      <c r="D22" s="42">
        <f t="shared" ref="D22:E22" si="21">SUM(D40+D58)</f>
        <v>18401</v>
      </c>
      <c r="E22" s="42">
        <f t="shared" si="21"/>
        <v>16887</v>
      </c>
      <c r="F22" s="42">
        <f t="shared" ref="F22:G22" si="22">SUM(F40+F58)</f>
        <v>16921</v>
      </c>
      <c r="G22" s="44">
        <f t="shared" si="22"/>
        <v>17169</v>
      </c>
      <c r="H22" s="153">
        <f>IF('AW Schüler'!$B70=0,"x",C22/'AW Schüler'!$B70)</f>
        <v>0.19920335788932672</v>
      </c>
      <c r="I22" s="153">
        <f>IF('AW Schüler'!$E70=0,"x",D22/'AW Schüler'!$E70)</f>
        <v>0.20051870498109342</v>
      </c>
      <c r="J22" s="153">
        <f>IF('AW Schüler'!$H70=0,"x",E22/'AW Schüler'!$H70)</f>
        <v>0.1955736224028907</v>
      </c>
      <c r="K22" s="153">
        <f>IF('AW Schüler'!$K70=0,"x",F22/'AW Schüler'!$K70)</f>
        <v>0.20518510434476822</v>
      </c>
      <c r="L22" s="154">
        <f>IF('AW Schüler'!$N70=0,"x",G22/'AW Schüler'!$N70)</f>
        <v>0.21458031295305705</v>
      </c>
    </row>
    <row r="23" spans="1:12" ht="9" customHeight="1">
      <c r="A23" s="21" t="s">
        <v>91</v>
      </c>
      <c r="B23" s="120"/>
      <c r="C23" s="42">
        <f t="shared" si="0"/>
        <v>3274</v>
      </c>
      <c r="D23" s="42">
        <f t="shared" ref="D23:E23" si="23">SUM(D41+D59)</f>
        <v>1522</v>
      </c>
      <c r="E23" s="149">
        <f t="shared" si="23"/>
        <v>0</v>
      </c>
      <c r="F23" s="149">
        <f t="shared" ref="F23:G23" si="24">SUM(F41+F59)</f>
        <v>0</v>
      </c>
      <c r="G23" s="150">
        <f t="shared" si="24"/>
        <v>0</v>
      </c>
      <c r="H23" s="153">
        <f>IF('AW Schüler'!$B71=0,"x",C23/'AW Schüler'!$B71)</f>
        <v>0.21956944537589698</v>
      </c>
      <c r="I23" s="153">
        <f>IF('AW Schüler'!$E71=0,"x",D23/'AW Schüler'!$E71)</f>
        <v>0.13161535800760982</v>
      </c>
      <c r="J23" s="153">
        <f>IF('AW Schüler'!$H71=0,"x",E23/'AW Schüler'!$H71)</f>
        <v>0</v>
      </c>
      <c r="K23" s="153">
        <f>IF('AW Schüler'!$K71=0,"x",F23/'AW Schüler'!$K71)</f>
        <v>0</v>
      </c>
      <c r="L23" s="154" t="str">
        <f>IF('AW Schüler'!$N71=0,"x",G23/'AW Schüler'!$N71)</f>
        <v>x</v>
      </c>
    </row>
    <row r="24" spans="1:12" ht="9" customHeight="1">
      <c r="A24" s="21" t="s">
        <v>92</v>
      </c>
      <c r="B24" s="120"/>
      <c r="C24" s="42">
        <f t="shared" si="0"/>
        <v>58213</v>
      </c>
      <c r="D24" s="42">
        <f t="shared" ref="D24:E24" si="25">SUM(D42+D60)</f>
        <v>59517</v>
      </c>
      <c r="E24" s="42">
        <f t="shared" si="25"/>
        <v>60701</v>
      </c>
      <c r="F24" s="42">
        <f t="shared" ref="F24:G24" si="26">SUM(F42+F60)</f>
        <v>61838</v>
      </c>
      <c r="G24" s="44">
        <f t="shared" si="26"/>
        <v>64393</v>
      </c>
      <c r="H24" s="153">
        <f>IF('AW Schüler'!$B72=0,"x",C24/'AW Schüler'!$B72)</f>
        <v>0.6771709416623044</v>
      </c>
      <c r="I24" s="153">
        <f>IF('AW Schüler'!$E72=0,"x",D24/'AW Schüler'!$E72)</f>
        <v>0.67445945333393775</v>
      </c>
      <c r="J24" s="153">
        <f>IF('AW Schüler'!$H72=0,"x",E24/'AW Schüler'!$H72)</f>
        <v>0.67134499043321494</v>
      </c>
      <c r="K24" s="153">
        <f>IF('AW Schüler'!$K72=0,"x",F24/'AW Schüler'!$K72)</f>
        <v>0.66183616242481325</v>
      </c>
      <c r="L24" s="154">
        <f>IF('AW Schüler'!$N72=0,"x",G24/'AW Schüler'!$N72)</f>
        <v>0.67113793175327785</v>
      </c>
    </row>
    <row r="25" spans="1:12" ht="9" customHeight="1">
      <c r="A25" s="21" t="s">
        <v>93</v>
      </c>
      <c r="B25" s="120"/>
      <c r="C25" s="42">
        <f t="shared" si="0"/>
        <v>16950</v>
      </c>
      <c r="D25" s="42">
        <f t="shared" ref="D25:E25" si="27">SUM(D43+D61)</f>
        <v>17762</v>
      </c>
      <c r="E25" s="42">
        <f t="shared" si="27"/>
        <v>16438</v>
      </c>
      <c r="F25" s="42">
        <f t="shared" ref="F25:G25" si="28">SUM(F43+F61)</f>
        <v>16962</v>
      </c>
      <c r="G25" s="44">
        <f t="shared" si="28"/>
        <v>16027</v>
      </c>
      <c r="H25" s="153">
        <f>IF('AW Schüler'!$B73=0,"x",C25/'AW Schüler'!$B73)</f>
        <v>0.37372668342373327</v>
      </c>
      <c r="I25" s="153">
        <f>IF('AW Schüler'!$E73=0,"x",D25/'AW Schüler'!$E73)</f>
        <v>0.39579294516121843</v>
      </c>
      <c r="J25" s="153">
        <f>IF('AW Schüler'!$H73=0,"x",E25/'AW Schüler'!$H73)</f>
        <v>0.37045049917742773</v>
      </c>
      <c r="K25" s="153">
        <f>IF('AW Schüler'!$K73=0,"x",F25/'AW Schüler'!$K73)</f>
        <v>0.39018218623481782</v>
      </c>
      <c r="L25" s="154">
        <f>IF('AW Schüler'!$N73=0,"x",G25/'AW Schüler'!$N73)</f>
        <v>0.37352008949380067</v>
      </c>
    </row>
    <row r="26" spans="1:12" ht="9" customHeight="1">
      <c r="A26" s="21" t="s">
        <v>94</v>
      </c>
      <c r="B26" s="120"/>
      <c r="C26" s="42">
        <f t="shared" si="0"/>
        <v>4146</v>
      </c>
      <c r="D26" s="42">
        <f t="shared" ref="D26:E26" si="29">SUM(D44+D62)</f>
        <v>4987</v>
      </c>
      <c r="E26" s="42">
        <f t="shared" si="29"/>
        <v>4565</v>
      </c>
      <c r="F26" s="42">
        <f t="shared" ref="F26:G26" si="30">SUM(F44+F62)</f>
        <v>3920</v>
      </c>
      <c r="G26" s="44">
        <f t="shared" si="30"/>
        <v>2636</v>
      </c>
      <c r="H26" s="153">
        <f>IF('AW Schüler'!$B74=0,"x",C26/'AW Schüler'!$B74)</f>
        <v>0.22851788568593948</v>
      </c>
      <c r="I26" s="153">
        <f>IF('AW Schüler'!$E74=0,"x",D26/'AW Schüler'!$E74)</f>
        <v>0.24298382381602027</v>
      </c>
      <c r="J26" s="153">
        <f>IF('AW Schüler'!$H74=0,"x",E26/'AW Schüler'!$H74)</f>
        <v>0.25989183034443497</v>
      </c>
      <c r="K26" s="153">
        <f>IF('AW Schüler'!$K74=0,"x",F26/'AW Schüler'!$K74)</f>
        <v>0.28552698667055137</v>
      </c>
      <c r="L26" s="154">
        <f>IF('AW Schüler'!$N74=0,"x",G26/'AW Schüler'!$N74)</f>
        <v>0.27920771104755854</v>
      </c>
    </row>
    <row r="27" spans="1:12" ht="9" customHeight="1">
      <c r="A27" s="21" t="s">
        <v>95</v>
      </c>
      <c r="B27" s="120"/>
      <c r="C27" s="42">
        <f t="shared" si="0"/>
        <v>9898</v>
      </c>
      <c r="D27" s="42">
        <f t="shared" ref="D27:E27" si="31">SUM(D45+D63)</f>
        <v>9142</v>
      </c>
      <c r="E27" s="42">
        <f t="shared" si="31"/>
        <v>8761</v>
      </c>
      <c r="F27" s="42">
        <f t="shared" ref="F27:G27" si="32">SUM(F45+F63)</f>
        <v>8872</v>
      </c>
      <c r="G27" s="44">
        <f t="shared" si="32"/>
        <v>8117</v>
      </c>
      <c r="H27" s="153">
        <f>IF('AW Schüler'!$B75=0,"x",C27/'AW Schüler'!$B75)</f>
        <v>0.2156849927000937</v>
      </c>
      <c r="I27" s="153">
        <f>IF('AW Schüler'!$E75=0,"x",D27/'AW Schüler'!$E75)</f>
        <v>0.20233721393475279</v>
      </c>
      <c r="J27" s="153">
        <f>IF('AW Schüler'!$H75=0,"x",E27/'AW Schüler'!$H75)</f>
        <v>0.19840119570632728</v>
      </c>
      <c r="K27" s="153">
        <f>IF('AW Schüler'!$K75=0,"x",F27/'AW Schüler'!$K75)</f>
        <v>0.20206345229690026</v>
      </c>
      <c r="L27" s="154">
        <f>IF('AW Schüler'!$N75=0,"x",G27/'AW Schüler'!$N75)</f>
        <v>0.1870061052874093</v>
      </c>
    </row>
    <row r="28" spans="1:12" ht="9" customHeight="1">
      <c r="A28" s="21" t="s">
        <v>96</v>
      </c>
      <c r="B28" s="120"/>
      <c r="C28" s="42">
        <f t="shared" si="0"/>
        <v>180351</v>
      </c>
      <c r="D28" s="42">
        <f t="shared" ref="D28:E28" si="33">SUM(D46+D64)</f>
        <v>202277</v>
      </c>
      <c r="E28" s="42">
        <f t="shared" si="33"/>
        <v>226694</v>
      </c>
      <c r="F28" s="42">
        <f t="shared" ref="F28:G28" si="34">SUM(F46+F64)</f>
        <v>253756</v>
      </c>
      <c r="G28" s="44">
        <f t="shared" si="34"/>
        <v>280768</v>
      </c>
      <c r="H28" s="153">
        <f>IF('AW Schüler'!$B76=0,"x",C28/'AW Schüler'!$B76)</f>
        <v>0.44393655200933407</v>
      </c>
      <c r="I28" s="153">
        <f>IF('AW Schüler'!$E76=0,"x",D28/'AW Schüler'!$E76)</f>
        <v>0.47255902403012762</v>
      </c>
      <c r="J28" s="153">
        <f>IF('AW Schüler'!$H76=0,"x",E28/'AW Schüler'!$H76)</f>
        <v>0.50601904039107581</v>
      </c>
      <c r="K28" s="153">
        <f>IF('AW Schüler'!$K76=0,"x",F28/'AW Schüler'!$K76)</f>
        <v>0.54324212076709322</v>
      </c>
      <c r="L28" s="154">
        <f>IF('AW Schüler'!$N76=0,"x",G28/'AW Schüler'!$N76)</f>
        <v>0.57753605897792437</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151">
        <f>[1]GtS!$E$27</f>
        <v>0</v>
      </c>
      <c r="D30" s="151">
        <f>[2]GtS!$E$29</f>
        <v>0</v>
      </c>
      <c r="E30" s="151">
        <f>[3]GtS!$E$29</f>
        <v>0</v>
      </c>
      <c r="F30" s="151">
        <f>[4]GtS!$E$29</f>
        <v>0</v>
      </c>
      <c r="G30" s="152">
        <f>[5]GtS!$E$29</f>
        <v>0</v>
      </c>
      <c r="H30" s="155" t="str">
        <f>IF('AW Schüler'!$B60=0,"x",C30/'AW Schüler'!$B60)</f>
        <v>x</v>
      </c>
      <c r="I30" s="155" t="str">
        <f>IF('AW Schüler'!$E60=0,"x",D30/'AW Schüler'!$E60)</f>
        <v>x</v>
      </c>
      <c r="J30" s="155" t="str">
        <f>IF('AW Schüler'!$H60=0,"x",E30/'AW Schüler'!$H60)</f>
        <v>x</v>
      </c>
      <c r="K30" s="155" t="str">
        <f>IF('AW Schüler'!$K60=0,"x",F30/'AW Schüler'!$K60)</f>
        <v>x</v>
      </c>
      <c r="L30" s="156" t="str">
        <f>IF('AW Schüler'!$N60=0,"x",G30/'AW Schüler'!$N60)</f>
        <v>x</v>
      </c>
    </row>
    <row r="31" spans="1:12" ht="9" customHeight="1">
      <c r="A31" s="21" t="s">
        <v>81</v>
      </c>
      <c r="B31" s="120"/>
      <c r="C31" s="151">
        <f>[6]GtS!$E$27</f>
        <v>0</v>
      </c>
      <c r="D31" s="151">
        <f>[7]GtS!$E$29</f>
        <v>0</v>
      </c>
      <c r="E31" s="151">
        <f>[8]GtS!$E$29</f>
        <v>0</v>
      </c>
      <c r="F31" s="151" t="str">
        <f>[9]GtS!$E$29</f>
        <v xml:space="preserve">                                      -   </v>
      </c>
      <c r="G31" s="152">
        <f>[10]GtS!$E$29</f>
        <v>0</v>
      </c>
      <c r="H31" s="155" t="str">
        <f>IF('AW Schüler'!$B61=0,"x",C31/'AW Schüler'!$B61)</f>
        <v>x</v>
      </c>
      <c r="I31" s="155" t="str">
        <f>IF('AW Schüler'!$E61=0,"x",D31/'AW Schüler'!$E61)</f>
        <v>x</v>
      </c>
      <c r="J31" s="155" t="str">
        <f>IF('AW Schüler'!$H61=0,"x",E31/'AW Schüler'!$H61)</f>
        <v>x</v>
      </c>
      <c r="K31" s="155" t="str">
        <f>IF('AW Schüler'!$K61=0,"x",F31/'AW Schüler'!$K61)</f>
        <v>x</v>
      </c>
      <c r="L31" s="156" t="str">
        <f>IF('AW Schüler'!$N61=0,"x",G31/'AW Schüler'!$N61)</f>
        <v>x</v>
      </c>
    </row>
    <row r="32" spans="1:12" ht="9" customHeight="1">
      <c r="A32" s="21" t="s">
        <v>82</v>
      </c>
      <c r="B32" s="120"/>
      <c r="C32" s="151">
        <f>[11]GtS!$E$27</f>
        <v>0</v>
      </c>
      <c r="D32" s="151">
        <f>[12]GtS!$E$29</f>
        <v>0</v>
      </c>
      <c r="E32" s="151">
        <f>[13]GtS!$E$29</f>
        <v>0</v>
      </c>
      <c r="F32" s="151">
        <f>[14]GtS!$E$29</f>
        <v>0</v>
      </c>
      <c r="G32" s="152">
        <f>[15]GtS!$E$29</f>
        <v>0</v>
      </c>
      <c r="H32" s="155" t="str">
        <f>IF('AW Schüler'!$B62=0,"x",C32/'AW Schüler'!$B62)</f>
        <v>x</v>
      </c>
      <c r="I32" s="155" t="str">
        <f>IF('AW Schüler'!$E62=0,"x",D32/'AW Schüler'!$E62)</f>
        <v>x</v>
      </c>
      <c r="J32" s="155" t="str">
        <f>IF('AW Schüler'!$H62=0,"x",E32/'AW Schüler'!$H62)</f>
        <v>x</v>
      </c>
      <c r="K32" s="155" t="str">
        <f>IF('AW Schüler'!$K62=0,"x",F32/'AW Schüler'!$K62)</f>
        <v>x</v>
      </c>
      <c r="L32" s="156" t="str">
        <f>IF('AW Schüler'!$N62=0,"x",G32/'AW Schüler'!$N62)</f>
        <v>x</v>
      </c>
    </row>
    <row r="33" spans="1:12" ht="9" customHeight="1">
      <c r="A33" s="21" t="s">
        <v>83</v>
      </c>
      <c r="B33" s="120"/>
      <c r="C33" s="23">
        <f>[16]GtS!$E$27</f>
        <v>14000</v>
      </c>
      <c r="D33" s="23">
        <f>[17]GtS!$E$29</f>
        <v>14331</v>
      </c>
      <c r="E33" s="23">
        <f>[18]GtS!$E$29</f>
        <v>14789</v>
      </c>
      <c r="F33" s="23">
        <f>[19]GtS!$E$29</f>
        <v>14848</v>
      </c>
      <c r="G33" s="34">
        <f>[20]GtS!$E$29</f>
        <v>15068</v>
      </c>
      <c r="H33" s="155">
        <f>IF('AW Schüler'!$B63=0,"x",C33/'AW Schüler'!$B63)</f>
        <v>0.49627791563275436</v>
      </c>
      <c r="I33" s="155">
        <f>IF('AW Schüler'!$E63=0,"x",D33/'AW Schüler'!$E63)</f>
        <v>0.49461586249741146</v>
      </c>
      <c r="J33" s="155">
        <f>IF('AW Schüler'!$H63=0,"x",E33/'AW Schüler'!$H63)</f>
        <v>0.49694220430107527</v>
      </c>
      <c r="K33" s="155">
        <f>IF('AW Schüler'!$K63=0,"x",F33/'AW Schüler'!$K63)</f>
        <v>0.50106300408328552</v>
      </c>
      <c r="L33" s="156">
        <f>IF('AW Schüler'!$N63=0,"x",G33/'AW Schüler'!$N63)</f>
        <v>0.50396334325562731</v>
      </c>
    </row>
    <row r="34" spans="1:12" ht="9" customHeight="1">
      <c r="A34" s="21" t="s">
        <v>84</v>
      </c>
      <c r="B34" s="120"/>
      <c r="C34" s="23">
        <f>[21]GtS!$E$27</f>
        <v>218</v>
      </c>
      <c r="D34" s="23">
        <f>[22]GtS!$E$29</f>
        <v>159</v>
      </c>
      <c r="E34" s="23">
        <f>[23]GtS!$E$29</f>
        <v>96</v>
      </c>
      <c r="F34" s="23">
        <f>[24]GtS!$E$29</f>
        <v>85</v>
      </c>
      <c r="G34" s="34">
        <f>[25]GtS!$E$29</f>
        <v>0</v>
      </c>
      <c r="H34" s="155">
        <f>IF('AW Schüler'!$B64=0,"x",C34/'AW Schüler'!$B64)</f>
        <v>5.3575817154091918E-2</v>
      </c>
      <c r="I34" s="155">
        <f>IF('AW Schüler'!$E64=0,"x",D34/'AW Schüler'!$E64)</f>
        <v>5.8327219369038882E-2</v>
      </c>
      <c r="J34" s="155">
        <f>IF('AW Schüler'!$H64=0,"x",E34/'AW Schüler'!$H64)</f>
        <v>6.552901023890785E-2</v>
      </c>
      <c r="K34" s="155">
        <f>IF('AW Schüler'!$K64=0,"x",F34/'AW Schüler'!$K64)</f>
        <v>0.15740740740740741</v>
      </c>
      <c r="L34" s="156" t="str">
        <f>IF('AW Schüler'!$N64=0,"x",G34/'AW Schüler'!$N64)</f>
        <v>x</v>
      </c>
    </row>
    <row r="35" spans="1:12" ht="9" customHeight="1">
      <c r="A35" s="21" t="s">
        <v>85</v>
      </c>
      <c r="B35" s="120"/>
      <c r="C35" s="23">
        <f>[26]GtS!$E$27</f>
        <v>593</v>
      </c>
      <c r="D35" s="151">
        <f>[27]GtS!$E$29</f>
        <v>0</v>
      </c>
      <c r="E35" s="151">
        <f>[28]GtS!$E$29</f>
        <v>0</v>
      </c>
      <c r="F35" s="151">
        <f>[29]GtS!$E$29</f>
        <v>0</v>
      </c>
      <c r="G35" s="152">
        <f>[30]GtS!$E$29</f>
        <v>0</v>
      </c>
      <c r="H35" s="155">
        <f>IF('AW Schüler'!$B65=0,"x",C35/'AW Schüler'!$B65)</f>
        <v>0.30535530381050463</v>
      </c>
      <c r="I35" s="155" t="str">
        <f>IF('AW Schüler'!$E65=0,"x",D35/'AW Schüler'!$E65)</f>
        <v>x</v>
      </c>
      <c r="J35" s="155" t="str">
        <f>IF('AW Schüler'!$H65=0,"x",E35/'AW Schüler'!$H65)</f>
        <v>x</v>
      </c>
      <c r="K35" s="155" t="str">
        <f>IF('AW Schüler'!$K65=0,"x",F35/'AW Schüler'!$K65)</f>
        <v>x</v>
      </c>
      <c r="L35" s="156" t="str">
        <f>IF('AW Schüler'!$N65=0,"x",G35/'AW Schüler'!$N65)</f>
        <v>x</v>
      </c>
    </row>
    <row r="36" spans="1:12" ht="9" customHeight="1">
      <c r="A36" s="21" t="s">
        <v>86</v>
      </c>
      <c r="B36" s="120"/>
      <c r="C36" s="228">
        <f>[66]GtS!$E$27</f>
        <v>0</v>
      </c>
      <c r="D36" s="228">
        <f>[67]GtS!$E$29</f>
        <v>0</v>
      </c>
      <c r="E36" s="228">
        <f>[68]GtS!$E$29</f>
        <v>0</v>
      </c>
      <c r="F36" s="228">
        <f>[69]GtS!$E$29</f>
        <v>0</v>
      </c>
      <c r="G36" s="229">
        <f>[70]GtS!$E$29</f>
        <v>0</v>
      </c>
      <c r="H36" s="155">
        <f>IF('AW Schüler'!$B66=0,"x",C36/'AW Schüler'!$B66)</f>
        <v>0</v>
      </c>
      <c r="I36" s="155">
        <f>IF('AW Schüler'!$E66=0,"x",D36/'AW Schüler'!$E66)</f>
        <v>0</v>
      </c>
      <c r="J36" s="155">
        <f>IF('AW Schüler'!$H66=0,"x",E36/'AW Schüler'!$H66)</f>
        <v>0</v>
      </c>
      <c r="K36" s="155">
        <f>IF('AW Schüler'!$K66=0,"x",F36/'AW Schüler'!$K66)</f>
        <v>0</v>
      </c>
      <c r="L36" s="156">
        <f>IF('AW Schüler'!$N66=0,"x",G36/'AW Schüler'!$N66)</f>
        <v>0</v>
      </c>
    </row>
    <row r="37" spans="1:12" ht="9" customHeight="1">
      <c r="A37" s="21" t="s">
        <v>87</v>
      </c>
      <c r="B37" s="120"/>
      <c r="C37" s="23">
        <f>[31]GtS!$E$27</f>
        <v>14880</v>
      </c>
      <c r="D37" s="23">
        <f>[32]GtS!$E$29</f>
        <v>15044</v>
      </c>
      <c r="E37" s="23">
        <f>[33]GtS!$E$29</f>
        <v>16278</v>
      </c>
      <c r="F37" s="23">
        <f>[34]GtS!$E$29</f>
        <v>17335</v>
      </c>
      <c r="G37" s="34">
        <f>[35]GtS!$E$29</f>
        <v>21465</v>
      </c>
      <c r="H37" s="155">
        <f>IF('AW Schüler'!$B67=0,"x",C37/'AW Schüler'!$B67)</f>
        <v>0.39742528244437914</v>
      </c>
      <c r="I37" s="155">
        <f>IF('AW Schüler'!$E67=0,"x",D37/'AW Schüler'!$E67)</f>
        <v>0.39917215028656339</v>
      </c>
      <c r="J37" s="155">
        <f>IF('AW Schüler'!$H67=0,"x",E37/'AW Schüler'!$H67)</f>
        <v>0.42115339835968024</v>
      </c>
      <c r="K37" s="155">
        <f>IF('AW Schüler'!$K67=0,"x",F37/'AW Schüler'!$K67)</f>
        <v>0.43790734097913403</v>
      </c>
      <c r="L37" s="156">
        <f>IF('AW Schüler'!$N67=0,"x",G37/'AW Schüler'!$N67)</f>
        <v>0.53363663484486878</v>
      </c>
    </row>
    <row r="38" spans="1:12" ht="9" customHeight="1">
      <c r="A38" s="21" t="s">
        <v>88</v>
      </c>
      <c r="B38" s="120"/>
      <c r="C38" s="151">
        <f>[71]GtS!$E$27</f>
        <v>14698</v>
      </c>
      <c r="D38" s="151">
        <f>[72]GtS!$E$29</f>
        <v>25593</v>
      </c>
      <c r="E38" s="151">
        <f>[73]GtS!$E$29</f>
        <v>38397</v>
      </c>
      <c r="F38" s="151">
        <f>[74]GtS!$E$29</f>
        <v>50505</v>
      </c>
      <c r="G38" s="152">
        <f>[75]GtS!$E$29</f>
        <v>64099</v>
      </c>
      <c r="H38" s="155">
        <f>IF('AW Schüler'!$B68=0,"x",C38/'AW Schüler'!$B68)</f>
        <v>0.69137776941530649</v>
      </c>
      <c r="I38" s="155">
        <f>IF('AW Schüler'!$E68=0,"x",D38/'AW Schüler'!$E68)</f>
        <v>0.73300873550050116</v>
      </c>
      <c r="J38" s="155">
        <f>IF('AW Schüler'!$H68=0,"x",E38/'AW Schüler'!$H68)</f>
        <v>0.74821699988308199</v>
      </c>
      <c r="K38" s="155">
        <f>IF('AW Schüler'!$K68=0,"x",F38/'AW Schüler'!$K68)</f>
        <v>0.73453270892114375</v>
      </c>
      <c r="L38" s="156">
        <f>IF('AW Schüler'!$N68=0,"x",G38/'AW Schüler'!$N68)</f>
        <v>0.73997668055828125</v>
      </c>
    </row>
    <row r="39" spans="1:12" ht="9" customHeight="1">
      <c r="A39" s="21" t="s">
        <v>89</v>
      </c>
      <c r="B39" s="120"/>
      <c r="C39" s="151">
        <f>[36]GtS!$E$27</f>
        <v>6308</v>
      </c>
      <c r="D39" s="151">
        <f>[37]GtS!$E$29</f>
        <v>16079</v>
      </c>
      <c r="E39" s="151">
        <f>[38]GtS!$E$29</f>
        <v>26457</v>
      </c>
      <c r="F39" s="151">
        <f>[39]GtS!$E$29</f>
        <v>37121</v>
      </c>
      <c r="G39" s="152">
        <f>[40]GtS!$E$29</f>
        <v>47049</v>
      </c>
      <c r="H39" s="155">
        <f>IF('AW Schüler'!$B69=0,"x",C39/'AW Schüler'!$B69)</f>
        <v>0.87103010218171772</v>
      </c>
      <c r="I39" s="155">
        <f>IF('AW Schüler'!$E69=0,"x",D39/'AW Schüler'!$E69)</f>
        <v>0.88770496328603765</v>
      </c>
      <c r="J39" s="155">
        <f>IF('AW Schüler'!$H69=0,"x",E39/'AW Schüler'!$H69)</f>
        <v>0.8522968880871078</v>
      </c>
      <c r="K39" s="155">
        <f>IF('AW Schüler'!$K69=0,"x",F39/'AW Schüler'!$K69)</f>
        <v>0.90831457374963298</v>
      </c>
      <c r="L39" s="156">
        <f>IF('AW Schüler'!$N69=0,"x",G39/'AW Schüler'!$N69)</f>
        <v>0.92130101041748258</v>
      </c>
    </row>
    <row r="40" spans="1:12" ht="9" customHeight="1">
      <c r="A40" s="21" t="s">
        <v>90</v>
      </c>
      <c r="B40" s="120"/>
      <c r="C40" s="23">
        <f>[41]GtS!$E$27</f>
        <v>18604</v>
      </c>
      <c r="D40" s="23">
        <f>[42]GtS!$E$29</f>
        <v>18218</v>
      </c>
      <c r="E40" s="23">
        <f>[43]GtS!$E$29</f>
        <v>16809</v>
      </c>
      <c r="F40" s="23">
        <f>[44]GtS!$E$29</f>
        <v>16765</v>
      </c>
      <c r="G40" s="34">
        <f>[45]GtS!$E$29</f>
        <v>16917</v>
      </c>
      <c r="H40" s="155">
        <f>IF('AW Schüler'!$B70=0,"x",C40/'AW Schüler'!$B70)</f>
        <v>0.19920335788932672</v>
      </c>
      <c r="I40" s="155">
        <f>IF('AW Schüler'!$E70=0,"x",D40/'AW Schüler'!$E70)</f>
        <v>0.19852452406638552</v>
      </c>
      <c r="J40" s="155">
        <f>IF('AW Schüler'!$H70=0,"x",E40/'AW Schüler'!$H70)</f>
        <v>0.19467028003613371</v>
      </c>
      <c r="K40" s="155">
        <f>IF('AW Schüler'!$K70=0,"x",F40/'AW Schüler'!$K70)</f>
        <v>0.20329343858755625</v>
      </c>
      <c r="L40" s="156">
        <f>IF('AW Schüler'!$N70=0,"x",G40/'AW Schüler'!$N70)</f>
        <v>0.21143078538219268</v>
      </c>
    </row>
    <row r="41" spans="1:12" ht="9" customHeight="1">
      <c r="A41" s="21" t="s">
        <v>91</v>
      </c>
      <c r="B41" s="120"/>
      <c r="C41" s="23">
        <f>[46]GtS!$E$27</f>
        <v>1775</v>
      </c>
      <c r="D41" s="23">
        <f>[47]GtS!$E$29</f>
        <v>678</v>
      </c>
      <c r="E41" s="151">
        <f>[48]GtS!$E$29</f>
        <v>0</v>
      </c>
      <c r="F41" s="151">
        <f>[49]GtS!$E$29</f>
        <v>0</v>
      </c>
      <c r="G41" s="152">
        <f>[50]GtS!$E$29</f>
        <v>0</v>
      </c>
      <c r="H41" s="155">
        <f>IF('AW Schüler'!$B71=0,"x",C41/'AW Schüler'!$B71)</f>
        <v>0.11903963516866743</v>
      </c>
      <c r="I41" s="155">
        <f>IF('AW Schüler'!$E71=0,"x",D41/'AW Schüler'!$E71)</f>
        <v>5.863023175371844E-2</v>
      </c>
      <c r="J41" s="155">
        <f>IF('AW Schüler'!$H71=0,"x",E41/'AW Schüler'!$H71)</f>
        <v>0</v>
      </c>
      <c r="K41" s="155">
        <f>IF('AW Schüler'!$K71=0,"x",F41/'AW Schüler'!$K71)</f>
        <v>0</v>
      </c>
      <c r="L41" s="156" t="str">
        <f>IF('AW Schüler'!$N71=0,"x",G41/'AW Schüler'!$N71)</f>
        <v>x</v>
      </c>
    </row>
    <row r="42" spans="1:12" ht="9" customHeight="1">
      <c r="A42" s="21" t="s">
        <v>92</v>
      </c>
      <c r="B42" s="120"/>
      <c r="C42" s="23">
        <f>[51]GtS!$E$27</f>
        <v>23030</v>
      </c>
      <c r="D42" s="23">
        <f>[52]GtS!$E$29</f>
        <v>22699</v>
      </c>
      <c r="E42" s="23">
        <f>[53]GtS!$E$29</f>
        <v>23132</v>
      </c>
      <c r="F42" s="23">
        <f>[54]GtS!$E$29</f>
        <v>23946</v>
      </c>
      <c r="G42" s="34">
        <f>[55]GtS!$E$29</f>
        <v>23699</v>
      </c>
      <c r="H42" s="155">
        <f>IF('AW Schüler'!$B72=0,"x",C42/'AW Schüler'!$B72)</f>
        <v>0.26789972663293199</v>
      </c>
      <c r="I42" s="155">
        <f>IF('AW Schüler'!$E72=0,"x",D42/'AW Schüler'!$E72)</f>
        <v>0.2572299533112733</v>
      </c>
      <c r="J42" s="155">
        <f>IF('AW Schüler'!$H72=0,"x",E42/'AW Schüler'!$H72)</f>
        <v>0.25583684484112501</v>
      </c>
      <c r="K42" s="155">
        <f>IF('AW Schüler'!$K72=0,"x",F42/'AW Schüler'!$K72)</f>
        <v>0.25628786094997541</v>
      </c>
      <c r="L42" s="156">
        <f>IF('AW Schüler'!$N72=0,"x",G42/'AW Schüler'!$N72)</f>
        <v>0.24700352281491672</v>
      </c>
    </row>
    <row r="43" spans="1:12" ht="9" customHeight="1">
      <c r="A43" s="21" t="s">
        <v>93</v>
      </c>
      <c r="B43" s="120"/>
      <c r="C43" s="23">
        <f>[76]GtS!$E$27</f>
        <v>8339</v>
      </c>
      <c r="D43" s="23">
        <f>[77]GtS!$E$29</f>
        <v>8818</v>
      </c>
      <c r="E43" s="23">
        <f>[78]GtS!$E$29</f>
        <v>8017</v>
      </c>
      <c r="F43" s="23">
        <f>[79]GtS!$E$29</f>
        <v>8810</v>
      </c>
      <c r="G43" s="34">
        <f>[80]GtS!$E$29</f>
        <v>6679</v>
      </c>
      <c r="H43" s="155">
        <f>IF('AW Schüler'!$B73=0,"x",C43/'AW Schüler'!$B73)</f>
        <v>0.18386470873572341</v>
      </c>
      <c r="I43" s="155">
        <f>IF('AW Schüler'!$E73=0,"x",D43/'AW Schüler'!$E73)</f>
        <v>0.19649263542571918</v>
      </c>
      <c r="J43" s="155">
        <f>IF('AW Schüler'!$H73=0,"x",E43/'AW Schüler'!$H73)</f>
        <v>0.18067293173776847</v>
      </c>
      <c r="K43" s="155">
        <f>IF('AW Schüler'!$K73=0,"x",F43/'AW Schüler'!$K73)</f>
        <v>0.20265918292234081</v>
      </c>
      <c r="L43" s="156">
        <f>IF('AW Schüler'!$N73=0,"x",G43/'AW Schüler'!$N73)</f>
        <v>0.15565861843945186</v>
      </c>
    </row>
    <row r="44" spans="1:12" ht="9" customHeight="1">
      <c r="A44" s="21" t="s">
        <v>94</v>
      </c>
      <c r="B44" s="120"/>
      <c r="C44" s="23">
        <f>[56]GtS!$E$27</f>
        <v>612</v>
      </c>
      <c r="D44" s="23">
        <f>[57]GtS!$E$29</f>
        <v>671</v>
      </c>
      <c r="E44" s="23">
        <f>[58]GtS!$E$29</f>
        <v>465</v>
      </c>
      <c r="F44" s="23">
        <f>[59]GtS!$E$29</f>
        <v>355</v>
      </c>
      <c r="G44" s="34">
        <f>[60]GtS!$E$29</f>
        <v>166</v>
      </c>
      <c r="H44" s="155">
        <f>IF('AW Schüler'!$B74=0,"x",C44/'AW Schüler'!$B74)</f>
        <v>3.37320178581271E-2</v>
      </c>
      <c r="I44" s="155">
        <f>IF('AW Schüler'!$E74=0,"x",D44/'AW Schüler'!$E74)</f>
        <v>3.2693432079516666E-2</v>
      </c>
      <c r="J44" s="155">
        <f>IF('AW Schüler'!$H74=0,"x",E44/'AW Schüler'!$H74)</f>
        <v>2.6473099914602904E-2</v>
      </c>
      <c r="K44" s="155">
        <f>IF('AW Schüler'!$K74=0,"x",F44/'AW Schüler'!$K74)</f>
        <v>2.585767353776677E-2</v>
      </c>
      <c r="L44" s="156">
        <f>IF('AW Schüler'!$N74=0,"x",G44/'AW Schüler'!$N74)</f>
        <v>1.7582883169155811E-2</v>
      </c>
    </row>
    <row r="45" spans="1:12" ht="9" customHeight="1">
      <c r="A45" s="21" t="s">
        <v>95</v>
      </c>
      <c r="B45" s="120"/>
      <c r="C45" s="23">
        <f>[61]GtS!$E$27</f>
        <v>2348</v>
      </c>
      <c r="D45" s="23">
        <f>[62]GtS!$E$29</f>
        <v>2589</v>
      </c>
      <c r="E45" s="23">
        <f>[63]GtS!$E$29</f>
        <v>3292</v>
      </c>
      <c r="F45" s="23">
        <f>[64]GtS!$E$29</f>
        <v>2898</v>
      </c>
      <c r="G45" s="34">
        <f>[65]GtS!$E$29</f>
        <v>3331</v>
      </c>
      <c r="H45" s="155">
        <f>IF('AW Schüler'!$B75=0,"x",C45/'AW Schüler'!$B75)</f>
        <v>5.1164716393192568E-2</v>
      </c>
      <c r="I45" s="155">
        <f>IF('AW Schüler'!$E75=0,"x",D45/'AW Schüler'!$E75)</f>
        <v>5.7301580275330881E-2</v>
      </c>
      <c r="J45" s="155">
        <f>IF('AW Schüler'!$H75=0,"x",E45/'AW Schüler'!$H75)</f>
        <v>7.4550477829611841E-2</v>
      </c>
      <c r="K45" s="155">
        <f>IF('AW Schüler'!$K75=0,"x",F45/'AW Schüler'!$K75)</f>
        <v>6.6003143006809845E-2</v>
      </c>
      <c r="L45" s="156">
        <f>IF('AW Schüler'!$N75=0,"x",G45/'AW Schüler'!$N75)</f>
        <v>7.674231079368736E-2</v>
      </c>
    </row>
    <row r="46" spans="1:12" ht="9" customHeight="1">
      <c r="A46" s="21" t="s">
        <v>96</v>
      </c>
      <c r="B46" s="120"/>
      <c r="C46" s="23">
        <f>SUM(C30:C45)</f>
        <v>105405</v>
      </c>
      <c r="D46" s="23">
        <f>SUM(D30:D45)</f>
        <v>124879</v>
      </c>
      <c r="E46" s="23">
        <f>SUM(E30:E45)</f>
        <v>147732</v>
      </c>
      <c r="F46" s="23">
        <f>SUM(F30:F45)</f>
        <v>172668</v>
      </c>
      <c r="G46" s="34">
        <f>SUM(G30:G45)</f>
        <v>198473</v>
      </c>
      <c r="H46" s="155">
        <f>IF('AW Schüler'!$B76=0,"x",C46/'AW Schüler'!$B76)</f>
        <v>0.25945590689568593</v>
      </c>
      <c r="I46" s="155">
        <f>IF('AW Schüler'!$E76=0,"x",D46/'AW Schüler'!$E76)</f>
        <v>0.29174200903641195</v>
      </c>
      <c r="J46" s="155">
        <f>IF('AW Schüler'!$H76=0,"x",E46/'AW Schüler'!$H76)</f>
        <v>0.32976260895768927</v>
      </c>
      <c r="K46" s="155">
        <f>IF('AW Schüler'!$K76=0,"x",F46/'AW Schüler'!$K76)</f>
        <v>0.36964852263044995</v>
      </c>
      <c r="L46" s="156">
        <f>IF('AW Schüler'!$N76=0,"x",G46/'AW Schüler'!$N76)</f>
        <v>0.40825633346223783</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151">
        <f>[1]GtS!$H$27</f>
        <v>0</v>
      </c>
      <c r="D48" s="151">
        <f>[2]GtS!$H$29</f>
        <v>0</v>
      </c>
      <c r="E48" s="151">
        <f>[3]GtS!$H$29</f>
        <v>0</v>
      </c>
      <c r="F48" s="151">
        <f>[4]GtS!$H$29</f>
        <v>0</v>
      </c>
      <c r="G48" s="152">
        <f>[5]GtS!$H$29</f>
        <v>0</v>
      </c>
      <c r="H48" s="155" t="str">
        <f>IF('AW Schüler'!$B60=0,"x",C48/'AW Schüler'!$B60)</f>
        <v>x</v>
      </c>
      <c r="I48" s="155" t="str">
        <f>IF('AW Schüler'!$E60=0,"x",D48/'AW Schüler'!$E60)</f>
        <v>x</v>
      </c>
      <c r="J48" s="155" t="str">
        <f>IF('AW Schüler'!$H60=0,"x",E48/'AW Schüler'!$H60)</f>
        <v>x</v>
      </c>
      <c r="K48" s="155" t="str">
        <f>IF('AW Schüler'!$K60=0,"x",F48/'AW Schüler'!$K60)</f>
        <v>x</v>
      </c>
      <c r="L48" s="156" t="str">
        <f>IF('AW Schüler'!$N60=0,"x",G48/'AW Schüler'!$N60)</f>
        <v>x</v>
      </c>
    </row>
    <row r="49" spans="1:12" ht="9" customHeight="1">
      <c r="A49" s="21" t="s">
        <v>81</v>
      </c>
      <c r="B49" s="120"/>
      <c r="C49" s="151">
        <f>[6]GtS!$H$27</f>
        <v>0</v>
      </c>
      <c r="D49" s="151">
        <f>[7]GtS!$H$29</f>
        <v>0</v>
      </c>
      <c r="E49" s="151">
        <f>[8]GtS!$H$29</f>
        <v>0</v>
      </c>
      <c r="F49" s="151" t="str">
        <f>[9]GtS!$H$29</f>
        <v xml:space="preserve">                                      -   </v>
      </c>
      <c r="G49" s="152">
        <f>[10]GtS!$H$29</f>
        <v>0</v>
      </c>
      <c r="H49" s="155" t="str">
        <f>IF('AW Schüler'!$B61=0,"x",C49/'AW Schüler'!$B61)</f>
        <v>x</v>
      </c>
      <c r="I49" s="155" t="str">
        <f>IF('AW Schüler'!$E61=0,"x",D49/'AW Schüler'!$E61)</f>
        <v>x</v>
      </c>
      <c r="J49" s="155" t="str">
        <f>IF('AW Schüler'!$H61=0,"x",E49/'AW Schüler'!$H61)</f>
        <v>x</v>
      </c>
      <c r="K49" s="155" t="str">
        <f>IF('AW Schüler'!$K61=0,"x",F49/'AW Schüler'!$K61)</f>
        <v>x</v>
      </c>
      <c r="L49" s="156" t="str">
        <f>IF('AW Schüler'!$N61=0,"x",G49/'AW Schüler'!$N61)</f>
        <v>x</v>
      </c>
    </row>
    <row r="50" spans="1:12" ht="9" customHeight="1">
      <c r="A50" s="21" t="s">
        <v>82</v>
      </c>
      <c r="B50" s="120"/>
      <c r="C50" s="151">
        <f>[11]GtS!$H$27</f>
        <v>0</v>
      </c>
      <c r="D50" s="151">
        <f>[12]GtS!$H$29</f>
        <v>0</v>
      </c>
      <c r="E50" s="151">
        <f>[13]GtS!$H$29</f>
        <v>0</v>
      </c>
      <c r="F50" s="151">
        <f>[14]GtS!$H$29</f>
        <v>0</v>
      </c>
      <c r="G50" s="152">
        <f>[15]GtS!$H$29</f>
        <v>0</v>
      </c>
      <c r="H50" s="155" t="str">
        <f>IF('AW Schüler'!$B62=0,"x",C50/'AW Schüler'!$B62)</f>
        <v>x</v>
      </c>
      <c r="I50" s="155" t="str">
        <f>IF('AW Schüler'!$E62=0,"x",D50/'AW Schüler'!$E62)</f>
        <v>x</v>
      </c>
      <c r="J50" s="155" t="str">
        <f>IF('AW Schüler'!$H62=0,"x",E50/'AW Schüler'!$H62)</f>
        <v>x</v>
      </c>
      <c r="K50" s="155" t="str">
        <f>IF('AW Schüler'!$K62=0,"x",F50/'AW Schüler'!$K62)</f>
        <v>x</v>
      </c>
      <c r="L50" s="156" t="str">
        <f>IF('AW Schüler'!$N62=0,"x",G50/'AW Schüler'!$N62)</f>
        <v>x</v>
      </c>
    </row>
    <row r="51" spans="1:12" ht="9" customHeight="1">
      <c r="A51" s="21" t="s">
        <v>83</v>
      </c>
      <c r="B51" s="120"/>
      <c r="C51" s="23">
        <f>[16]GtS!$H$27</f>
        <v>4856</v>
      </c>
      <c r="D51" s="23">
        <f>[17]GtS!$H$29</f>
        <v>5058</v>
      </c>
      <c r="E51" s="23">
        <f>[18]GtS!$H$29</f>
        <v>5218</v>
      </c>
      <c r="F51" s="23">
        <f>[19]GtS!$H$29</f>
        <v>5231</v>
      </c>
      <c r="G51" s="34">
        <f>[20]GtS!$H$29</f>
        <v>5374</v>
      </c>
      <c r="H51" s="155">
        <f>IF('AW Schüler'!$B63=0,"x",C51/'AW Schüler'!$B63)</f>
        <v>0.17213753987947536</v>
      </c>
      <c r="I51" s="155">
        <f>IF('AW Schüler'!$E63=0,"x",D51/'AW Schüler'!$E63)</f>
        <v>0.17457030441085111</v>
      </c>
      <c r="J51" s="155">
        <f>IF('AW Schüler'!$H63=0,"x",E51/'AW Schüler'!$H63)</f>
        <v>0.17533602150537633</v>
      </c>
      <c r="K51" s="155">
        <f>IF('AW Schüler'!$K63=0,"x",F51/'AW Schüler'!$K63)</f>
        <v>0.17652617014814564</v>
      </c>
      <c r="L51" s="156">
        <f>IF('AW Schüler'!$N63=0,"x",G51/'AW Schüler'!$N63)</f>
        <v>0.17973845279106324</v>
      </c>
    </row>
    <row r="52" spans="1:12" ht="9" customHeight="1">
      <c r="A52" s="21" t="s">
        <v>84</v>
      </c>
      <c r="B52" s="120"/>
      <c r="C52" s="23">
        <f>[21]GtS!$H$27</f>
        <v>60</v>
      </c>
      <c r="D52" s="23">
        <f>[22]GtS!$H$29</f>
        <v>0</v>
      </c>
      <c r="E52" s="23">
        <f>[23]GtS!$H$29</f>
        <v>0</v>
      </c>
      <c r="F52" s="23">
        <f>[24]GtS!$H$29</f>
        <v>0</v>
      </c>
      <c r="G52" s="34">
        <f>[25]GtS!$H$29</f>
        <v>0</v>
      </c>
      <c r="H52" s="155">
        <f>IF('AW Schüler'!$B64=0,"x",C52/'AW Schüler'!$B64)</f>
        <v>1.4745637748832637E-2</v>
      </c>
      <c r="I52" s="155">
        <f>IF('AW Schüler'!$E64=0,"x",D52/'AW Schüler'!$E64)</f>
        <v>0</v>
      </c>
      <c r="J52" s="155">
        <f>IF('AW Schüler'!$H64=0,"x",E52/'AW Schüler'!$H64)</f>
        <v>0</v>
      </c>
      <c r="K52" s="155">
        <f>IF('AW Schüler'!$K64=0,"x",F52/'AW Schüler'!$K64)</f>
        <v>0</v>
      </c>
      <c r="L52" s="156" t="str">
        <f>IF('AW Schüler'!$N64=0,"x",G52/'AW Schüler'!$N64)</f>
        <v>x</v>
      </c>
    </row>
    <row r="53" spans="1:12" ht="9" customHeight="1">
      <c r="A53" s="21" t="s">
        <v>85</v>
      </c>
      <c r="B53" s="120"/>
      <c r="C53" s="23">
        <f>[26]GtS!$H$27</f>
        <v>600</v>
      </c>
      <c r="D53" s="151">
        <f>[27]GtS!$H$29</f>
        <v>0</v>
      </c>
      <c r="E53" s="151">
        <f>[28]GtS!$H$29</f>
        <v>0</v>
      </c>
      <c r="F53" s="151">
        <f>[29]GtS!$H$29</f>
        <v>0</v>
      </c>
      <c r="G53" s="152">
        <f>[30]GtS!$H$29</f>
        <v>0</v>
      </c>
      <c r="H53" s="155">
        <f>IF('AW Schüler'!$B65=0,"x",C53/'AW Schüler'!$B65)</f>
        <v>0.30895983522142123</v>
      </c>
      <c r="I53" s="155" t="str">
        <f>IF('AW Schüler'!$E65=0,"x",D53/'AW Schüler'!$E65)</f>
        <v>x</v>
      </c>
      <c r="J53" s="155" t="str">
        <f>IF('AW Schüler'!$H65=0,"x",E53/'AW Schüler'!$H65)</f>
        <v>x</v>
      </c>
      <c r="K53" s="155" t="str">
        <f>IF('AW Schüler'!$K65=0,"x",F53/'AW Schüler'!$K65)</f>
        <v>x</v>
      </c>
      <c r="L53" s="156" t="str">
        <f>IF('AW Schüler'!$N65=0,"x",G53/'AW Schüler'!$N65)</f>
        <v>x</v>
      </c>
    </row>
    <row r="54" spans="1:12" ht="9" customHeight="1">
      <c r="A54" s="21" t="s">
        <v>114</v>
      </c>
      <c r="B54" s="120"/>
      <c r="C54" s="151">
        <f>[66]GtS!$H$27</f>
        <v>1153</v>
      </c>
      <c r="D54" s="151">
        <f>[67]GtS!$H$29</f>
        <v>1814</v>
      </c>
      <c r="E54" s="151">
        <f>[68]GtS!$H$29</f>
        <v>2562</v>
      </c>
      <c r="F54" s="151">
        <f>[69]GtS!$H$29</f>
        <v>3509</v>
      </c>
      <c r="G54" s="152">
        <f>[70]GtS!$H$29</f>
        <v>4425</v>
      </c>
      <c r="H54" s="155">
        <f>IF('AW Schüler'!$B66=0,"x",C54/'AW Schüler'!$B66)</f>
        <v>0.4735112936344969</v>
      </c>
      <c r="I54" s="155">
        <f>IF('AW Schüler'!$E66=0,"x",D54/'AW Schüler'!$E66)</f>
        <v>0.52246543778801846</v>
      </c>
      <c r="J54" s="155">
        <f>IF('AW Schüler'!$H66=0,"x",E54/'AW Schüler'!$H66)</f>
        <v>0.56073539067629674</v>
      </c>
      <c r="K54" s="155">
        <f>IF('AW Schüler'!$K66=0,"x",F54/'AW Schüler'!$K66)</f>
        <v>0.60479145122371591</v>
      </c>
      <c r="L54" s="156">
        <f>IF('AW Schüler'!$N66=0,"x",G54/'AW Schüler'!$N66)</f>
        <v>0.66822712171549381</v>
      </c>
    </row>
    <row r="55" spans="1:12" ht="9" customHeight="1">
      <c r="A55" s="21" t="s">
        <v>87</v>
      </c>
      <c r="B55" s="120"/>
      <c r="C55" s="23">
        <f>[31]GtS!$H$27</f>
        <v>9005</v>
      </c>
      <c r="D55" s="23">
        <f>[32]GtS!$H$29</f>
        <v>8988</v>
      </c>
      <c r="E55" s="23">
        <f>[33]GtS!$H$29</f>
        <v>9836</v>
      </c>
      <c r="F55" s="23">
        <f>[34]GtS!$H$29</f>
        <v>10352</v>
      </c>
      <c r="G55" s="34">
        <f>[35]GtS!$H$29</f>
        <v>6617</v>
      </c>
      <c r="H55" s="155">
        <f>IF('AW Schüler'!$B67=0,"x",C55/'AW Schüler'!$B67)</f>
        <v>0.24051173846852381</v>
      </c>
      <c r="I55" s="155">
        <f>IF('AW Schüler'!$E67=0,"x",D55/'AW Schüler'!$E67)</f>
        <v>0.23848439821693909</v>
      </c>
      <c r="J55" s="155">
        <f>IF('AW Schüler'!$H67=0,"x",E55/'AW Schüler'!$H67)</f>
        <v>0.25448241960104523</v>
      </c>
      <c r="K55" s="155">
        <f>IF('AW Schüler'!$K67=0,"x",F55/'AW Schüler'!$K67)</f>
        <v>0.26150659324003434</v>
      </c>
      <c r="L55" s="156">
        <f>IF('AW Schüler'!$N67=0,"x",G55/'AW Schüler'!$N67)</f>
        <v>0.16450377883850437</v>
      </c>
    </row>
    <row r="56" spans="1:12" ht="9" customHeight="1">
      <c r="A56" s="21" t="s">
        <v>88</v>
      </c>
      <c r="B56" s="120"/>
      <c r="C56" s="151">
        <f>[71]GtS!$H$27</f>
        <v>2895</v>
      </c>
      <c r="D56" s="151">
        <f>[72]GtS!$H$29</f>
        <v>3880</v>
      </c>
      <c r="E56" s="151">
        <f>[73]GtS!$H$29</f>
        <v>5709</v>
      </c>
      <c r="F56" s="151">
        <f>[74]GtS!$H$29</f>
        <v>6257</v>
      </c>
      <c r="G56" s="152">
        <f>[75]GtS!$H$29</f>
        <v>8329</v>
      </c>
      <c r="H56" s="155">
        <f>IF('AW Schüler'!$B68=0,"x",C56/'AW Schüler'!$B68)</f>
        <v>0.13617761889082272</v>
      </c>
      <c r="I56" s="155">
        <f>IF('AW Schüler'!$E68=0,"x",D56/'AW Schüler'!$E68)</f>
        <v>0.11112702276958328</v>
      </c>
      <c r="J56" s="155">
        <f>IF('AW Schüler'!$H68=0,"x",E56/'AW Schüler'!$H68)</f>
        <v>0.11124751549164036</v>
      </c>
      <c r="K56" s="155">
        <f>IF('AW Schüler'!$K68=0,"x",F56/'AW Schüler'!$K68)</f>
        <v>9.1000319962767973E-2</v>
      </c>
      <c r="L56" s="156">
        <f>IF('AW Schüler'!$N68=0,"x",G56/'AW Schüler'!$N68)</f>
        <v>9.6152292116412505E-2</v>
      </c>
    </row>
    <row r="57" spans="1:12" ht="9" customHeight="1">
      <c r="A57" s="21" t="s">
        <v>89</v>
      </c>
      <c r="B57" s="120"/>
      <c r="C57" s="23">
        <f>[36]GtS!$H$27</f>
        <v>0</v>
      </c>
      <c r="D57" s="23">
        <f>[37]GtS!$H$29</f>
        <v>0</v>
      </c>
      <c r="E57" s="23">
        <f>[38]GtS!$H$29</f>
        <v>0</v>
      </c>
      <c r="F57" s="23">
        <f>[39]GtS!$H$29</f>
        <v>0</v>
      </c>
      <c r="G57" s="34">
        <f>[40]GtS!$H$29</f>
        <v>0</v>
      </c>
      <c r="H57" s="155">
        <f>IF('AW Schüler'!$B69=0,"x",C57/'AW Schüler'!$B69)</f>
        <v>0</v>
      </c>
      <c r="I57" s="155">
        <f>IF('AW Schüler'!$E69=0,"x",D57/'AW Schüler'!$E69)</f>
        <v>0</v>
      </c>
      <c r="J57" s="155">
        <f>IF('AW Schüler'!$H69=0,"x",E57/'AW Schüler'!$H69)</f>
        <v>0</v>
      </c>
      <c r="K57" s="155">
        <f>IF('AW Schüler'!$K69=0,"x",F57/'AW Schüler'!$K69)</f>
        <v>0</v>
      </c>
      <c r="L57" s="156">
        <f>IF('AW Schüler'!$N69=0,"x",G57/'AW Schüler'!$N69)</f>
        <v>0</v>
      </c>
    </row>
    <row r="58" spans="1:12" ht="9" customHeight="1">
      <c r="A58" s="21" t="s">
        <v>90</v>
      </c>
      <c r="B58" s="120"/>
      <c r="C58" s="23">
        <f>[41]GtS!$H$27</f>
        <v>0</v>
      </c>
      <c r="D58" s="23">
        <f>[42]GtS!$H$29</f>
        <v>183</v>
      </c>
      <c r="E58" s="23">
        <f>[43]GtS!$H$29</f>
        <v>78</v>
      </c>
      <c r="F58" s="23">
        <f>[44]GtS!$H$29</f>
        <v>156</v>
      </c>
      <c r="G58" s="34">
        <f>[45]GtS!$H$29</f>
        <v>252</v>
      </c>
      <c r="H58" s="155">
        <f>IF('AW Schüler'!$B70=0,"x",C58/'AW Schüler'!$B70)</f>
        <v>0</v>
      </c>
      <c r="I58" s="155">
        <f>IF('AW Schüler'!$E70=0,"x",D58/'AW Schüler'!$E70)</f>
        <v>1.9941809147079013E-3</v>
      </c>
      <c r="J58" s="155">
        <f>IF('AW Schüler'!$H70=0,"x",E58/'AW Schüler'!$H70)</f>
        <v>9.0334236675700087E-4</v>
      </c>
      <c r="K58" s="155">
        <f>IF('AW Schüler'!$K70=0,"x",F58/'AW Schüler'!$K70)</f>
        <v>1.8916657572119757E-3</v>
      </c>
      <c r="L58" s="156">
        <f>IF('AW Schüler'!$N70=0,"x",G58/'AW Schüler'!$N70)</f>
        <v>3.1495275708643702E-3</v>
      </c>
    </row>
    <row r="59" spans="1:12" ht="9" customHeight="1">
      <c r="A59" s="21" t="s">
        <v>91</v>
      </c>
      <c r="B59" s="120"/>
      <c r="C59" s="23">
        <f>[46]GtS!$H$27</f>
        <v>1499</v>
      </c>
      <c r="D59" s="23">
        <f>[47]GtS!$H$29</f>
        <v>844</v>
      </c>
      <c r="E59" s="151">
        <f>[48]GtS!$H$29</f>
        <v>0</v>
      </c>
      <c r="F59" s="151">
        <f>[49]GtS!$H$29</f>
        <v>0</v>
      </c>
      <c r="G59" s="152">
        <f>[50]GtS!$H$29</f>
        <v>0</v>
      </c>
      <c r="H59" s="155">
        <f>IF('AW Schüler'!$B71=0,"x",C59/'AW Schüler'!$B71)</f>
        <v>0.10052981020722956</v>
      </c>
      <c r="I59" s="155">
        <f>IF('AW Schüler'!$E71=0,"x",D59/'AW Schüler'!$E71)</f>
        <v>7.2985126253891391E-2</v>
      </c>
      <c r="J59" s="155">
        <f>IF('AW Schüler'!$H71=0,"x",E59/'AW Schüler'!$H71)</f>
        <v>0</v>
      </c>
      <c r="K59" s="155">
        <f>IF('AW Schüler'!$K71=0,"x",F59/'AW Schüler'!$K71)</f>
        <v>0</v>
      </c>
      <c r="L59" s="156" t="str">
        <f>IF('AW Schüler'!$N71=0,"x",G59/'AW Schüler'!$N71)</f>
        <v>x</v>
      </c>
    </row>
    <row r="60" spans="1:12" ht="9" customHeight="1">
      <c r="A60" s="21" t="s">
        <v>92</v>
      </c>
      <c r="B60" s="120"/>
      <c r="C60" s="23">
        <f>[51]GtS!$H$27</f>
        <v>35183</v>
      </c>
      <c r="D60" s="23">
        <f>[52]GtS!$H$29</f>
        <v>36818</v>
      </c>
      <c r="E60" s="23">
        <f>[53]GtS!$H$29</f>
        <v>37569</v>
      </c>
      <c r="F60" s="23">
        <f>[54]GtS!$H$29</f>
        <v>37892</v>
      </c>
      <c r="G60" s="34">
        <f>[55]GtS!$H$29</f>
        <v>40694</v>
      </c>
      <c r="H60" s="155">
        <f>IF('AW Schüler'!$B72=0,"x",C60/'AW Schüler'!$B72)</f>
        <v>0.40927121502937241</v>
      </c>
      <c r="I60" s="155">
        <f>IF('AW Schüler'!$E72=0,"x",D60/'AW Schüler'!$E72)</f>
        <v>0.41722950002266446</v>
      </c>
      <c r="J60" s="155">
        <f>IF('AW Schüler'!$H72=0,"x",E60/'AW Schüler'!$H72)</f>
        <v>0.41550814559208998</v>
      </c>
      <c r="K60" s="155">
        <f>IF('AW Schüler'!$K72=0,"x",F60/'AW Schüler'!$K72)</f>
        <v>0.40554830147483784</v>
      </c>
      <c r="L60" s="156">
        <f>IF('AW Schüler'!$N72=0,"x",G60/'AW Schüler'!$N72)</f>
        <v>0.42413440893836118</v>
      </c>
    </row>
    <row r="61" spans="1:12" ht="9" customHeight="1">
      <c r="A61" s="21" t="s">
        <v>93</v>
      </c>
      <c r="B61" s="120"/>
      <c r="C61" s="23">
        <f>[76]GtS!$H$27</f>
        <v>8611</v>
      </c>
      <c r="D61" s="23">
        <f>[77]GtS!$H$29</f>
        <v>8944</v>
      </c>
      <c r="E61" s="23">
        <f>[78]GtS!$H$29</f>
        <v>8421</v>
      </c>
      <c r="F61" s="23">
        <f>[79]GtS!$H$29</f>
        <v>8152</v>
      </c>
      <c r="G61" s="34">
        <f>[80]GtS!$H$29</f>
        <v>9348</v>
      </c>
      <c r="H61" s="155">
        <f>IF('AW Schüler'!$B73=0,"x",C61/'AW Schüler'!$B73)</f>
        <v>0.18986197468800989</v>
      </c>
      <c r="I61" s="155">
        <f>IF('AW Schüler'!$E73=0,"x",D61/'AW Schüler'!$E73)</f>
        <v>0.19930030973549925</v>
      </c>
      <c r="J61" s="155">
        <f>IF('AW Schüler'!$H73=0,"x",E61/'AW Schüler'!$H73)</f>
        <v>0.18977756743965926</v>
      </c>
      <c r="K61" s="155">
        <f>IF('AW Schüler'!$K73=0,"x",F61/'AW Schüler'!$K73)</f>
        <v>0.18752300331247701</v>
      </c>
      <c r="L61" s="156">
        <f>IF('AW Schüler'!$N73=0,"x",G61/'AW Schüler'!$N73)</f>
        <v>0.21786147105434883</v>
      </c>
    </row>
    <row r="62" spans="1:12" ht="9" customHeight="1">
      <c r="A62" s="21" t="s">
        <v>94</v>
      </c>
      <c r="B62" s="120"/>
      <c r="C62" s="23">
        <f>[56]GtS!$H$27</f>
        <v>3534</v>
      </c>
      <c r="D62" s="23">
        <f>[57]GtS!$H$29</f>
        <v>4316</v>
      </c>
      <c r="E62" s="23">
        <f>[58]GtS!$H$29</f>
        <v>4100</v>
      </c>
      <c r="F62" s="23">
        <f>[59]GtS!$H$29</f>
        <v>3565</v>
      </c>
      <c r="G62" s="34">
        <f>[60]GtS!$H$29</f>
        <v>2470</v>
      </c>
      <c r="H62" s="155">
        <f>IF('AW Schüler'!$B74=0,"x",C62/'AW Schüler'!$B74)</f>
        <v>0.19478586782781238</v>
      </c>
      <c r="I62" s="155">
        <f>IF('AW Schüler'!$E74=0,"x",D62/'AW Schüler'!$E74)</f>
        <v>0.2102903917365036</v>
      </c>
      <c r="J62" s="155">
        <f>IF('AW Schüler'!$H74=0,"x",E62/'AW Schüler'!$H74)</f>
        <v>0.23341873042983205</v>
      </c>
      <c r="K62" s="155">
        <f>IF('AW Schüler'!$K74=0,"x",F62/'AW Schüler'!$K74)</f>
        <v>0.25966931313278463</v>
      </c>
      <c r="L62" s="156">
        <f>IF('AW Schüler'!$N74=0,"x",G62/'AW Schüler'!$N74)</f>
        <v>0.26162482787840269</v>
      </c>
    </row>
    <row r="63" spans="1:12" ht="9" customHeight="1">
      <c r="A63" s="21" t="s">
        <v>95</v>
      </c>
      <c r="B63" s="120"/>
      <c r="C63" s="23">
        <f>[61]GtS!$H$27</f>
        <v>7550</v>
      </c>
      <c r="D63" s="23">
        <f>[62]GtS!$H$29</f>
        <v>6553</v>
      </c>
      <c r="E63" s="23">
        <f>[63]GtS!$H$29</f>
        <v>5469</v>
      </c>
      <c r="F63" s="23">
        <f>[64]GtS!$H$29</f>
        <v>5974</v>
      </c>
      <c r="G63" s="34">
        <f>[65]GtS!$H$29</f>
        <v>4786</v>
      </c>
      <c r="H63" s="155">
        <f>IF('AW Schüler'!$B75=0,"x",C63/'AW Schüler'!$B75)</f>
        <v>0.16452027630690114</v>
      </c>
      <c r="I63" s="155">
        <f>IF('AW Schüler'!$E75=0,"x",D63/'AW Schüler'!$E75)</f>
        <v>0.1450356336594219</v>
      </c>
      <c r="J63" s="155">
        <f>IF('AW Schüler'!$H75=0,"x",E63/'AW Schüler'!$H75)</f>
        <v>0.12385071787671544</v>
      </c>
      <c r="K63" s="155">
        <f>IF('AW Schüler'!$K75=0,"x",F63/'AW Schüler'!$K75)</f>
        <v>0.13606030929009041</v>
      </c>
      <c r="L63" s="156">
        <f>IF('AW Schüler'!$N75=0,"x",G63/'AW Schüler'!$N75)</f>
        <v>0.11026379449372192</v>
      </c>
    </row>
    <row r="64" spans="1:12" ht="8.65" customHeight="1">
      <c r="A64" s="24" t="s">
        <v>96</v>
      </c>
      <c r="B64" s="121"/>
      <c r="C64" s="26">
        <f>SUM(C48:C63)</f>
        <v>74946</v>
      </c>
      <c r="D64" s="26">
        <f>SUM(D48:D63)</f>
        <v>77398</v>
      </c>
      <c r="E64" s="26">
        <f>SUM(E48:E63)</f>
        <v>78962</v>
      </c>
      <c r="F64" s="26">
        <f>SUM(F48:F63)</f>
        <v>81088</v>
      </c>
      <c r="G64" s="47">
        <f>SUM(G48:G63)</f>
        <v>82295</v>
      </c>
      <c r="H64" s="157">
        <f>IF('AW Schüler'!$B76=0,"x",C64/'AW Schüler'!$B76)</f>
        <v>0.18448064511364812</v>
      </c>
      <c r="I64" s="157">
        <f>IF('AW Schüler'!$E76=0,"x",D64/'AW Schüler'!$E76)</f>
        <v>0.18081701499371564</v>
      </c>
      <c r="J64" s="157">
        <f>IF('AW Schüler'!$H76=0,"x",E64/'AW Schüler'!$H76)</f>
        <v>0.17625643143338654</v>
      </c>
      <c r="K64" s="157">
        <f>IF('AW Schüler'!$K76=0,"x",F64/'AW Schüler'!$K76)</f>
        <v>0.1735935981366433</v>
      </c>
      <c r="L64" s="158">
        <f>IF('AW Schüler'!$N76=0,"x",G64/'AW Schüler'!$N76)</f>
        <v>0.16927972551568657</v>
      </c>
    </row>
    <row r="65" spans="1:12" ht="18.75" customHeight="1">
      <c r="A65" s="396" t="s">
        <v>312</v>
      </c>
      <c r="B65" s="396"/>
      <c r="C65" s="396"/>
      <c r="D65" s="396"/>
      <c r="E65" s="396"/>
      <c r="F65" s="396"/>
      <c r="G65" s="396"/>
      <c r="H65" s="396"/>
      <c r="I65" s="396"/>
      <c r="J65" s="396"/>
      <c r="K65" s="396"/>
      <c r="L65" s="396"/>
    </row>
    <row r="66" spans="1:12" ht="10.15" customHeight="1">
      <c r="A66" s="399" t="s">
        <v>101</v>
      </c>
      <c r="B66" s="399"/>
      <c r="C66" s="399"/>
      <c r="D66" s="399"/>
      <c r="E66" s="399"/>
      <c r="F66" s="399"/>
      <c r="G66" s="399"/>
      <c r="H66" s="399"/>
      <c r="I66" s="399"/>
      <c r="J66" s="257"/>
      <c r="K66" s="325"/>
      <c r="L66" s="350"/>
    </row>
    <row r="67" spans="1:12" ht="10.15" customHeight="1">
      <c r="A67" s="405"/>
      <c r="B67" s="405"/>
      <c r="C67" s="405"/>
      <c r="D67" s="405"/>
      <c r="E67" s="405"/>
      <c r="F67" s="405"/>
      <c r="G67" s="405"/>
      <c r="H67" s="405"/>
      <c r="I67" s="405"/>
      <c r="J67" s="257"/>
      <c r="K67" s="325"/>
      <c r="L67" s="350"/>
    </row>
    <row r="68" spans="1:12" ht="10.15" customHeight="1">
      <c r="A68" s="214"/>
    </row>
    <row r="83" spans="1:1" ht="10.5" customHeight="1"/>
    <row r="84" spans="1:1" ht="10.15" customHeight="1">
      <c r="A84" s="214"/>
    </row>
  </sheetData>
  <mergeCells count="9">
    <mergeCell ref="A1:L1"/>
    <mergeCell ref="A66:I66"/>
    <mergeCell ref="A67:I67"/>
    <mergeCell ref="C9:G9"/>
    <mergeCell ref="H9:L9"/>
    <mergeCell ref="A11:L11"/>
    <mergeCell ref="A29:L29"/>
    <mergeCell ref="A47:L47"/>
    <mergeCell ref="A65:L65"/>
  </mergeCells>
  <phoneticPr fontId="18" type="noConversion"/>
  <conditionalFormatting sqref="N25">
    <cfRule type="cellIs" dxfId="19"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M84"/>
  <sheetViews>
    <sheetView view="pageBreakPreview"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'3.2.5'!A1:F1+1</f>
        <v>52</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55</v>
      </c>
      <c r="B5" s="39" t="s">
        <v>15</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SUM(C30+C48)</f>
        <v>17265</v>
      </c>
      <c r="D12" s="42">
        <f>SUM(D30+D48)</f>
        <v>17383</v>
      </c>
      <c r="E12" s="42">
        <f>SUM(E30+E48)</f>
        <v>17886</v>
      </c>
      <c r="F12" s="42">
        <f>SUM(F30+F48)</f>
        <v>18665</v>
      </c>
      <c r="G12" s="44">
        <f>SUM(G30+G48)</f>
        <v>20636</v>
      </c>
      <c r="H12" s="153">
        <f>IF('AW Schüler'!$B78=0,"x",C12/'AW Schüler'!$B78)</f>
        <v>7.518518679806474E-2</v>
      </c>
      <c r="I12" s="153">
        <f>IF('AW Schüler'!$E78=0,"x",D12/'AW Schüler'!$E78)</f>
        <v>7.7406053373350728E-2</v>
      </c>
      <c r="J12" s="153">
        <f>IF('AW Schüler'!$H78=0,"x",E12/'AW Schüler'!$H78)</f>
        <v>8.2533119840526414E-2</v>
      </c>
      <c r="K12" s="153">
        <f>IF('AW Schüler'!$K78=0,"x",F12/'AW Schüler'!$K78)</f>
        <v>8.9065020089136596E-2</v>
      </c>
      <c r="L12" s="154">
        <f>IF('AW Schüler'!$N78=0,"x",G12/'AW Schüler'!$N78)</f>
        <v>0.10123378056856926</v>
      </c>
    </row>
    <row r="13" spans="1:13" ht="9" customHeight="1">
      <c r="A13" s="21" t="s">
        <v>81</v>
      </c>
      <c r="B13" s="120"/>
      <c r="C13" s="42">
        <f t="shared" ref="C13:C28" si="0">SUM(C31+C49)</f>
        <v>14077</v>
      </c>
      <c r="D13" s="42">
        <f t="shared" ref="D13:E13" si="1">SUM(D31+D49)</f>
        <v>15795</v>
      </c>
      <c r="E13" s="42">
        <f t="shared" si="1"/>
        <v>15921</v>
      </c>
      <c r="F13" s="42">
        <f t="shared" ref="F13:G13" si="2">SUM(F31+F49)</f>
        <v>18696</v>
      </c>
      <c r="G13" s="44">
        <f t="shared" si="2"/>
        <v>19608</v>
      </c>
      <c r="H13" s="153">
        <f>IF('AW Schüler'!$B79=0,"x",C13/'AW Schüler'!$B79)</f>
        <v>6.6614612909331822E-2</v>
      </c>
      <c r="I13" s="153">
        <f>IF('AW Schüler'!$E79=0,"x",D13/'AW Schüler'!$E79)</f>
        <v>7.5355307790293258E-2</v>
      </c>
      <c r="J13" s="153">
        <f>IF('AW Schüler'!$H79=0,"x",E13/'AW Schüler'!$H79)</f>
        <v>7.7633118782913985E-2</v>
      </c>
      <c r="K13" s="153">
        <f>IF('AW Schüler'!$K79=0,"x",F13/'AW Schüler'!$K79)</f>
        <v>9.2596628167284104E-2</v>
      </c>
      <c r="L13" s="154">
        <f>IF('AW Schüler'!$N79=0,"x",G13/'AW Schüler'!$N79)</f>
        <v>0.10026128885457307</v>
      </c>
    </row>
    <row r="14" spans="1:13" ht="9" customHeight="1">
      <c r="A14" s="21" t="s">
        <v>82</v>
      </c>
      <c r="B14" s="120"/>
      <c r="C14" s="149">
        <f t="shared" si="0"/>
        <v>0</v>
      </c>
      <c r="D14" s="149">
        <f t="shared" ref="D14:E14" si="3">SUM(D32+D50)</f>
        <v>0</v>
      </c>
      <c r="E14" s="149">
        <f t="shared" si="3"/>
        <v>0</v>
      </c>
      <c r="F14" s="149">
        <f t="shared" ref="F14:G14" si="4">SUM(F32+F50)</f>
        <v>0</v>
      </c>
      <c r="G14" s="150">
        <f t="shared" si="4"/>
        <v>0</v>
      </c>
      <c r="H14" s="198">
        <f>IF('AW Schüler'!$B80=0,"x",C14/'AW Schüler'!$B80)</f>
        <v>0</v>
      </c>
      <c r="I14" s="198">
        <f>IF('AW Schüler'!$E80=0,"x",D14/'AW Schüler'!$E80)</f>
        <v>0</v>
      </c>
      <c r="J14" s="198" t="str">
        <f>IF('AW Schüler'!$H80=0,"x",E14/'AW Schüler'!$H80)</f>
        <v>x</v>
      </c>
      <c r="K14" s="198" t="str">
        <f>IF('AW Schüler'!$K80=0,"x",F14/'AW Schüler'!$K80)</f>
        <v>x</v>
      </c>
      <c r="L14" s="199" t="str">
        <f>IF('AW Schüler'!$N80=0,"x",G14/'AW Schüler'!$N80)</f>
        <v>x</v>
      </c>
    </row>
    <row r="15" spans="1:13" ht="9" customHeight="1">
      <c r="A15" s="21" t="s">
        <v>83</v>
      </c>
      <c r="B15" s="120"/>
      <c r="C15" s="149">
        <f t="shared" si="0"/>
        <v>0</v>
      </c>
      <c r="D15" s="149">
        <f t="shared" ref="D15:E15" si="5">SUM(D33+D51)</f>
        <v>0</v>
      </c>
      <c r="E15" s="149">
        <f t="shared" si="5"/>
        <v>0</v>
      </c>
      <c r="F15" s="149">
        <f t="shared" ref="F15:G15" si="6">SUM(F33+F51)</f>
        <v>0</v>
      </c>
      <c r="G15" s="150">
        <f t="shared" si="6"/>
        <v>0</v>
      </c>
      <c r="H15" s="153" t="str">
        <f>IF('AW Schüler'!$B81=0,"x",C15/'AW Schüler'!$B81)</f>
        <v>x</v>
      </c>
      <c r="I15" s="153" t="str">
        <f>IF('AW Schüler'!$E81=0,"x",D15/'AW Schüler'!$E81)</f>
        <v>x</v>
      </c>
      <c r="J15" s="153" t="str">
        <f>IF('AW Schüler'!$H81=0,"x",E15/'AW Schüler'!$H81)</f>
        <v>x</v>
      </c>
      <c r="K15" s="153" t="str">
        <f>IF('AW Schüler'!$K81=0,"x",F15/'AW Schüler'!$K81)</f>
        <v>x</v>
      </c>
      <c r="L15" s="154" t="str">
        <f>IF('AW Schüler'!$N81=0,"x",G15/'AW Schüler'!$N81)</f>
        <v>x</v>
      </c>
    </row>
    <row r="16" spans="1:13" ht="9" customHeight="1">
      <c r="A16" s="21" t="s">
        <v>84</v>
      </c>
      <c r="B16" s="120"/>
      <c r="C16" s="149">
        <f t="shared" si="0"/>
        <v>0</v>
      </c>
      <c r="D16" s="149">
        <f t="shared" ref="D16:E16" si="7">SUM(D34+D52)</f>
        <v>0</v>
      </c>
      <c r="E16" s="149">
        <f t="shared" si="7"/>
        <v>0</v>
      </c>
      <c r="F16" s="149">
        <f t="shared" ref="F16:G16" si="8">SUM(F34+F52)</f>
        <v>0</v>
      </c>
      <c r="G16" s="150">
        <f t="shared" si="8"/>
        <v>0</v>
      </c>
      <c r="H16" s="153" t="str">
        <f>IF('AW Schüler'!$B82=0,"x",C16/'AW Schüler'!$B82)</f>
        <v>x</v>
      </c>
      <c r="I16" s="153" t="str">
        <f>IF('AW Schüler'!$E82=0,"x",D16/'AW Schüler'!$E82)</f>
        <v>x</v>
      </c>
      <c r="J16" s="153" t="str">
        <f>IF('AW Schüler'!$H82=0,"x",E16/'AW Schüler'!$H82)</f>
        <v>x</v>
      </c>
      <c r="K16" s="153" t="str">
        <f>IF('AW Schüler'!$K82=0,"x",F16/'AW Schüler'!$K82)</f>
        <v>x</v>
      </c>
      <c r="L16" s="154" t="str">
        <f>IF('AW Schüler'!$N82=0,"x",G16/'AW Schüler'!$N82)</f>
        <v>x</v>
      </c>
    </row>
    <row r="17" spans="1:12" ht="9" customHeight="1">
      <c r="A17" s="21" t="s">
        <v>85</v>
      </c>
      <c r="B17" s="120"/>
      <c r="C17" s="149">
        <f t="shared" si="0"/>
        <v>0</v>
      </c>
      <c r="D17" s="149">
        <f t="shared" ref="D17:E17" si="9">SUM(D35+D53)</f>
        <v>0</v>
      </c>
      <c r="E17" s="149">
        <f t="shared" si="9"/>
        <v>0</v>
      </c>
      <c r="F17" s="149">
        <f t="shared" ref="F17:G17" si="10">SUM(F35+F53)</f>
        <v>0</v>
      </c>
      <c r="G17" s="150">
        <f t="shared" si="10"/>
        <v>0</v>
      </c>
      <c r="H17" s="153" t="str">
        <f>IF('AW Schüler'!$B83=0,"x",C17/'AW Schüler'!$B83)</f>
        <v>x</v>
      </c>
      <c r="I17" s="153" t="str">
        <f>IF('AW Schüler'!$E83=0,"x",D17/'AW Schüler'!$E83)</f>
        <v>x</v>
      </c>
      <c r="J17" s="153" t="str">
        <f>IF('AW Schüler'!$H83=0,"x",E17/'AW Schüler'!$H83)</f>
        <v>x</v>
      </c>
      <c r="K17" s="153" t="str">
        <f>IF('AW Schüler'!$K83=0,"x",F17/'AW Schüler'!$K83)</f>
        <v>x</v>
      </c>
      <c r="L17" s="154" t="str">
        <f>IF('AW Schüler'!$N83=0,"x",G17/'AW Schüler'!$N83)</f>
        <v>x</v>
      </c>
    </row>
    <row r="18" spans="1:12" ht="9" customHeight="1">
      <c r="A18" s="21" t="s">
        <v>86</v>
      </c>
      <c r="B18" s="120"/>
      <c r="C18" s="42">
        <f t="shared" si="0"/>
        <v>37236</v>
      </c>
      <c r="D18" s="42">
        <f t="shared" ref="D18:E18" si="11">SUM(D36+D54)</f>
        <v>35764</v>
      </c>
      <c r="E18" s="42">
        <f t="shared" si="11"/>
        <v>34613</v>
      </c>
      <c r="F18" s="42">
        <f t="shared" ref="F18:G18" si="12">SUM(F36+F54)</f>
        <v>33407</v>
      </c>
      <c r="G18" s="44">
        <f t="shared" si="12"/>
        <v>33493</v>
      </c>
      <c r="H18" s="153">
        <f>IF('AW Schüler'!$B84=0,"x",C18/'AW Schüler'!$B84)</f>
        <v>0.48757365457640434</v>
      </c>
      <c r="I18" s="153">
        <f>IF('AW Schüler'!$E84=0,"x",D18/'AW Schüler'!$E84)</f>
        <v>0.49705359128307763</v>
      </c>
      <c r="J18" s="153">
        <f>IF('AW Schüler'!$H84=0,"x",E18/'AW Schüler'!$H84)</f>
        <v>0.513828065852174</v>
      </c>
      <c r="K18" s="153">
        <f>IF('AW Schüler'!$K84=0,"x",F18/'AW Schüler'!$K84)</f>
        <v>0.52169907082064493</v>
      </c>
      <c r="L18" s="154">
        <f>IF('AW Schüler'!$N84=0,"x",G18/'AW Schüler'!$N84)</f>
        <v>0.54702097079767431</v>
      </c>
    </row>
    <row r="19" spans="1:12" ht="9" customHeight="1">
      <c r="A19" s="21" t="s">
        <v>257</v>
      </c>
      <c r="B19" s="120"/>
      <c r="C19" s="149">
        <f t="shared" si="0"/>
        <v>0</v>
      </c>
      <c r="D19" s="149">
        <f t="shared" ref="D19:E19" si="13">SUM(D37+D55)</f>
        <v>0</v>
      </c>
      <c r="E19" s="149">
        <f t="shared" si="13"/>
        <v>0</v>
      </c>
      <c r="F19" s="149">
        <f t="shared" ref="F19:G19" si="14">SUM(F37+F55)</f>
        <v>0</v>
      </c>
      <c r="G19" s="150">
        <f t="shared" si="14"/>
        <v>0</v>
      </c>
      <c r="H19" s="153" t="str">
        <f>IF('AW Schüler'!$B85=0,"x",C19/'AW Schüler'!$B85)</f>
        <v>x</v>
      </c>
      <c r="I19" s="153" t="str">
        <f>IF('AW Schüler'!$E85=0,"x",D19/'AW Schüler'!$E85)</f>
        <v>x</v>
      </c>
      <c r="J19" s="153" t="str">
        <f>IF('AW Schüler'!$H85=0,"x",E19/'AW Schüler'!$H85)</f>
        <v>x</v>
      </c>
      <c r="K19" s="153" t="str">
        <f>IF('AW Schüler'!$K85=0,"x",F19/'AW Schüler'!$K85)</f>
        <v>x</v>
      </c>
      <c r="L19" s="154" t="str">
        <f>IF('AW Schüler'!$N85=0,"x",G19/'AW Schüler'!$N85)</f>
        <v>x</v>
      </c>
    </row>
    <row r="20" spans="1:12" ht="9" customHeight="1">
      <c r="A20" s="21" t="s">
        <v>88</v>
      </c>
      <c r="B20" s="120"/>
      <c r="C20" s="42">
        <f t="shared" si="0"/>
        <v>60524</v>
      </c>
      <c r="D20" s="42">
        <f t="shared" ref="D20:E20" si="15">SUM(D38+D56)</f>
        <v>54007</v>
      </c>
      <c r="E20" s="42">
        <f t="shared" si="15"/>
        <v>48605</v>
      </c>
      <c r="F20" s="42">
        <f t="shared" ref="F20:G20" si="16">SUM(F38+F56)</f>
        <v>41576</v>
      </c>
      <c r="G20" s="44">
        <f t="shared" si="16"/>
        <v>35341</v>
      </c>
      <c r="H20" s="153">
        <f>IF('AW Schüler'!$B86=0,"x",C20/'AW Schüler'!$B86)</f>
        <v>0.39585595248996036</v>
      </c>
      <c r="I20" s="153">
        <f>IF('AW Schüler'!$E86=0,"x",D20/'AW Schüler'!$E86)</f>
        <v>0.39950142766262781</v>
      </c>
      <c r="J20" s="153">
        <f>IF('AW Schüler'!$H86=0,"x",E20/'AW Schüler'!$H86)</f>
        <v>0.41959460626046718</v>
      </c>
      <c r="K20" s="153">
        <f>IF('AW Schüler'!$K86=0,"x",F20/'AW Schüler'!$K86)</f>
        <v>0.42658239537055087</v>
      </c>
      <c r="L20" s="154">
        <f>IF('AW Schüler'!$N86=0,"x",G20/'AW Schüler'!$N86)</f>
        <v>0.4348109597805091</v>
      </c>
    </row>
    <row r="21" spans="1:12" ht="9" customHeight="1">
      <c r="A21" s="21" t="s">
        <v>89</v>
      </c>
      <c r="B21" s="120"/>
      <c r="C21" s="42">
        <f t="shared" si="0"/>
        <v>36031</v>
      </c>
      <c r="D21" s="42">
        <f t="shared" ref="D21:E21" si="17">SUM(D39+D57)</f>
        <v>43151</v>
      </c>
      <c r="E21" s="42">
        <f t="shared" si="17"/>
        <v>48873</v>
      </c>
      <c r="F21" s="42">
        <f t="shared" ref="F21:G21" si="18">SUM(F39+F57)</f>
        <v>51956</v>
      </c>
      <c r="G21" s="44">
        <f t="shared" si="18"/>
        <v>51758</v>
      </c>
      <c r="H21" s="153">
        <f>IF('AW Schüler'!$B87=0,"x",C21/'AW Schüler'!$B87)</f>
        <v>0.13069721382892671</v>
      </c>
      <c r="I21" s="153">
        <f>IF('AW Schüler'!$E87=0,"x",D21/'AW Schüler'!$E87)</f>
        <v>0.16658045089561457</v>
      </c>
      <c r="J21" s="153">
        <f>IF('AW Schüler'!$H87=0,"x",E21/'AW Schüler'!$H87)</f>
        <v>0.2028026291765565</v>
      </c>
      <c r="K21" s="153">
        <f>IF('AW Schüler'!$K87=0,"x",F21/'AW Schüler'!$K87)</f>
        <v>0.22915867240048518</v>
      </c>
      <c r="L21" s="154">
        <f>IF('AW Schüler'!$N87=0,"x",G21/'AW Schüler'!$N87)</f>
        <v>0.24139844875914723</v>
      </c>
    </row>
    <row r="22" spans="1:12" ht="9" customHeight="1">
      <c r="A22" s="21" t="s">
        <v>90</v>
      </c>
      <c r="B22" s="120"/>
      <c r="C22" s="42">
        <f t="shared" si="0"/>
        <v>181</v>
      </c>
      <c r="D22" s="149">
        <f t="shared" ref="D22:E22" si="19">SUM(D40+D58)</f>
        <v>0</v>
      </c>
      <c r="E22" s="149">
        <f t="shared" si="19"/>
        <v>0</v>
      </c>
      <c r="F22" s="149">
        <f t="shared" ref="F22:G22" si="20">SUM(F40+F58)</f>
        <v>0</v>
      </c>
      <c r="G22" s="150">
        <f t="shared" si="20"/>
        <v>0</v>
      </c>
      <c r="H22" s="153">
        <f>IF('AW Schüler'!$B88=0,"x",C22/'AW Schüler'!$B88)</f>
        <v>6.6373303997066369E-2</v>
      </c>
      <c r="I22" s="153" t="str">
        <f>IF('AW Schüler'!$E88=0,"x",D22/'AW Schüler'!$E88)</f>
        <v>x</v>
      </c>
      <c r="J22" s="153" t="str">
        <f>IF('AW Schüler'!$H88=0,"x",E22/'AW Schüler'!$H88)</f>
        <v>x</v>
      </c>
      <c r="K22" s="153" t="str">
        <f>IF('AW Schüler'!$K88=0,"x",F22/'AW Schüler'!$K88)</f>
        <v>x</v>
      </c>
      <c r="L22" s="154" t="str">
        <f>IF('AW Schüler'!$N88=0,"x",G22/'AW Schüler'!$N88)</f>
        <v>x</v>
      </c>
    </row>
    <row r="23" spans="1:12" ht="9" customHeight="1">
      <c r="A23" s="21" t="s">
        <v>91</v>
      </c>
      <c r="B23" s="120"/>
      <c r="C23" s="149">
        <f t="shared" si="0"/>
        <v>0</v>
      </c>
      <c r="D23" s="149">
        <f t="shared" ref="D23:E23" si="21">SUM(D41+D59)</f>
        <v>0</v>
      </c>
      <c r="E23" s="149">
        <f t="shared" si="21"/>
        <v>0</v>
      </c>
      <c r="F23" s="149">
        <f t="shared" ref="F23:G23" si="22">SUM(F41+F59)</f>
        <v>0</v>
      </c>
      <c r="G23" s="150">
        <f t="shared" si="22"/>
        <v>0</v>
      </c>
      <c r="H23" s="153" t="str">
        <f>IF('AW Schüler'!$B89=0,"x",C23/'AW Schüler'!$B89)</f>
        <v>x</v>
      </c>
      <c r="I23" s="153" t="str">
        <f>IF('AW Schüler'!$E89=0,"x",D23/'AW Schüler'!$E89)</f>
        <v>x</v>
      </c>
      <c r="J23" s="153" t="str">
        <f>IF('AW Schüler'!$H89=0,"x",E23/'AW Schüler'!$H89)</f>
        <v>x</v>
      </c>
      <c r="K23" s="153" t="str">
        <f>IF('AW Schüler'!$K89=0,"x",F23/'AW Schüler'!$K89)</f>
        <v>x</v>
      </c>
      <c r="L23" s="154" t="str">
        <f>IF('AW Schüler'!$N89=0,"x",G23/'AW Schüler'!$N89)</f>
        <v>x</v>
      </c>
    </row>
    <row r="24" spans="1:12" ht="9" customHeight="1">
      <c r="A24" s="21" t="s">
        <v>92</v>
      </c>
      <c r="B24" s="120"/>
      <c r="C24" s="149">
        <f t="shared" si="0"/>
        <v>0</v>
      </c>
      <c r="D24" s="149">
        <f t="shared" ref="D24:E24" si="23">SUM(D42+D60)</f>
        <v>0</v>
      </c>
      <c r="E24" s="149">
        <f t="shared" si="23"/>
        <v>0</v>
      </c>
      <c r="F24" s="149">
        <f t="shared" ref="F24:G24" si="24">SUM(F42+F60)</f>
        <v>0</v>
      </c>
      <c r="G24" s="150">
        <f t="shared" si="24"/>
        <v>0</v>
      </c>
      <c r="H24" s="153" t="str">
        <f>IF('AW Schüler'!$B90=0,"x",C24/'AW Schüler'!$B90)</f>
        <v>x</v>
      </c>
      <c r="I24" s="153" t="str">
        <f>IF('AW Schüler'!$E90=0,"x",D24/'AW Schüler'!$E90)</f>
        <v>x</v>
      </c>
      <c r="J24" s="153" t="str">
        <f>IF('AW Schüler'!$H90=0,"x",E24/'AW Schüler'!$H90)</f>
        <v>x</v>
      </c>
      <c r="K24" s="153" t="str">
        <f>IF('AW Schüler'!$K90=0,"x",F24/'AW Schüler'!$K90)</f>
        <v>x</v>
      </c>
      <c r="L24" s="154" t="str">
        <f>IF('AW Schüler'!$N90=0,"x",G24/'AW Schüler'!$N90)</f>
        <v>x</v>
      </c>
    </row>
    <row r="25" spans="1:12" ht="9" customHeight="1">
      <c r="A25" s="21" t="s">
        <v>93</v>
      </c>
      <c r="B25" s="120"/>
      <c r="C25" s="149">
        <f t="shared" si="0"/>
        <v>0</v>
      </c>
      <c r="D25" s="149">
        <f t="shared" ref="D25:E25" si="25">SUM(D43+D61)</f>
        <v>0</v>
      </c>
      <c r="E25" s="149">
        <f t="shared" si="25"/>
        <v>0</v>
      </c>
      <c r="F25" s="149">
        <f t="shared" ref="F25:G25" si="26">SUM(F43+F61)</f>
        <v>0</v>
      </c>
      <c r="G25" s="150">
        <f t="shared" si="26"/>
        <v>0</v>
      </c>
      <c r="H25" s="153" t="str">
        <f>IF('AW Schüler'!$B91=0,"x",C25/'AW Schüler'!$B91)</f>
        <v>x</v>
      </c>
      <c r="I25" s="153" t="str">
        <f>IF('AW Schüler'!$E91=0,"x",D25/'AW Schüler'!$E91)</f>
        <v>x</v>
      </c>
      <c r="J25" s="153" t="str">
        <f>IF('AW Schüler'!$H91=0,"x",E25/'AW Schüler'!$H91)</f>
        <v>x</v>
      </c>
      <c r="K25" s="153" t="str">
        <f>IF('AW Schüler'!$K91=0,"x",F25/'AW Schüler'!$K91)</f>
        <v>x</v>
      </c>
      <c r="L25" s="154" t="str">
        <f>IF('AW Schüler'!$N91=0,"x",G25/'AW Schüler'!$N91)</f>
        <v>x</v>
      </c>
    </row>
    <row r="26" spans="1:12" ht="9" customHeight="1">
      <c r="A26" s="21" t="s">
        <v>94</v>
      </c>
      <c r="B26" s="120"/>
      <c r="C26" s="42">
        <f t="shared" si="0"/>
        <v>4439</v>
      </c>
      <c r="D26" s="42">
        <f t="shared" ref="D26:E26" si="27">SUM(D44+D62)</f>
        <v>1832</v>
      </c>
      <c r="E26" s="42">
        <f t="shared" si="27"/>
        <v>429</v>
      </c>
      <c r="F26" s="42">
        <f t="shared" ref="F26:G26" si="28">SUM(F44+F62)</f>
        <v>0</v>
      </c>
      <c r="G26" s="150">
        <f t="shared" si="28"/>
        <v>0</v>
      </c>
      <c r="H26" s="153">
        <f>IF('AW Schüler'!$B92=0,"x",C26/'AW Schüler'!$B92)</f>
        <v>0.26779681467181465</v>
      </c>
      <c r="I26" s="153">
        <f>IF('AW Schüler'!$E92=0,"x",D26/'AW Schüler'!$E92)</f>
        <v>0.26838558452973921</v>
      </c>
      <c r="J26" s="153">
        <f>IF('AW Schüler'!$H92=0,"x",E26/'AW Schüler'!$H92)</f>
        <v>0.25611940298507463</v>
      </c>
      <c r="K26" s="153">
        <f>IF('AW Schüler'!$K92=0,"x",F26/'AW Schüler'!$K92)</f>
        <v>0</v>
      </c>
      <c r="L26" s="154" t="str">
        <f>IF('AW Schüler'!$N92=0,"x",G26/'AW Schüler'!$N92)</f>
        <v>x</v>
      </c>
    </row>
    <row r="27" spans="1:12" ht="9" customHeight="1">
      <c r="A27" s="21" t="s">
        <v>95</v>
      </c>
      <c r="B27" s="120"/>
      <c r="C27" s="149">
        <f t="shared" si="0"/>
        <v>0</v>
      </c>
      <c r="D27" s="149">
        <f t="shared" ref="D27:E27" si="29">SUM(D45+D63)</f>
        <v>0</v>
      </c>
      <c r="E27" s="149">
        <f t="shared" si="29"/>
        <v>0</v>
      </c>
      <c r="F27" s="149">
        <f t="shared" ref="F27:G27" si="30">SUM(F45+F63)</f>
        <v>0</v>
      </c>
      <c r="G27" s="150">
        <f t="shared" si="30"/>
        <v>0</v>
      </c>
      <c r="H27" s="153" t="str">
        <f>IF('AW Schüler'!$B93=0,"x",C27/'AW Schüler'!$B93)</f>
        <v>x</v>
      </c>
      <c r="I27" s="153" t="str">
        <f>IF('AW Schüler'!$E93=0,"x",D27/'AW Schüler'!$E93)</f>
        <v>x</v>
      </c>
      <c r="J27" s="153" t="str">
        <f>IF('AW Schüler'!$H93=0,"x",E27/'AW Schüler'!$H93)</f>
        <v>x</v>
      </c>
      <c r="K27" s="153" t="str">
        <f>IF('AW Schüler'!$K93=0,"x",F27/'AW Schüler'!$K93)</f>
        <v>x</v>
      </c>
      <c r="L27" s="154" t="str">
        <f>IF('AW Schüler'!$N93=0,"x",G27/'AW Schüler'!$N93)</f>
        <v>x</v>
      </c>
    </row>
    <row r="28" spans="1:12" ht="9" customHeight="1">
      <c r="A28" s="21" t="s">
        <v>96</v>
      </c>
      <c r="B28" s="120"/>
      <c r="C28" s="42">
        <f t="shared" si="0"/>
        <v>169753</v>
      </c>
      <c r="D28" s="42">
        <f t="shared" ref="D28:E28" si="31">SUM(D46+D64)</f>
        <v>167932</v>
      </c>
      <c r="E28" s="42">
        <f t="shared" si="31"/>
        <v>166327</v>
      </c>
      <c r="F28" s="42">
        <f t="shared" ref="F28:G28" si="32">SUM(F46+F64)</f>
        <v>164300</v>
      </c>
      <c r="G28" s="44">
        <f t="shared" si="32"/>
        <v>160836</v>
      </c>
      <c r="H28" s="153">
        <f>IF('AW Schüler'!$B94=0,"x",C28/'AW Schüler'!$B94)</f>
        <v>0.17495565635296823</v>
      </c>
      <c r="I28" s="153">
        <f>IF('AW Schüler'!$E94=0,"x",D28/'AW Schüler'!$E94)</f>
        <v>0.18500235202356652</v>
      </c>
      <c r="J28" s="153">
        <f>IF('AW Schüler'!$H94=0,"x",E28/'AW Schüler'!$H94)</f>
        <v>0.19621969735400049</v>
      </c>
      <c r="K28" s="153">
        <f>IF('AW Schüler'!$K94=0,"x",F28/'AW Schüler'!$K94)</f>
        <v>0.20544742021562601</v>
      </c>
      <c r="L28" s="154">
        <f>IF('AW Schüler'!$N94=0,"x",G28/'AW Schüler'!$N94)</f>
        <v>0.21265320693348141</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[1]GtS!$E$28</f>
        <v>4884</v>
      </c>
      <c r="D30" s="23">
        <f>[2]GtS!$E$30</f>
        <v>4552</v>
      </c>
      <c r="E30" s="23">
        <f>[3]GtS!$E$30</f>
        <v>4279</v>
      </c>
      <c r="F30" s="23">
        <f>[4]GtS!$E$30</f>
        <v>4416</v>
      </c>
      <c r="G30" s="34">
        <f>[5]GtS!$E$30</f>
        <v>4527</v>
      </c>
      <c r="H30" s="155">
        <f>IF('AW Schüler'!$B78=0,"x",C30/'AW Schüler'!$B78)</f>
        <v>2.1268720088140642E-2</v>
      </c>
      <c r="I30" s="155">
        <f>IF('AW Schüler'!$E78=0,"x",D30/'AW Schüler'!$E78)</f>
        <v>2.0269939305959415E-2</v>
      </c>
      <c r="J30" s="155">
        <f>IF('AW Schüler'!$H78=0,"x",E30/'AW Schüler'!$H78)</f>
        <v>1.9745008375132087E-2</v>
      </c>
      <c r="K30" s="155">
        <f>IF('AW Schüler'!$K78=0,"x",F30/'AW Schüler'!$K78)</f>
        <v>2.1072120477558381E-2</v>
      </c>
      <c r="L30" s="156">
        <f>IF('AW Schüler'!$N78=0,"x",G30/'AW Schüler'!$N78)</f>
        <v>2.2208050234246608E-2</v>
      </c>
    </row>
    <row r="31" spans="1:12" ht="9" customHeight="1">
      <c r="A31" s="21" t="s">
        <v>81</v>
      </c>
      <c r="B31" s="120"/>
      <c r="C31" s="23">
        <f>[6]GtS!$E$28</f>
        <v>5203</v>
      </c>
      <c r="D31" s="23">
        <f>[7]GtS!$E$30</f>
        <v>6448</v>
      </c>
      <c r="E31" s="23">
        <f>[8]GtS!$E$30</f>
        <v>6579</v>
      </c>
      <c r="F31" s="23">
        <f>[9]GtS!$E$30</f>
        <v>7523</v>
      </c>
      <c r="G31" s="34">
        <f>[10]GtS!$E$30</f>
        <v>7926</v>
      </c>
      <c r="H31" s="155">
        <f>IF('AW Schüler'!$B79=0,"x",C31/'AW Schüler'!$B79)</f>
        <v>2.4621427219382926E-2</v>
      </c>
      <c r="I31" s="155">
        <f>IF('AW Schüler'!$E79=0,"x",D31/'AW Schüler'!$E79)</f>
        <v>3.076233141068762E-2</v>
      </c>
      <c r="J31" s="155">
        <f>IF('AW Schüler'!$H79=0,"x",E31/'AW Schüler'!$H79)</f>
        <v>3.2080163838502047E-2</v>
      </c>
      <c r="K31" s="155">
        <f>IF('AW Schüler'!$K79=0,"x",F31/'AW Schüler'!$K79)</f>
        <v>3.7259543950710225E-2</v>
      </c>
      <c r="L31" s="156">
        <f>IF('AW Schüler'!$N79=0,"x",G31/'AW Schüler'!$N79)</f>
        <v>4.0527895525364448E-2</v>
      </c>
    </row>
    <row r="32" spans="1:12" ht="9" customHeight="1">
      <c r="A32" s="21" t="s">
        <v>82</v>
      </c>
      <c r="B32" s="120"/>
      <c r="C32" s="23">
        <f>[11]GtS!$E$28</f>
        <v>0</v>
      </c>
      <c r="D32" s="23">
        <f>[12]GtS!$E$30</f>
        <v>0</v>
      </c>
      <c r="E32" s="23">
        <f>[13]GtS!$E$30</f>
        <v>0</v>
      </c>
      <c r="F32" s="23">
        <f>[14]GtS!$E$30</f>
        <v>0</v>
      </c>
      <c r="G32" s="34">
        <f>[15]GtS!$E$30</f>
        <v>0</v>
      </c>
      <c r="H32" s="193">
        <f>IF('AW Schüler'!$B80=0,"x",C32/'AW Schüler'!$B80)</f>
        <v>0</v>
      </c>
      <c r="I32" s="193">
        <f>IF('AW Schüler'!$E80=0,"x",D32/'AW Schüler'!$E80)</f>
        <v>0</v>
      </c>
      <c r="J32" s="193" t="str">
        <f>IF('AW Schüler'!$H80=0,"x",E32/'AW Schüler'!$H80)</f>
        <v>x</v>
      </c>
      <c r="K32" s="193" t="str">
        <f>IF('AW Schüler'!$K80=0,"x",F32/'AW Schüler'!$K80)</f>
        <v>x</v>
      </c>
      <c r="L32" s="194" t="str">
        <f>IF('AW Schüler'!$N80=0,"x",G32/'AW Schüler'!$N80)</f>
        <v>x</v>
      </c>
    </row>
    <row r="33" spans="1:12" ht="9" customHeight="1">
      <c r="A33" s="21" t="s">
        <v>83</v>
      </c>
      <c r="B33" s="120"/>
      <c r="C33" s="151">
        <f>[16]GtS!$E$28</f>
        <v>0</v>
      </c>
      <c r="D33" s="151">
        <f>[17]GtS!$E$30</f>
        <v>0</v>
      </c>
      <c r="E33" s="151">
        <f>[18]GtS!$E$30</f>
        <v>0</v>
      </c>
      <c r="F33" s="151">
        <f>[19]GtS!$E$30</f>
        <v>0</v>
      </c>
      <c r="G33" s="152">
        <f>[20]GtS!$E$30</f>
        <v>0</v>
      </c>
      <c r="H33" s="155" t="str">
        <f>IF('AW Schüler'!$B81=0,"x",C33/'AW Schüler'!$B81)</f>
        <v>x</v>
      </c>
      <c r="I33" s="155" t="str">
        <f>IF('AW Schüler'!$E81=0,"x",D33/'AW Schüler'!$E81)</f>
        <v>x</v>
      </c>
      <c r="J33" s="155" t="str">
        <f>IF('AW Schüler'!$H81=0,"x",E33/'AW Schüler'!$H81)</f>
        <v>x</v>
      </c>
      <c r="K33" s="155" t="str">
        <f>IF('AW Schüler'!$K81=0,"x",F33/'AW Schüler'!$K81)</f>
        <v>x</v>
      </c>
      <c r="L33" s="156" t="str">
        <f>IF('AW Schüler'!$N81=0,"x",G33/'AW Schüler'!$N81)</f>
        <v>x</v>
      </c>
    </row>
    <row r="34" spans="1:12" ht="9" customHeight="1">
      <c r="A34" s="21" t="s">
        <v>84</v>
      </c>
      <c r="B34" s="120"/>
      <c r="C34" s="151">
        <f>[21]GtS!$E$28</f>
        <v>0</v>
      </c>
      <c r="D34" s="151">
        <f>[22]GtS!$E$30</f>
        <v>0</v>
      </c>
      <c r="E34" s="151">
        <f>[23]GtS!$E$30</f>
        <v>0</v>
      </c>
      <c r="F34" s="151">
        <f>[24]GtS!$E$30</f>
        <v>0</v>
      </c>
      <c r="G34" s="152">
        <f>[25]GtS!$E$30</f>
        <v>0</v>
      </c>
      <c r="H34" s="155" t="str">
        <f>IF('AW Schüler'!$B82=0,"x",C34/'AW Schüler'!$B82)</f>
        <v>x</v>
      </c>
      <c r="I34" s="155" t="str">
        <f>IF('AW Schüler'!$E82=0,"x",D34/'AW Schüler'!$E82)</f>
        <v>x</v>
      </c>
      <c r="J34" s="155" t="str">
        <f>IF('AW Schüler'!$H82=0,"x",E34/'AW Schüler'!$H82)</f>
        <v>x</v>
      </c>
      <c r="K34" s="155" t="str">
        <f>IF('AW Schüler'!$K82=0,"x",F34/'AW Schüler'!$K82)</f>
        <v>x</v>
      </c>
      <c r="L34" s="156" t="str">
        <f>IF('AW Schüler'!$N82=0,"x",G34/'AW Schüler'!$N82)</f>
        <v>x</v>
      </c>
    </row>
    <row r="35" spans="1:12" ht="9" customHeight="1">
      <c r="A35" s="21" t="s">
        <v>85</v>
      </c>
      <c r="B35" s="120"/>
      <c r="C35" s="151">
        <f>[26]GtS!$E$28</f>
        <v>0</v>
      </c>
      <c r="D35" s="151">
        <f>[27]GtS!$E$30</f>
        <v>0</v>
      </c>
      <c r="E35" s="151">
        <f>[28]GtS!$E$30</f>
        <v>0</v>
      </c>
      <c r="F35" s="151">
        <f>[29]GtS!$E$30</f>
        <v>0</v>
      </c>
      <c r="G35" s="152">
        <f>[30]GtS!$E$30</f>
        <v>0</v>
      </c>
      <c r="H35" s="155" t="str">
        <f>IF('AW Schüler'!$B83=0,"x",C35/'AW Schüler'!$B83)</f>
        <v>x</v>
      </c>
      <c r="I35" s="155" t="str">
        <f>IF('AW Schüler'!$E83=0,"x",D35/'AW Schüler'!$E83)</f>
        <v>x</v>
      </c>
      <c r="J35" s="155" t="str">
        <f>IF('AW Schüler'!$H83=0,"x",E35/'AW Schüler'!$H83)</f>
        <v>x</v>
      </c>
      <c r="K35" s="155" t="str">
        <f>IF('AW Schüler'!$K83=0,"x",F35/'AW Schüler'!$K83)</f>
        <v>x</v>
      </c>
      <c r="L35" s="156" t="str">
        <f>IF('AW Schüler'!$N83=0,"x",G35/'AW Schüler'!$N83)</f>
        <v>x</v>
      </c>
    </row>
    <row r="36" spans="1:12" ht="9" customHeight="1">
      <c r="A36" s="21" t="s">
        <v>86</v>
      </c>
      <c r="B36" s="120"/>
      <c r="C36" s="23">
        <f>[66]GtS!$E$28</f>
        <v>1157</v>
      </c>
      <c r="D36" s="23">
        <f>[67]GtS!$E$30</f>
        <v>959</v>
      </c>
      <c r="E36" s="23">
        <f>[68]GtS!$E$30</f>
        <v>891</v>
      </c>
      <c r="F36" s="23">
        <f>[69]GtS!$E$30</f>
        <v>972</v>
      </c>
      <c r="G36" s="34">
        <f>[70]GtS!$E$30</f>
        <v>1239</v>
      </c>
      <c r="H36" s="155">
        <f>IF('AW Schüler'!$B84=0,"x",C36/'AW Schüler'!$B84)</f>
        <v>1.514992798219196E-2</v>
      </c>
      <c r="I36" s="155">
        <f>IF('AW Schüler'!$E84=0,"x",D36/'AW Schüler'!$E84)</f>
        <v>1.3328329997776295E-2</v>
      </c>
      <c r="J36" s="155">
        <f>IF('AW Schüler'!$H84=0,"x",E36/'AW Schüler'!$H84)</f>
        <v>1.3226845597731693E-2</v>
      </c>
      <c r="K36" s="155">
        <f>IF('AW Schüler'!$K84=0,"x",F36/'AW Schüler'!$K84)</f>
        <v>1.5179198875614898E-2</v>
      </c>
      <c r="L36" s="156">
        <f>IF('AW Schüler'!$N84=0,"x",G36/'AW Schüler'!$N84)</f>
        <v>2.0235839811850787E-2</v>
      </c>
    </row>
    <row r="37" spans="1:12" ht="9" customHeight="1">
      <c r="A37" s="21" t="s">
        <v>257</v>
      </c>
      <c r="B37" s="120"/>
      <c r="C37" s="151">
        <f>[31]GtS!$E$28</f>
        <v>0</v>
      </c>
      <c r="D37" s="151">
        <f>[32]GtS!$E$30</f>
        <v>0</v>
      </c>
      <c r="E37" s="151">
        <f>[33]GtS!$E$30</f>
        <v>0</v>
      </c>
      <c r="F37" s="151">
        <f>[34]GtS!$E$30</f>
        <v>0</v>
      </c>
      <c r="G37" s="152">
        <f>[35]GtS!$E$30</f>
        <v>0</v>
      </c>
      <c r="H37" s="155" t="str">
        <f>IF('AW Schüler'!$B85=0,"x",C37/'AW Schüler'!$B85)</f>
        <v>x</v>
      </c>
      <c r="I37" s="155" t="str">
        <f>IF('AW Schüler'!$E85=0,"x",D37/'AW Schüler'!$E85)</f>
        <v>x</v>
      </c>
      <c r="J37" s="155" t="str">
        <f>IF('AW Schüler'!$H85=0,"x",E37/'AW Schüler'!$H85)</f>
        <v>x</v>
      </c>
      <c r="K37" s="155" t="str">
        <f>IF('AW Schüler'!$K85=0,"x",F37/'AW Schüler'!$K85)</f>
        <v>x</v>
      </c>
      <c r="L37" s="156" t="str">
        <f>IF('AW Schüler'!$N85=0,"x",G37/'AW Schüler'!$N85)</f>
        <v>x</v>
      </c>
    </row>
    <row r="38" spans="1:12" ht="9" customHeight="1">
      <c r="A38" s="21" t="s">
        <v>88</v>
      </c>
      <c r="B38" s="120"/>
      <c r="C38" s="23">
        <f>[71]GtS!$E$28</f>
        <v>15258</v>
      </c>
      <c r="D38" s="23">
        <f>[72]GtS!$E$30</f>
        <v>13294</v>
      </c>
      <c r="E38" s="23">
        <f>[73]GtS!$E$30</f>
        <v>14066</v>
      </c>
      <c r="F38" s="23">
        <f>[74]GtS!$E$30</f>
        <v>14192</v>
      </c>
      <c r="G38" s="34">
        <f>[75]GtS!$E$30</f>
        <v>11374</v>
      </c>
      <c r="H38" s="155">
        <f>IF('AW Schüler'!$B86=0,"x",C38/'AW Schüler'!$B86)</f>
        <v>9.9794628958624926E-2</v>
      </c>
      <c r="I38" s="155">
        <f>IF('AW Schüler'!$E86=0,"x",D38/'AW Schüler'!$E86)</f>
        <v>9.833858535647183E-2</v>
      </c>
      <c r="J38" s="155">
        <f>IF('AW Schüler'!$H86=0,"x",E38/'AW Schüler'!$H86)</f>
        <v>0.12142820145375438</v>
      </c>
      <c r="K38" s="155">
        <f>IF('AW Schüler'!$K86=0,"x",F38/'AW Schüler'!$K86)</f>
        <v>0.14561423309358423</v>
      </c>
      <c r="L38" s="156">
        <f>IF('AW Schüler'!$N86=0,"x",G38/'AW Schüler'!$N86)</f>
        <v>0.13993774529706321</v>
      </c>
    </row>
    <row r="39" spans="1:12" ht="9" customHeight="1">
      <c r="A39" s="21" t="s">
        <v>89</v>
      </c>
      <c r="B39" s="120"/>
      <c r="C39" s="23">
        <f>[36]GtS!$E$28</f>
        <v>36031</v>
      </c>
      <c r="D39" s="23">
        <f>[37]GtS!$E$30</f>
        <v>43151</v>
      </c>
      <c r="E39" s="23">
        <f>[38]GtS!$E$30</f>
        <v>48873</v>
      </c>
      <c r="F39" s="23">
        <f>[39]GtS!$E$30</f>
        <v>51956</v>
      </c>
      <c r="G39" s="34">
        <f>[40]GtS!$E$30</f>
        <v>51758</v>
      </c>
      <c r="H39" s="155">
        <f>IF('AW Schüler'!$B87=0,"x",C39/'AW Schüler'!$B87)</f>
        <v>0.13069721382892671</v>
      </c>
      <c r="I39" s="155">
        <f>IF('AW Schüler'!$E87=0,"x",D39/'AW Schüler'!$E87)</f>
        <v>0.16658045089561457</v>
      </c>
      <c r="J39" s="155">
        <f>IF('AW Schüler'!$H87=0,"x",E39/'AW Schüler'!$H87)</f>
        <v>0.2028026291765565</v>
      </c>
      <c r="K39" s="155">
        <f>IF('AW Schüler'!$K87=0,"x",F39/'AW Schüler'!$K87)</f>
        <v>0.22915867240048518</v>
      </c>
      <c r="L39" s="156">
        <f>IF('AW Schüler'!$N87=0,"x",G39/'AW Schüler'!$N87)</f>
        <v>0.24139844875914723</v>
      </c>
    </row>
    <row r="40" spans="1:12" ht="9" customHeight="1">
      <c r="A40" s="21" t="s">
        <v>90</v>
      </c>
      <c r="B40" s="120"/>
      <c r="C40" s="23">
        <f>[41]GtS!$E$28</f>
        <v>181</v>
      </c>
      <c r="D40" s="151">
        <f>[42]GtS!$E$30</f>
        <v>0</v>
      </c>
      <c r="E40" s="151">
        <f>[43]GtS!$E$30</f>
        <v>0</v>
      </c>
      <c r="F40" s="151">
        <f>[44]GtS!$E$30</f>
        <v>0</v>
      </c>
      <c r="G40" s="152">
        <f>[45]GtS!$E$30</f>
        <v>0</v>
      </c>
      <c r="H40" s="155">
        <f>IF('AW Schüler'!$B88=0,"x",C40/'AW Schüler'!$B88)</f>
        <v>6.6373303997066369E-2</v>
      </c>
      <c r="I40" s="155" t="str">
        <f>IF('AW Schüler'!$E88=0,"x",D40/'AW Schüler'!$E88)</f>
        <v>x</v>
      </c>
      <c r="J40" s="155" t="str">
        <f>IF('AW Schüler'!$H88=0,"x",E40/'AW Schüler'!$H88)</f>
        <v>x</v>
      </c>
      <c r="K40" s="155" t="str">
        <f>IF('AW Schüler'!$K88=0,"x",F40/'AW Schüler'!$K88)</f>
        <v>x</v>
      </c>
      <c r="L40" s="156" t="str">
        <f>IF('AW Schüler'!$N88=0,"x",G40/'AW Schüler'!$N88)</f>
        <v>x</v>
      </c>
    </row>
    <row r="41" spans="1:12" ht="9" customHeight="1">
      <c r="A41" s="21" t="s">
        <v>91</v>
      </c>
      <c r="B41" s="120"/>
      <c r="C41" s="151">
        <f>[46]GtS!$E$28</f>
        <v>0</v>
      </c>
      <c r="D41" s="151">
        <f>[47]GtS!$E$30</f>
        <v>0</v>
      </c>
      <c r="E41" s="151">
        <f>[48]GtS!$E$30</f>
        <v>0</v>
      </c>
      <c r="F41" s="151">
        <f>[49]GtS!$E$30</f>
        <v>0</v>
      </c>
      <c r="G41" s="152">
        <f>[50]GtS!$E$30</f>
        <v>0</v>
      </c>
      <c r="H41" s="155" t="str">
        <f>IF('AW Schüler'!$B89=0,"x",C41/'AW Schüler'!$B89)</f>
        <v>x</v>
      </c>
      <c r="I41" s="155" t="str">
        <f>IF('AW Schüler'!$E89=0,"x",D41/'AW Schüler'!$E89)</f>
        <v>x</v>
      </c>
      <c r="J41" s="155" t="str">
        <f>IF('AW Schüler'!$H89=0,"x",E41/'AW Schüler'!$H89)</f>
        <v>x</v>
      </c>
      <c r="K41" s="155" t="str">
        <f>IF('AW Schüler'!$K89=0,"x",F41/'AW Schüler'!$K89)</f>
        <v>x</v>
      </c>
      <c r="L41" s="156" t="str">
        <f>IF('AW Schüler'!$N89=0,"x",G41/'AW Schüler'!$N89)</f>
        <v>x</v>
      </c>
    </row>
    <row r="42" spans="1:12" ht="9" customHeight="1">
      <c r="A42" s="21" t="s">
        <v>92</v>
      </c>
      <c r="B42" s="120"/>
      <c r="C42" s="151">
        <f>[51]GtS!$E$28</f>
        <v>0</v>
      </c>
      <c r="D42" s="151">
        <f>[52]GtS!$E$30</f>
        <v>0</v>
      </c>
      <c r="E42" s="151">
        <f>[53]GtS!$E$30</f>
        <v>0</v>
      </c>
      <c r="F42" s="151">
        <f>[54]GtS!$E$30</f>
        <v>0</v>
      </c>
      <c r="G42" s="152">
        <f>[55]GtS!$E$30</f>
        <v>0</v>
      </c>
      <c r="H42" s="155" t="str">
        <f>IF('AW Schüler'!$B90=0,"x",C42/'AW Schüler'!$B90)</f>
        <v>x</v>
      </c>
      <c r="I42" s="155" t="str">
        <f>IF('AW Schüler'!$E90=0,"x",D42/'AW Schüler'!$E90)</f>
        <v>x</v>
      </c>
      <c r="J42" s="155" t="str">
        <f>IF('AW Schüler'!$H90=0,"x",E42/'AW Schüler'!$H90)</f>
        <v>x</v>
      </c>
      <c r="K42" s="155" t="str">
        <f>IF('AW Schüler'!$K90=0,"x",F42/'AW Schüler'!$K90)</f>
        <v>x</v>
      </c>
      <c r="L42" s="156" t="str">
        <f>IF('AW Schüler'!$N90=0,"x",G42/'AW Schüler'!$N90)</f>
        <v>x</v>
      </c>
    </row>
    <row r="43" spans="1:12" ht="9" customHeight="1">
      <c r="A43" s="21" t="s">
        <v>93</v>
      </c>
      <c r="B43" s="120"/>
      <c r="C43" s="151">
        <f>[76]GtS!$E$28</f>
        <v>0</v>
      </c>
      <c r="D43" s="151">
        <f>[77]GtS!$E$30</f>
        <v>0</v>
      </c>
      <c r="E43" s="151">
        <f>[78]GtS!$E$30</f>
        <v>0</v>
      </c>
      <c r="F43" s="151">
        <f>[79]GtS!$E$30</f>
        <v>0</v>
      </c>
      <c r="G43" s="152">
        <f>[80]GtS!$E$30</f>
        <v>0</v>
      </c>
      <c r="H43" s="155" t="str">
        <f>IF('AW Schüler'!$B91=0,"x",C43/'AW Schüler'!$B91)</f>
        <v>x</v>
      </c>
      <c r="I43" s="155" t="str">
        <f>IF('AW Schüler'!$E91=0,"x",D43/'AW Schüler'!$E91)</f>
        <v>x</v>
      </c>
      <c r="J43" s="155" t="str">
        <f>IF('AW Schüler'!$H91=0,"x",E43/'AW Schüler'!$H91)</f>
        <v>x</v>
      </c>
      <c r="K43" s="155" t="str">
        <f>IF('AW Schüler'!$K91=0,"x",F43/'AW Schüler'!$K91)</f>
        <v>x</v>
      </c>
      <c r="L43" s="156" t="str">
        <f>IF('AW Schüler'!$N91=0,"x",G43/'AW Schüler'!$N91)</f>
        <v>x</v>
      </c>
    </row>
    <row r="44" spans="1:12" ht="9" customHeight="1">
      <c r="A44" s="21" t="s">
        <v>94</v>
      </c>
      <c r="B44" s="120"/>
      <c r="C44" s="23">
        <f>[56]GtS!$E$28</f>
        <v>67</v>
      </c>
      <c r="D44" s="23">
        <f>[57]GtS!$E$30</f>
        <v>0</v>
      </c>
      <c r="E44" s="23">
        <f>[58]GtS!$E$30</f>
        <v>0</v>
      </c>
      <c r="F44" s="23">
        <f>[59]GtS!$E$30</f>
        <v>0</v>
      </c>
      <c r="G44" s="152">
        <f>[60]GtS!$E$30</f>
        <v>0</v>
      </c>
      <c r="H44" s="155">
        <f>IF('AW Schüler'!$B92=0,"x",C44/'AW Schüler'!$B92)</f>
        <v>4.0419884169884167E-3</v>
      </c>
      <c r="I44" s="155">
        <f>IF('AW Schüler'!$E92=0,"x",D44/'AW Schüler'!$E92)</f>
        <v>0</v>
      </c>
      <c r="J44" s="155">
        <f>IF('AW Schüler'!$H92=0,"x",E44/'AW Schüler'!$H92)</f>
        <v>0</v>
      </c>
      <c r="K44" s="155">
        <f>IF('AW Schüler'!$K92=0,"x",F44/'AW Schüler'!$K92)</f>
        <v>0</v>
      </c>
      <c r="L44" s="156" t="str">
        <f>IF('AW Schüler'!$N92=0,"x",G44/'AW Schüler'!$N92)</f>
        <v>x</v>
      </c>
    </row>
    <row r="45" spans="1:12" ht="9" customHeight="1">
      <c r="A45" s="21" t="s">
        <v>95</v>
      </c>
      <c r="B45" s="120"/>
      <c r="C45" s="151">
        <f>[61]GtS!$E$28</f>
        <v>0</v>
      </c>
      <c r="D45" s="151">
        <f>[62]GtS!$E$30</f>
        <v>0</v>
      </c>
      <c r="E45" s="151">
        <f>[63]GtS!$E$30</f>
        <v>0</v>
      </c>
      <c r="F45" s="151">
        <f>[64]GtS!$E$30</f>
        <v>0</v>
      </c>
      <c r="G45" s="152">
        <f>[65]GtS!$E$30</f>
        <v>0</v>
      </c>
      <c r="H45" s="155" t="str">
        <f>IF('AW Schüler'!$B93=0,"x",C45/'AW Schüler'!$B93)</f>
        <v>x</v>
      </c>
      <c r="I45" s="155" t="str">
        <f>IF('AW Schüler'!$E93=0,"x",D45/'AW Schüler'!$E93)</f>
        <v>x</v>
      </c>
      <c r="J45" s="155" t="str">
        <f>IF('AW Schüler'!$H93=0,"x",E45/'AW Schüler'!$H93)</f>
        <v>x</v>
      </c>
      <c r="K45" s="155" t="str">
        <f>IF('AW Schüler'!$K93=0,"x",F45/'AW Schüler'!$K93)</f>
        <v>x</v>
      </c>
      <c r="L45" s="156" t="str">
        <f>IF('AW Schüler'!$N93=0,"x",G45/'AW Schüler'!$N93)</f>
        <v>x</v>
      </c>
    </row>
    <row r="46" spans="1:12" ht="9" customHeight="1">
      <c r="A46" s="21" t="s">
        <v>96</v>
      </c>
      <c r="B46" s="120"/>
      <c r="C46" s="23">
        <f>SUM(C30:C45)</f>
        <v>62781</v>
      </c>
      <c r="D46" s="23">
        <f>SUM(D30:D45)</f>
        <v>68404</v>
      </c>
      <c r="E46" s="23">
        <f>SUM(E30:E45)</f>
        <v>74688</v>
      </c>
      <c r="F46" s="23">
        <f>SUM(F30:F45)</f>
        <v>79059</v>
      </c>
      <c r="G46" s="34">
        <f>SUM(G30:G45)</f>
        <v>76824</v>
      </c>
      <c r="H46" s="155">
        <f>IF('AW Schüler'!$B94=0,"x",C46/'AW Schüler'!$B94)</f>
        <v>6.4705136648516945E-2</v>
      </c>
      <c r="I46" s="155">
        <f>IF('AW Schüler'!$E94=0,"x",D46/'AW Schüler'!$E94)</f>
        <v>7.5357292760284175E-2</v>
      </c>
      <c r="J46" s="155">
        <f>IF('AW Schüler'!$H94=0,"x",E46/'AW Schüler'!$H94)</f>
        <v>8.8111110980030841E-2</v>
      </c>
      <c r="K46" s="155">
        <f>IF('AW Schüler'!$K94=0,"x",F46/'AW Schüler'!$K94)</f>
        <v>9.8858597655673619E-2</v>
      </c>
      <c r="L46" s="156">
        <f>IF('AW Schüler'!$N94=0,"x",G46/'AW Schüler'!$N94)</f>
        <v>0.10157470945222323</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[1]GtS!$H$28</f>
        <v>12381</v>
      </c>
      <c r="D48" s="23">
        <f>[2]GtS!$H$30</f>
        <v>12831</v>
      </c>
      <c r="E48" s="23">
        <f>[3]GtS!$H$30</f>
        <v>13607</v>
      </c>
      <c r="F48" s="23">
        <f>[4]GtS!$H$30</f>
        <v>14249</v>
      </c>
      <c r="G48" s="34">
        <f>[5]GtS!$H$30</f>
        <v>16109</v>
      </c>
      <c r="H48" s="155">
        <f>IF('AW Schüler'!$B78=0,"x",C48/'AW Schüler'!$B78)</f>
        <v>5.3916466709924095E-2</v>
      </c>
      <c r="I48" s="155">
        <f>IF('AW Schüler'!$E78=0,"x",D48/'AW Schüler'!$E78)</f>
        <v>5.7136114067391316E-2</v>
      </c>
      <c r="J48" s="155">
        <f>IF('AW Schüler'!$H78=0,"x",E48/'AW Schüler'!$H78)</f>
        <v>6.2788111465394328E-2</v>
      </c>
      <c r="K48" s="155">
        <f>IF('AW Schüler'!$K78=0,"x",F48/'AW Schüler'!$K78)</f>
        <v>6.7992899611578214E-2</v>
      </c>
      <c r="L48" s="156">
        <f>IF('AW Schüler'!$N78=0,"x",G48/'AW Schüler'!$N78)</f>
        <v>7.9025730334322641E-2</v>
      </c>
    </row>
    <row r="49" spans="1:12" ht="9" customHeight="1">
      <c r="A49" s="21" t="s">
        <v>81</v>
      </c>
      <c r="B49" s="120"/>
      <c r="C49" s="23">
        <f>[6]GtS!$H$28</f>
        <v>8874</v>
      </c>
      <c r="D49" s="23">
        <f>[7]GtS!$H$30</f>
        <v>9347</v>
      </c>
      <c r="E49" s="23">
        <f>[8]GtS!$H$30</f>
        <v>9342</v>
      </c>
      <c r="F49" s="23">
        <f>[9]GtS!$H$30</f>
        <v>11173</v>
      </c>
      <c r="G49" s="34">
        <f>[10]GtS!$H$30</f>
        <v>11682</v>
      </c>
      <c r="H49" s="155">
        <f>IF('AW Schüler'!$B79=0,"x",C49/'AW Schüler'!$B79)</f>
        <v>4.1993185689948892E-2</v>
      </c>
      <c r="I49" s="155">
        <f>IF('AW Schüler'!$E79=0,"x",D49/'AW Schüler'!$E79)</f>
        <v>4.4592976379605645E-2</v>
      </c>
      <c r="J49" s="155">
        <f>IF('AW Schüler'!$H79=0,"x",E49/'AW Schüler'!$H79)</f>
        <v>4.5552954944411937E-2</v>
      </c>
      <c r="K49" s="155">
        <f>IF('AW Schüler'!$K79=0,"x",F49/'AW Schüler'!$K79)</f>
        <v>5.5337084216573885E-2</v>
      </c>
      <c r="L49" s="156">
        <f>IF('AW Schüler'!$N79=0,"x",G49/'AW Schüler'!$N79)</f>
        <v>5.9733393329208614E-2</v>
      </c>
    </row>
    <row r="50" spans="1:12" ht="9" customHeight="1">
      <c r="A50" s="21" t="s">
        <v>82</v>
      </c>
      <c r="B50" s="120"/>
      <c r="C50" s="23">
        <f>[11]GtS!$H$28</f>
        <v>0</v>
      </c>
      <c r="D50" s="23">
        <f>[12]GtS!$H$30</f>
        <v>0</v>
      </c>
      <c r="E50" s="23">
        <f>[13]GtS!$H$30</f>
        <v>0</v>
      </c>
      <c r="F50" s="23">
        <f>[14]GtS!$H$30</f>
        <v>0</v>
      </c>
      <c r="G50" s="34">
        <f>[15]GtS!$H$30</f>
        <v>0</v>
      </c>
      <c r="H50" s="193">
        <f>IF('AW Schüler'!$B80=0,"x",C50/'AW Schüler'!$B80)</f>
        <v>0</v>
      </c>
      <c r="I50" s="193">
        <f>IF('AW Schüler'!$E80=0,"x",D50/'AW Schüler'!$E80)</f>
        <v>0</v>
      </c>
      <c r="J50" s="193" t="str">
        <f>IF('AW Schüler'!$H80=0,"x",E50/'AW Schüler'!$H80)</f>
        <v>x</v>
      </c>
      <c r="K50" s="193" t="str">
        <f>IF('AW Schüler'!$K80=0,"x",F50/'AW Schüler'!$K80)</f>
        <v>x</v>
      </c>
      <c r="L50" s="194" t="str">
        <f>IF('AW Schüler'!$N80=0,"x",G50/'AW Schüler'!$N80)</f>
        <v>x</v>
      </c>
    </row>
    <row r="51" spans="1:12" ht="9" customHeight="1">
      <c r="A51" s="21" t="s">
        <v>83</v>
      </c>
      <c r="B51" s="120"/>
      <c r="C51" s="151">
        <f>[16]GtS!$H$28</f>
        <v>0</v>
      </c>
      <c r="D51" s="151">
        <f>[17]GtS!$H$30</f>
        <v>0</v>
      </c>
      <c r="E51" s="151">
        <f>[18]GtS!$H$30</f>
        <v>0</v>
      </c>
      <c r="F51" s="151">
        <f>[19]GtS!$H$30</f>
        <v>0</v>
      </c>
      <c r="G51" s="152">
        <f>[20]GtS!$H$30</f>
        <v>0</v>
      </c>
      <c r="H51" s="155" t="str">
        <f>IF('AW Schüler'!$B81=0,"x",C51/'AW Schüler'!$B81)</f>
        <v>x</v>
      </c>
      <c r="I51" s="155" t="str">
        <f>IF('AW Schüler'!$E81=0,"x",D51/'AW Schüler'!$E81)</f>
        <v>x</v>
      </c>
      <c r="J51" s="155" t="str">
        <f>IF('AW Schüler'!$H81=0,"x",E51/'AW Schüler'!$H81)</f>
        <v>x</v>
      </c>
      <c r="K51" s="155" t="str">
        <f>IF('AW Schüler'!$K81=0,"x",F51/'AW Schüler'!$K81)</f>
        <v>x</v>
      </c>
      <c r="L51" s="156" t="str">
        <f>IF('AW Schüler'!$N81=0,"x",G51/'AW Schüler'!$N81)</f>
        <v>x</v>
      </c>
    </row>
    <row r="52" spans="1:12" ht="9" customHeight="1">
      <c r="A52" s="21" t="s">
        <v>84</v>
      </c>
      <c r="B52" s="120"/>
      <c r="C52" s="151">
        <f>[21]GtS!$H$28</f>
        <v>0</v>
      </c>
      <c r="D52" s="151">
        <f>[22]GtS!$H$30</f>
        <v>0</v>
      </c>
      <c r="E52" s="151">
        <f>[23]GtS!$H$30</f>
        <v>0</v>
      </c>
      <c r="F52" s="151">
        <f>[24]GtS!$H$30</f>
        <v>0</v>
      </c>
      <c r="G52" s="152">
        <f>[25]GtS!$H$30</f>
        <v>0</v>
      </c>
      <c r="H52" s="155" t="str">
        <f>IF('AW Schüler'!$B82=0,"x",C52/'AW Schüler'!$B82)</f>
        <v>x</v>
      </c>
      <c r="I52" s="155" t="str">
        <f>IF('AW Schüler'!$E82=0,"x",D52/'AW Schüler'!$E82)</f>
        <v>x</v>
      </c>
      <c r="J52" s="155" t="str">
        <f>IF('AW Schüler'!$H82=0,"x",E52/'AW Schüler'!$H82)</f>
        <v>x</v>
      </c>
      <c r="K52" s="155" t="str">
        <f>IF('AW Schüler'!$K82=0,"x",F52/'AW Schüler'!$K82)</f>
        <v>x</v>
      </c>
      <c r="L52" s="156" t="str">
        <f>IF('AW Schüler'!$N82=0,"x",G52/'AW Schüler'!$N82)</f>
        <v>x</v>
      </c>
    </row>
    <row r="53" spans="1:12" ht="9" customHeight="1">
      <c r="A53" s="21" t="s">
        <v>85</v>
      </c>
      <c r="B53" s="120"/>
      <c r="C53" s="151">
        <f>[26]GtS!$H$28</f>
        <v>0</v>
      </c>
      <c r="D53" s="151">
        <f>[27]GtS!$H$30</f>
        <v>0</v>
      </c>
      <c r="E53" s="151">
        <f>[28]GtS!$H$30</f>
        <v>0</v>
      </c>
      <c r="F53" s="151">
        <f>[29]GtS!$H$30</f>
        <v>0</v>
      </c>
      <c r="G53" s="152">
        <f>[30]GtS!$H$30</f>
        <v>0</v>
      </c>
      <c r="H53" s="155" t="str">
        <f>IF('AW Schüler'!$B83=0,"x",C53/'AW Schüler'!$B83)</f>
        <v>x</v>
      </c>
      <c r="I53" s="155" t="str">
        <f>IF('AW Schüler'!$E83=0,"x",D53/'AW Schüler'!$E83)</f>
        <v>x</v>
      </c>
      <c r="J53" s="155" t="str">
        <f>IF('AW Schüler'!$H83=0,"x",E53/'AW Schüler'!$H83)</f>
        <v>x</v>
      </c>
      <c r="K53" s="155" t="str">
        <f>IF('AW Schüler'!$K83=0,"x",F53/'AW Schüler'!$K83)</f>
        <v>x</v>
      </c>
      <c r="L53" s="156" t="str">
        <f>IF('AW Schüler'!$N83=0,"x",G53/'AW Schüler'!$N83)</f>
        <v>x</v>
      </c>
    </row>
    <row r="54" spans="1:12" ht="9" customHeight="1">
      <c r="A54" s="21" t="s">
        <v>114</v>
      </c>
      <c r="B54" s="120"/>
      <c r="C54" s="23">
        <f>[66]GtS!$H$28</f>
        <v>36079</v>
      </c>
      <c r="D54" s="23">
        <f>[67]GtS!$H$30</f>
        <v>34805</v>
      </c>
      <c r="E54" s="23">
        <f>[68]GtS!$H$30</f>
        <v>33722</v>
      </c>
      <c r="F54" s="23">
        <f>[69]GtS!$H$30</f>
        <v>32435</v>
      </c>
      <c r="G54" s="34">
        <f>[70]GtS!$H$30</f>
        <v>32254</v>
      </c>
      <c r="H54" s="155">
        <f>IF('AW Schüler'!$B84=0,"x",C54/'AW Schüler'!$B84)</f>
        <v>0.47242372659421239</v>
      </c>
      <c r="I54" s="155">
        <f>IF('AW Schüler'!$E84=0,"x",D54/'AW Schüler'!$E84)</f>
        <v>0.4837252612853013</v>
      </c>
      <c r="J54" s="155">
        <f>IF('AW Schüler'!$H84=0,"x",E54/'AW Schüler'!$H84)</f>
        <v>0.50060122025444231</v>
      </c>
      <c r="K54" s="155">
        <f>IF('AW Schüler'!$K84=0,"x",F54/'AW Schüler'!$K84)</f>
        <v>0.50651987194503001</v>
      </c>
      <c r="L54" s="156">
        <f>IF('AW Schüler'!$N84=0,"x",G54/'AW Schüler'!$N84)</f>
        <v>0.52678513098582347</v>
      </c>
    </row>
    <row r="55" spans="1:12" ht="9" customHeight="1">
      <c r="A55" s="21" t="s">
        <v>257</v>
      </c>
      <c r="B55" s="120"/>
      <c r="C55" s="151">
        <f>[31]GtS!$H$28</f>
        <v>0</v>
      </c>
      <c r="D55" s="151">
        <f>[32]GtS!$H$30</f>
        <v>0</v>
      </c>
      <c r="E55" s="151">
        <f>[33]GtS!$H$30</f>
        <v>0</v>
      </c>
      <c r="F55" s="151">
        <f>[34]GtS!$H$30</f>
        <v>0</v>
      </c>
      <c r="G55" s="152">
        <f>[35]GtS!$H$30</f>
        <v>0</v>
      </c>
      <c r="H55" s="155" t="str">
        <f>IF('AW Schüler'!$B85=0,"x",C55/'AW Schüler'!$B85)</f>
        <v>x</v>
      </c>
      <c r="I55" s="155" t="str">
        <f>IF('AW Schüler'!$E85=0,"x",D55/'AW Schüler'!$E85)</f>
        <v>x</v>
      </c>
      <c r="J55" s="155" t="str">
        <f>IF('AW Schüler'!$H85=0,"x",E55/'AW Schüler'!$H85)</f>
        <v>x</v>
      </c>
      <c r="K55" s="155" t="str">
        <f>IF('AW Schüler'!$K85=0,"x",F55/'AW Schüler'!$K85)</f>
        <v>x</v>
      </c>
      <c r="L55" s="156" t="str">
        <f>IF('AW Schüler'!$N85=0,"x",G55/'AW Schüler'!$N85)</f>
        <v>x</v>
      </c>
    </row>
    <row r="56" spans="1:12" ht="9" customHeight="1">
      <c r="A56" s="21" t="s">
        <v>88</v>
      </c>
      <c r="B56" s="120"/>
      <c r="C56" s="23">
        <f>[71]GtS!$H$28</f>
        <v>45266</v>
      </c>
      <c r="D56" s="23">
        <f>[72]GtS!$H$30</f>
        <v>40713</v>
      </c>
      <c r="E56" s="23">
        <f>[73]GtS!$H$30</f>
        <v>34539</v>
      </c>
      <c r="F56" s="23">
        <f>[74]GtS!$H$30</f>
        <v>27384</v>
      </c>
      <c r="G56" s="34">
        <f>[75]GtS!$H$30</f>
        <v>23967</v>
      </c>
      <c r="H56" s="155">
        <f>IF('AW Schüler'!$B86=0,"x",C56/'AW Schüler'!$B86)</f>
        <v>0.29606132353133541</v>
      </c>
      <c r="I56" s="155">
        <f>IF('AW Schüler'!$E86=0,"x",D56/'AW Schüler'!$E86)</f>
        <v>0.30116284230615598</v>
      </c>
      <c r="J56" s="155">
        <f>IF('AW Schüler'!$H86=0,"x",E56/'AW Schüler'!$H86)</f>
        <v>0.2981664048067128</v>
      </c>
      <c r="K56" s="155">
        <f>IF('AW Schüler'!$K86=0,"x",F56/'AW Schüler'!$K86)</f>
        <v>0.28096816227696664</v>
      </c>
      <c r="L56" s="156">
        <f>IF('AW Schüler'!$N86=0,"x",G56/'AW Schüler'!$N86)</f>
        <v>0.29487321448344589</v>
      </c>
    </row>
    <row r="57" spans="1:12" ht="9" customHeight="1">
      <c r="A57" s="21" t="s">
        <v>89</v>
      </c>
      <c r="B57" s="120"/>
      <c r="C57" s="23">
        <f>[36]GtS!$H$28</f>
        <v>0</v>
      </c>
      <c r="D57" s="23">
        <f>[37]GtS!$H$30</f>
        <v>0</v>
      </c>
      <c r="E57" s="23">
        <f>[38]GtS!$H$30</f>
        <v>0</v>
      </c>
      <c r="F57" s="23">
        <f>[39]GtS!$H$30</f>
        <v>0</v>
      </c>
      <c r="G57" s="34">
        <f>[40]GtS!$H$30</f>
        <v>0</v>
      </c>
      <c r="H57" s="155">
        <f>IF('AW Schüler'!$B87=0,"x",C57/'AW Schüler'!$B87)</f>
        <v>0</v>
      </c>
      <c r="I57" s="155">
        <f>IF('AW Schüler'!$E87=0,"x",D57/'AW Schüler'!$E87)</f>
        <v>0</v>
      </c>
      <c r="J57" s="155">
        <f>IF('AW Schüler'!$H87=0,"x",E57/'AW Schüler'!$H87)</f>
        <v>0</v>
      </c>
      <c r="K57" s="155">
        <f>IF('AW Schüler'!$K87=0,"x",F57/'AW Schüler'!$K87)</f>
        <v>0</v>
      </c>
      <c r="L57" s="156">
        <f>IF('AW Schüler'!$N87=0,"x",G57/'AW Schüler'!$N87)</f>
        <v>0</v>
      </c>
    </row>
    <row r="58" spans="1:12" ht="9" customHeight="1">
      <c r="A58" s="21" t="s">
        <v>90</v>
      </c>
      <c r="B58" s="120"/>
      <c r="C58" s="23">
        <f>[41]GtS!$H$28</f>
        <v>0</v>
      </c>
      <c r="D58" s="151">
        <f>[42]GtS!$H$30</f>
        <v>0</v>
      </c>
      <c r="E58" s="151">
        <f>[43]GtS!$H$30</f>
        <v>0</v>
      </c>
      <c r="F58" s="151">
        <f>[44]GtS!$H$30</f>
        <v>0</v>
      </c>
      <c r="G58" s="152">
        <f>[45]GtS!$H$30</f>
        <v>0</v>
      </c>
      <c r="H58" s="155">
        <f>IF('AW Schüler'!$B88=0,"x",C58/'AW Schüler'!$B88)</f>
        <v>0</v>
      </c>
      <c r="I58" s="155" t="str">
        <f>IF('AW Schüler'!$E88=0,"x",D58/'AW Schüler'!$E88)</f>
        <v>x</v>
      </c>
      <c r="J58" s="155" t="str">
        <f>IF('AW Schüler'!$H88=0,"x",E58/'AW Schüler'!$H88)</f>
        <v>x</v>
      </c>
      <c r="K58" s="155" t="str">
        <f>IF('AW Schüler'!$K88=0,"x",F58/'AW Schüler'!$K88)</f>
        <v>x</v>
      </c>
      <c r="L58" s="156" t="str">
        <f>IF('AW Schüler'!$N88=0,"x",G58/'AW Schüler'!$N88)</f>
        <v>x</v>
      </c>
    </row>
    <row r="59" spans="1:12" ht="9" customHeight="1">
      <c r="A59" s="21" t="s">
        <v>91</v>
      </c>
      <c r="B59" s="120"/>
      <c r="C59" s="151">
        <f>[46]GtS!$H$28</f>
        <v>0</v>
      </c>
      <c r="D59" s="151">
        <f>[47]GtS!$H$30</f>
        <v>0</v>
      </c>
      <c r="E59" s="151">
        <f>[48]GtS!$H$30</f>
        <v>0</v>
      </c>
      <c r="F59" s="151">
        <f>[49]GtS!$H$30</f>
        <v>0</v>
      </c>
      <c r="G59" s="152">
        <f>[50]GtS!$H$30</f>
        <v>0</v>
      </c>
      <c r="H59" s="155" t="str">
        <f>IF('AW Schüler'!$B89=0,"x",C59/'AW Schüler'!$B89)</f>
        <v>x</v>
      </c>
      <c r="I59" s="155" t="str">
        <f>IF('AW Schüler'!$E89=0,"x",D59/'AW Schüler'!$E89)</f>
        <v>x</v>
      </c>
      <c r="J59" s="155" t="str">
        <f>IF('AW Schüler'!$H89=0,"x",E59/'AW Schüler'!$H89)</f>
        <v>x</v>
      </c>
      <c r="K59" s="155" t="str">
        <f>IF('AW Schüler'!$K89=0,"x",F59/'AW Schüler'!$K89)</f>
        <v>x</v>
      </c>
      <c r="L59" s="156" t="str">
        <f>IF('AW Schüler'!$N89=0,"x",G59/'AW Schüler'!$N89)</f>
        <v>x</v>
      </c>
    </row>
    <row r="60" spans="1:12" ht="9" customHeight="1">
      <c r="A60" s="21" t="s">
        <v>92</v>
      </c>
      <c r="B60" s="120"/>
      <c r="C60" s="151">
        <f>[51]GtS!$H$28</f>
        <v>0</v>
      </c>
      <c r="D60" s="151">
        <f>[52]GtS!$H$30</f>
        <v>0</v>
      </c>
      <c r="E60" s="151">
        <f>[53]GtS!$H$30</f>
        <v>0</v>
      </c>
      <c r="F60" s="151">
        <f>[54]GtS!$H$30</f>
        <v>0</v>
      </c>
      <c r="G60" s="152">
        <f>[55]GtS!$H$30</f>
        <v>0</v>
      </c>
      <c r="H60" s="155" t="str">
        <f>IF('AW Schüler'!$B90=0,"x",C60/'AW Schüler'!$B90)</f>
        <v>x</v>
      </c>
      <c r="I60" s="155" t="str">
        <f>IF('AW Schüler'!$E90=0,"x",D60/'AW Schüler'!$E90)</f>
        <v>x</v>
      </c>
      <c r="J60" s="155" t="str">
        <f>IF('AW Schüler'!$H90=0,"x",E60/'AW Schüler'!$H90)</f>
        <v>x</v>
      </c>
      <c r="K60" s="155" t="str">
        <f>IF('AW Schüler'!$K90=0,"x",F60/'AW Schüler'!$K90)</f>
        <v>x</v>
      </c>
      <c r="L60" s="156" t="str">
        <f>IF('AW Schüler'!$N90=0,"x",G60/'AW Schüler'!$N90)</f>
        <v>x</v>
      </c>
    </row>
    <row r="61" spans="1:12" ht="9" customHeight="1">
      <c r="A61" s="21" t="s">
        <v>93</v>
      </c>
      <c r="B61" s="120"/>
      <c r="C61" s="151">
        <f>[76]GtS!$H$28</f>
        <v>0</v>
      </c>
      <c r="D61" s="151">
        <f>[77]GtS!$H$30</f>
        <v>0</v>
      </c>
      <c r="E61" s="151">
        <f>[78]GtS!$H$30</f>
        <v>0</v>
      </c>
      <c r="F61" s="151">
        <f>[79]GtS!$H$30</f>
        <v>0</v>
      </c>
      <c r="G61" s="152">
        <f>[80]GtS!$H$30</f>
        <v>0</v>
      </c>
      <c r="H61" s="155" t="str">
        <f>IF('AW Schüler'!$B91=0,"x",C61/'AW Schüler'!$B91)</f>
        <v>x</v>
      </c>
      <c r="I61" s="155" t="str">
        <f>IF('AW Schüler'!$E91=0,"x",D61/'AW Schüler'!$E91)</f>
        <v>x</v>
      </c>
      <c r="J61" s="155" t="str">
        <f>IF('AW Schüler'!$H91=0,"x",E61/'AW Schüler'!$H91)</f>
        <v>x</v>
      </c>
      <c r="K61" s="155" t="str">
        <f>IF('AW Schüler'!$K91=0,"x",F61/'AW Schüler'!$K91)</f>
        <v>x</v>
      </c>
      <c r="L61" s="156" t="str">
        <f>IF('AW Schüler'!$N91=0,"x",G61/'AW Schüler'!$N91)</f>
        <v>x</v>
      </c>
    </row>
    <row r="62" spans="1:12" ht="9" customHeight="1">
      <c r="A62" s="21" t="s">
        <v>94</v>
      </c>
      <c r="B62" s="120"/>
      <c r="C62" s="23">
        <f>[56]GtS!$H$28</f>
        <v>4372</v>
      </c>
      <c r="D62" s="23">
        <f>[57]GtS!$H$30</f>
        <v>1832</v>
      </c>
      <c r="E62" s="23">
        <f>[58]GtS!$H$30</f>
        <v>429</v>
      </c>
      <c r="F62" s="23">
        <f>[59]GtS!$H$30</f>
        <v>0</v>
      </c>
      <c r="G62" s="152">
        <f>[60]GtS!$H$30</f>
        <v>0</v>
      </c>
      <c r="H62" s="155">
        <f>IF('AW Schüler'!$B92=0,"x",C62/'AW Schüler'!$B92)</f>
        <v>0.26375482625482627</v>
      </c>
      <c r="I62" s="155">
        <f>IF('AW Schüler'!$E92=0,"x",D62/'AW Schüler'!$E92)</f>
        <v>0.26838558452973921</v>
      </c>
      <c r="J62" s="155">
        <f>IF('AW Schüler'!$H92=0,"x",E62/'AW Schüler'!$H92)</f>
        <v>0.25611940298507463</v>
      </c>
      <c r="K62" s="155">
        <f>IF('AW Schüler'!$K92=0,"x",F62/'AW Schüler'!$K92)</f>
        <v>0</v>
      </c>
      <c r="L62" s="156" t="str">
        <f>IF('AW Schüler'!$N92=0,"x",G62/'AW Schüler'!$N92)</f>
        <v>x</v>
      </c>
    </row>
    <row r="63" spans="1:12" ht="9" customHeight="1">
      <c r="A63" s="21" t="s">
        <v>95</v>
      </c>
      <c r="B63" s="120"/>
      <c r="C63" s="151">
        <f>[61]GtS!$H$28</f>
        <v>0</v>
      </c>
      <c r="D63" s="151">
        <f>[62]GtS!$H$30</f>
        <v>0</v>
      </c>
      <c r="E63" s="151">
        <f>[63]GtS!$H$30</f>
        <v>0</v>
      </c>
      <c r="F63" s="151">
        <f>[64]GtS!$H$30</f>
        <v>0</v>
      </c>
      <c r="G63" s="152">
        <f>[65]GtS!$H$30</f>
        <v>0</v>
      </c>
      <c r="H63" s="155" t="str">
        <f>IF('AW Schüler'!$B93=0,"x",C63/'AW Schüler'!$B93)</f>
        <v>x</v>
      </c>
      <c r="I63" s="155" t="str">
        <f>IF('AW Schüler'!$E93=0,"x",D63/'AW Schüler'!$E93)</f>
        <v>x</v>
      </c>
      <c r="J63" s="155" t="str">
        <f>IF('AW Schüler'!$H93=0,"x",E63/'AW Schüler'!$H93)</f>
        <v>x</v>
      </c>
      <c r="K63" s="155" t="str">
        <f>IF('AW Schüler'!$K93=0,"x",F63/'AW Schüler'!$K93)</f>
        <v>x</v>
      </c>
      <c r="L63" s="156" t="str">
        <f>IF('AW Schüler'!$N93=0,"x",G63/'AW Schüler'!$N93)</f>
        <v>x</v>
      </c>
    </row>
    <row r="64" spans="1:12" ht="8.65" customHeight="1">
      <c r="A64" s="24" t="s">
        <v>96</v>
      </c>
      <c r="B64" s="121"/>
      <c r="C64" s="26">
        <f>SUM(C48:C63)</f>
        <v>106972</v>
      </c>
      <c r="D64" s="26">
        <f>SUM(D48:D63)</f>
        <v>99528</v>
      </c>
      <c r="E64" s="26">
        <f>SUM(E48:E63)</f>
        <v>91639</v>
      </c>
      <c r="F64" s="26">
        <f>SUM(F48:F63)</f>
        <v>85241</v>
      </c>
      <c r="G64" s="47">
        <f>SUM(G48:G63)</f>
        <v>84012</v>
      </c>
      <c r="H64" s="157">
        <f>IF('AW Schüler'!$B94=0,"x",C64/'AW Schüler'!$B94)</f>
        <v>0.11025051970445127</v>
      </c>
      <c r="I64" s="157">
        <f>IF('AW Schüler'!$E94=0,"x",D64/'AW Schüler'!$E94)</f>
        <v>0.10964505926328233</v>
      </c>
      <c r="J64" s="157">
        <f>IF('AW Schüler'!$H94=0,"x",E64/'AW Schüler'!$H94)</f>
        <v>0.10810858637396965</v>
      </c>
      <c r="K64" s="157">
        <f>IF('AW Schüler'!$K94=0,"x",F64/'AW Schüler'!$K94)</f>
        <v>0.10658882255995239</v>
      </c>
      <c r="L64" s="158">
        <f>IF('AW Schüler'!$N94=0,"x",G64/'AW Schüler'!$N94)</f>
        <v>0.11107849748125818</v>
      </c>
    </row>
    <row r="65" spans="1:12" ht="18.75" customHeight="1">
      <c r="A65" s="396" t="s">
        <v>312</v>
      </c>
      <c r="B65" s="396"/>
      <c r="C65" s="396"/>
      <c r="D65" s="396"/>
      <c r="E65" s="396"/>
      <c r="F65" s="396"/>
      <c r="G65" s="396"/>
      <c r="H65" s="396"/>
      <c r="I65" s="396"/>
      <c r="J65" s="396"/>
      <c r="K65" s="396"/>
      <c r="L65" s="396"/>
    </row>
    <row r="66" spans="1:12" ht="10.15" customHeight="1">
      <c r="A66" s="399" t="s">
        <v>256</v>
      </c>
      <c r="B66" s="399"/>
      <c r="C66" s="399"/>
      <c r="D66" s="399"/>
      <c r="E66" s="399"/>
      <c r="F66" s="399"/>
      <c r="G66" s="399"/>
      <c r="H66" s="399"/>
      <c r="I66" s="399"/>
      <c r="J66" s="257"/>
      <c r="K66" s="325"/>
      <c r="L66" s="350"/>
    </row>
    <row r="67" spans="1:12" ht="10.15" customHeight="1">
      <c r="A67" s="305" t="s">
        <v>101</v>
      </c>
      <c r="B67" s="214"/>
      <c r="C67" s="214"/>
      <c r="D67" s="236"/>
      <c r="E67" s="255"/>
      <c r="F67" s="323"/>
      <c r="G67" s="348"/>
    </row>
    <row r="68" spans="1:12" ht="10.15" customHeight="1">
      <c r="A68" s="214"/>
    </row>
    <row r="83" spans="1:1" ht="10.5" customHeight="1"/>
    <row r="84" spans="1:1" ht="10.15" customHeight="1">
      <c r="A84" s="214"/>
    </row>
  </sheetData>
  <mergeCells count="8">
    <mergeCell ref="A1:L1"/>
    <mergeCell ref="A66:I66"/>
    <mergeCell ref="C9:G9"/>
    <mergeCell ref="H9:L9"/>
    <mergeCell ref="A11:L11"/>
    <mergeCell ref="A29:L29"/>
    <mergeCell ref="A47:L47"/>
    <mergeCell ref="A65:L65"/>
  </mergeCells>
  <phoneticPr fontId="18" type="noConversion"/>
  <conditionalFormatting sqref="N25">
    <cfRule type="cellIs" dxfId="18"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M83"/>
  <sheetViews>
    <sheetView view="pageBreakPreview"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'3.2.6'!A1:F1+1</f>
        <v>53</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4.1" customHeight="1">
      <c r="A5" s="13" t="s">
        <v>56</v>
      </c>
      <c r="B5" s="39" t="s">
        <v>135</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SUM(C30+C48)</f>
        <v>34721</v>
      </c>
      <c r="D12" s="42">
        <f>SUM(D30+D48)</f>
        <v>35560</v>
      </c>
      <c r="E12" s="42">
        <f>SUM(E30+E48)</f>
        <v>36467</v>
      </c>
      <c r="F12" s="42">
        <f>SUM(F30+F48)</f>
        <v>37775</v>
      </c>
      <c r="G12" s="44">
        <f>SUM(G30+G48)</f>
        <v>37473</v>
      </c>
      <c r="H12" s="153">
        <f>IF('AW Schüler'!$B96=0,"x",C12/'AW Schüler'!$B96)</f>
        <v>0.18498430981848404</v>
      </c>
      <c r="I12" s="153">
        <f>IF('AW Schüler'!$E96=0,"x",D12/'AW Schüler'!$E96)</f>
        <v>0.19196406881771511</v>
      </c>
      <c r="J12" s="153">
        <f>IF('AW Schüler'!$H96=0,"x",E12/'AW Schüler'!$H96)</f>
        <v>0.20147402500538672</v>
      </c>
      <c r="K12" s="153">
        <f>IF('AW Schüler'!$K96=0,"x",F12/'AW Schüler'!$K96)</f>
        <v>0.21332407187792951</v>
      </c>
      <c r="L12" s="154">
        <f>IF('AW Schüler'!$N96=0,"x",G12/'AW Schüler'!$N96)</f>
        <v>0.21361630810274651</v>
      </c>
    </row>
    <row r="13" spans="1:13" ht="9" customHeight="1">
      <c r="A13" s="21" t="s">
        <v>81</v>
      </c>
      <c r="B13" s="120"/>
      <c r="C13" s="42">
        <f t="shared" ref="C13:C28" si="0">SUM(C31+C49)</f>
        <v>16785</v>
      </c>
      <c r="D13" s="42">
        <f t="shared" ref="D13:E13" si="1">SUM(D31+D49)</f>
        <v>20982</v>
      </c>
      <c r="E13" s="42">
        <f t="shared" si="1"/>
        <v>20982</v>
      </c>
      <c r="F13" s="42">
        <f t="shared" ref="F13:G13" si="2">SUM(F31+F49)</f>
        <v>21650</v>
      </c>
      <c r="G13" s="44">
        <f t="shared" si="2"/>
        <v>25302</v>
      </c>
      <c r="H13" s="153">
        <f>IF('AW Schüler'!$B97=0,"x",C13/'AW Schüler'!$B97)</f>
        <v>8.1412606949537281E-2</v>
      </c>
      <c r="I13" s="153">
        <f>IF('AW Schüler'!$E97=0,"x",D13/'AW Schüler'!$E97)</f>
        <v>0.10460872686662412</v>
      </c>
      <c r="J13" s="153">
        <f>IF('AW Schüler'!$H97=0,"x",E13/'AW Schüler'!$H97)</f>
        <v>0.10889331755620602</v>
      </c>
      <c r="K13" s="153">
        <f>IF('AW Schüler'!$K97=0,"x",F13/'AW Schüler'!$K97)</f>
        <v>0.11658212443324395</v>
      </c>
      <c r="L13" s="154">
        <f>IF('AW Schüler'!$N97=0,"x",G13/'AW Schüler'!$N97)</f>
        <v>0.13978464921246139</v>
      </c>
    </row>
    <row r="14" spans="1:13" ht="9" customHeight="1">
      <c r="A14" s="21" t="s">
        <v>82</v>
      </c>
      <c r="B14" s="120"/>
      <c r="C14" s="42">
        <f t="shared" si="0"/>
        <v>4873</v>
      </c>
      <c r="D14" s="42">
        <f t="shared" ref="D14:E14" si="3">SUM(D32+D50)</f>
        <v>9625</v>
      </c>
      <c r="E14" s="42">
        <f t="shared" si="3"/>
        <v>9870</v>
      </c>
      <c r="F14" s="42">
        <f t="shared" ref="F14:G14" si="4">SUM(F32+F50)</f>
        <v>13550</v>
      </c>
      <c r="G14" s="44">
        <f t="shared" si="4"/>
        <v>12321</v>
      </c>
      <c r="H14" s="153">
        <f>IF('AW Schüler'!$B98=0,"x",C14/'AW Schüler'!$B98)</f>
        <v>0.12639414846708513</v>
      </c>
      <c r="I14" s="153">
        <f>IF('AW Schüler'!$E98=0,"x",D14/'AW Schüler'!$E98)</f>
        <v>0.25891055817081371</v>
      </c>
      <c r="J14" s="153">
        <f>IF('AW Schüler'!$H98=0,"x",E14/'AW Schüler'!$H98)</f>
        <v>0.28367775127180755</v>
      </c>
      <c r="K14" s="153">
        <f>IF('AW Schüler'!$K98=0,"x",F14/'AW Schüler'!$K98)</f>
        <v>0.38437535458981048</v>
      </c>
      <c r="L14" s="154">
        <f>IF('AW Schüler'!$N98=0,"x",G14/'AW Schüler'!$N98)</f>
        <v>0.32957068342918283</v>
      </c>
    </row>
    <row r="15" spans="1:13" ht="9" customHeight="1">
      <c r="A15" s="21" t="s">
        <v>83</v>
      </c>
      <c r="B15" s="120"/>
      <c r="C15" s="42">
        <f t="shared" si="0"/>
        <v>7385</v>
      </c>
      <c r="D15" s="42">
        <f t="shared" ref="D15:E15" si="5">SUM(D33+D51)</f>
        <v>8399</v>
      </c>
      <c r="E15" s="42">
        <f t="shared" si="5"/>
        <v>7803</v>
      </c>
      <c r="F15" s="42">
        <f t="shared" ref="F15:G15" si="6">SUM(F33+F51)</f>
        <v>7420</v>
      </c>
      <c r="G15" s="44">
        <f t="shared" si="6"/>
        <v>7168</v>
      </c>
      <c r="H15" s="153">
        <f>IF('AW Schüler'!$B99=0,"x",C15/'AW Schüler'!$B99)</f>
        <v>0.28687410169754884</v>
      </c>
      <c r="I15" s="153">
        <f>IF('AW Schüler'!$E99=0,"x",D15/'AW Schüler'!$E99)</f>
        <v>0.32702565899622316</v>
      </c>
      <c r="J15" s="153">
        <f>IF('AW Schüler'!$H99=0,"x",E15/'AW Schüler'!$H99)</f>
        <v>0.32111111111111112</v>
      </c>
      <c r="K15" s="153">
        <f>IF('AW Schüler'!$K99=0,"x",F15/'AW Schüler'!$K99)</f>
        <v>0.30907651934852337</v>
      </c>
      <c r="L15" s="154">
        <f>IF('AW Schüler'!$N99=0,"x",G15/'AW Schüler'!$N99)</f>
        <v>0.29834346125031214</v>
      </c>
    </row>
    <row r="16" spans="1:13" ht="9" customHeight="1">
      <c r="A16" s="21" t="s">
        <v>84</v>
      </c>
      <c r="B16" s="120"/>
      <c r="C16" s="42">
        <f t="shared" si="0"/>
        <v>990</v>
      </c>
      <c r="D16" s="42">
        <f t="shared" ref="D16:E16" si="7">SUM(D34+D52)</f>
        <v>877</v>
      </c>
      <c r="E16" s="42">
        <f t="shared" si="7"/>
        <v>1032</v>
      </c>
      <c r="F16" s="42">
        <f t="shared" ref="F16:G16" si="8">SUM(F34+F52)</f>
        <v>977</v>
      </c>
      <c r="G16" s="44">
        <f t="shared" si="8"/>
        <v>758</v>
      </c>
      <c r="H16" s="153">
        <f>IF('AW Schüler'!$B100=0,"x",C16/'AW Schüler'!$B100)</f>
        <v>0.12082011227727606</v>
      </c>
      <c r="I16" s="153">
        <f>IF('AW Schüler'!$E100=0,"x",D16/'AW Schüler'!$E100)</f>
        <v>0.12644175317185699</v>
      </c>
      <c r="J16" s="153">
        <f>IF('AW Schüler'!$H100=0,"x",E16/'AW Schüler'!$H100)</f>
        <v>0.16909716532852695</v>
      </c>
      <c r="K16" s="153">
        <f>IF('AW Schüler'!$K100=0,"x",F16/'AW Schüler'!$K100)</f>
        <v>0.1671514114627887</v>
      </c>
      <c r="L16" s="154">
        <f>IF('AW Schüler'!$N100=0,"x",G16/'AW Schüler'!$N100)</f>
        <v>0.12524785194976867</v>
      </c>
    </row>
    <row r="17" spans="1:13" ht="9" customHeight="1">
      <c r="A17" s="21" t="s">
        <v>85</v>
      </c>
      <c r="B17" s="120"/>
      <c r="C17" s="42">
        <f t="shared" si="0"/>
        <v>32238</v>
      </c>
      <c r="D17" s="42">
        <f t="shared" ref="D17:E17" si="9">SUM(D35+D53)</f>
        <v>31054</v>
      </c>
      <c r="E17" s="42">
        <f t="shared" si="9"/>
        <v>31617</v>
      </c>
      <c r="F17" s="42">
        <f t="shared" ref="F17:G17" si="10">SUM(F35+F53)</f>
        <v>32281</v>
      </c>
      <c r="G17" s="44">
        <f t="shared" si="10"/>
        <v>32874</v>
      </c>
      <c r="H17" s="153">
        <f>IF('AW Schüler'!$B101=0,"x",C17/'AW Schüler'!$B101)</f>
        <v>1</v>
      </c>
      <c r="I17" s="153">
        <f>IF('AW Schüler'!$E101=0,"x",D17/'AW Schüler'!$E101)</f>
        <v>0.98901238892958376</v>
      </c>
      <c r="J17" s="153">
        <f>IF('AW Schüler'!$H101=0,"x",E17/'AW Schüler'!$H101)</f>
        <v>1</v>
      </c>
      <c r="K17" s="153">
        <f>IF('AW Schüler'!$K101=0,"x",F17/'AW Schüler'!$K101)</f>
        <v>1</v>
      </c>
      <c r="L17" s="154">
        <f>IF('AW Schüler'!$N101=0,"x",G17/'AW Schüler'!$N101)</f>
        <v>1</v>
      </c>
      <c r="M17" s="125"/>
    </row>
    <row r="18" spans="1:13" ht="9" customHeight="1">
      <c r="A18" s="21" t="s">
        <v>86</v>
      </c>
      <c r="B18" s="120"/>
      <c r="C18" s="42">
        <f t="shared" si="0"/>
        <v>58504</v>
      </c>
      <c r="D18" s="42">
        <f t="shared" ref="D18:E18" si="11">SUM(D36+D54)</f>
        <v>58082</v>
      </c>
      <c r="E18" s="42">
        <f t="shared" si="11"/>
        <v>59345</v>
      </c>
      <c r="F18" s="42">
        <f t="shared" ref="F18:G18" si="12">SUM(F36+F54)</f>
        <v>60388</v>
      </c>
      <c r="G18" s="44">
        <f t="shared" si="12"/>
        <v>64084</v>
      </c>
      <c r="H18" s="153">
        <f>IF('AW Schüler'!$B102=0,"x",C18/'AW Schüler'!$B102)</f>
        <v>0.53074480631407062</v>
      </c>
      <c r="I18" s="153">
        <f>IF('AW Schüler'!$E102=0,"x",D18/'AW Schüler'!$E102)</f>
        <v>0.52991141076756043</v>
      </c>
      <c r="J18" s="153">
        <f>IF('AW Schüler'!$H102=0,"x",E18/'AW Schüler'!$H102)</f>
        <v>0.53955395539553952</v>
      </c>
      <c r="K18" s="153">
        <f>IF('AW Schüler'!$K102=0,"x",F18/'AW Schüler'!$K102)</f>
        <v>0.54399192858236722</v>
      </c>
      <c r="L18" s="154">
        <f>IF('AW Schüler'!$N102=0,"x",G18/'AW Schüler'!$N102)</f>
        <v>0.56356904784937256</v>
      </c>
    </row>
    <row r="19" spans="1:13" ht="9" customHeight="1">
      <c r="A19" s="21" t="s">
        <v>87</v>
      </c>
      <c r="B19" s="120"/>
      <c r="C19" s="42">
        <f t="shared" si="0"/>
        <v>13581</v>
      </c>
      <c r="D19" s="42">
        <f t="shared" ref="D19:E19" si="13">SUM(D37+D55)</f>
        <v>12038</v>
      </c>
      <c r="E19" s="42">
        <f t="shared" si="13"/>
        <v>14046</v>
      </c>
      <c r="F19" s="42">
        <f t="shared" ref="F19:G19" si="14">SUM(F37+F55)</f>
        <v>11312</v>
      </c>
      <c r="G19" s="44">
        <f t="shared" si="14"/>
        <v>11090</v>
      </c>
      <c r="H19" s="153">
        <f>IF('AW Schüler'!$B103=0,"x",C19/'AW Schüler'!$B103)</f>
        <v>0.87885847408270235</v>
      </c>
      <c r="I19" s="153">
        <f>IF('AW Schüler'!$E103=0,"x",D19/'AW Schüler'!$E103)</f>
        <v>0.75383555639050659</v>
      </c>
      <c r="J19" s="153">
        <f>IF('AW Schüler'!$H103=0,"x",E19/'AW Schüler'!$H103)</f>
        <v>0.88467594633746927</v>
      </c>
      <c r="K19" s="153">
        <f>IF('AW Schüler'!$K103=0,"x",F19/'AW Schüler'!$K103)</f>
        <v>0.72046366473473022</v>
      </c>
      <c r="L19" s="154">
        <f>IF('AW Schüler'!$N103=0,"x",G19/'AW Schüler'!$N103)</f>
        <v>0.70466387088575422</v>
      </c>
    </row>
    <row r="20" spans="1:13" ht="9" customHeight="1">
      <c r="A20" s="21" t="s">
        <v>88</v>
      </c>
      <c r="B20" s="120"/>
      <c r="C20" s="42">
        <f t="shared" si="0"/>
        <v>63351</v>
      </c>
      <c r="D20" s="42">
        <f t="shared" ref="D20:E20" si="15">SUM(D38+D56)</f>
        <v>65423</v>
      </c>
      <c r="E20" s="42">
        <f t="shared" si="15"/>
        <v>71804</v>
      </c>
      <c r="F20" s="42">
        <f t="shared" ref="F20:G20" si="16">SUM(F38+F56)</f>
        <v>72612</v>
      </c>
      <c r="G20" s="44">
        <f t="shared" si="16"/>
        <v>77912</v>
      </c>
      <c r="H20" s="153">
        <f>IF('AW Schüler'!$B104=0,"x",C20/'AW Schüler'!$B104)</f>
        <v>0.4392024459065037</v>
      </c>
      <c r="I20" s="153">
        <f>IF('AW Schüler'!$E104=0,"x",D20/'AW Schüler'!$E104)</f>
        <v>0.46602889218144516</v>
      </c>
      <c r="J20" s="153">
        <f>IF('AW Schüler'!$H104=0,"x",E20/'AW Schüler'!$H104)</f>
        <v>0.52007011139599901</v>
      </c>
      <c r="K20" s="153">
        <f>IF('AW Schüler'!$K104=0,"x",F20/'AW Schüler'!$K104)</f>
        <v>0.52606717477613241</v>
      </c>
      <c r="L20" s="154">
        <f>IF('AW Schüler'!$N104=0,"x",G20/'AW Schüler'!$N104)</f>
        <v>0.5547391205285942</v>
      </c>
    </row>
    <row r="21" spans="1:13" ht="9" customHeight="1">
      <c r="A21" s="21" t="s">
        <v>89</v>
      </c>
      <c r="B21" s="120"/>
      <c r="C21" s="42">
        <f t="shared" si="0"/>
        <v>51072</v>
      </c>
      <c r="D21" s="42">
        <f t="shared" ref="D21:E21" si="17">SUM(D39+D57)</f>
        <v>62822</v>
      </c>
      <c r="E21" s="42">
        <f t="shared" si="17"/>
        <v>70198</v>
      </c>
      <c r="F21" s="42">
        <f t="shared" ref="F21:G21" si="18">SUM(F39+F57)</f>
        <v>72483</v>
      </c>
      <c r="G21" s="44">
        <f t="shared" si="18"/>
        <v>74718</v>
      </c>
      <c r="H21" s="153">
        <f>IF('AW Schüler'!$B105=0,"x",C21/'AW Schüler'!$B105)</f>
        <v>0.18205020353748869</v>
      </c>
      <c r="I21" s="153">
        <f>IF('AW Schüler'!$E105=0,"x",D21/'AW Schüler'!$E105)</f>
        <v>0.22617123230955888</v>
      </c>
      <c r="J21" s="153">
        <f>IF('AW Schüler'!$H105=0,"x",E21/'AW Schüler'!$H105)</f>
        <v>0.25680347389639036</v>
      </c>
      <c r="K21" s="153">
        <f>IF('AW Schüler'!$K105=0,"x",F21/'AW Schüler'!$K105)</f>
        <v>0.26670027265000351</v>
      </c>
      <c r="L21" s="154">
        <f>IF('AW Schüler'!$N105=0,"x",G21/'AW Schüler'!$N105)</f>
        <v>0.27586792543391658</v>
      </c>
    </row>
    <row r="22" spans="1:13" ht="9" customHeight="1">
      <c r="A22" s="21" t="s">
        <v>90</v>
      </c>
      <c r="B22" s="120"/>
      <c r="C22" s="42">
        <f t="shared" si="0"/>
        <v>8948</v>
      </c>
      <c r="D22" s="42">
        <f t="shared" ref="D22:E22" si="19">SUM(D40+D58)</f>
        <v>8333</v>
      </c>
      <c r="E22" s="42">
        <f t="shared" si="19"/>
        <v>8530</v>
      </c>
      <c r="F22" s="42">
        <f t="shared" ref="F22:G22" si="20">SUM(F40+F58)</f>
        <v>8664</v>
      </c>
      <c r="G22" s="44">
        <f t="shared" si="20"/>
        <v>8887</v>
      </c>
      <c r="H22" s="153">
        <f>IF('AW Schüler'!$B106=0,"x",C22/'AW Schüler'!$B106)</f>
        <v>0.11039281484405843</v>
      </c>
      <c r="I22" s="153">
        <f>IF('AW Schüler'!$E106=0,"x",D22/'AW Schüler'!$E106)</f>
        <v>0.10694713605503292</v>
      </c>
      <c r="J22" s="153">
        <f>IF('AW Schüler'!$H106=0,"x",E22/'AW Schüler'!$H106)</f>
        <v>0.11218075172939845</v>
      </c>
      <c r="K22" s="153">
        <f>IF('AW Schüler'!$K106=0,"x",F22/'AW Schüler'!$K106)</f>
        <v>0.1168300543426961</v>
      </c>
      <c r="L22" s="154">
        <f>IF('AW Schüler'!$N106=0,"x",G22/'AW Schüler'!$N106)</f>
        <v>0.12169304924138687</v>
      </c>
    </row>
    <row r="23" spans="1:13" ht="9" customHeight="1">
      <c r="A23" s="21" t="s">
        <v>91</v>
      </c>
      <c r="B23" s="120"/>
      <c r="C23" s="42">
        <f t="shared" si="0"/>
        <v>2439</v>
      </c>
      <c r="D23" s="42">
        <f t="shared" ref="D23:E23" si="21">SUM(D41+D59)</f>
        <v>2014</v>
      </c>
      <c r="E23" s="42">
        <f t="shared" si="21"/>
        <v>1946</v>
      </c>
      <c r="F23" s="42">
        <f t="shared" ref="F23:G23" si="22">SUM(F41+F59)</f>
        <v>2507</v>
      </c>
      <c r="G23" s="44">
        <f t="shared" si="22"/>
        <v>2640</v>
      </c>
      <c r="H23" s="153">
        <f>IF('AW Schüler'!$B107=0,"x",C23/'AW Schüler'!$B107)</f>
        <v>0.16580557443915703</v>
      </c>
      <c r="I23" s="153">
        <f>IF('AW Schüler'!$E107=0,"x",D23/'AW Schüler'!$E107)</f>
        <v>0.14227182820005652</v>
      </c>
      <c r="J23" s="153">
        <f>IF('AW Schüler'!$H107=0,"x",E23/'AW Schüler'!$H107)</f>
        <v>0.14129093153270891</v>
      </c>
      <c r="K23" s="153">
        <f>IF('AW Schüler'!$K107=0,"x",F23/'AW Schüler'!$K107)</f>
        <v>0.18291259302495258</v>
      </c>
      <c r="L23" s="154">
        <f>IF('AW Schüler'!$N107=0,"x",G23/'AW Schüler'!$N107)</f>
        <v>0.1924198250728863</v>
      </c>
    </row>
    <row r="24" spans="1:13" ht="9" customHeight="1">
      <c r="A24" s="21" t="s">
        <v>92</v>
      </c>
      <c r="B24" s="120"/>
      <c r="C24" s="42">
        <f t="shared" si="0"/>
        <v>43674</v>
      </c>
      <c r="D24" s="42">
        <f t="shared" ref="D24:E24" si="23">SUM(D42+D60)</f>
        <v>45346</v>
      </c>
      <c r="E24" s="42">
        <f t="shared" si="23"/>
        <v>42485</v>
      </c>
      <c r="F24" s="42">
        <f t="shared" ref="F24:G24" si="24">SUM(F42+F60)</f>
        <v>36738</v>
      </c>
      <c r="G24" s="44">
        <f t="shared" si="24"/>
        <v>40366</v>
      </c>
      <c r="H24" s="153">
        <f>IF('AW Schüler'!$B108=0,"x",C24/'AW Schüler'!$B108)</f>
        <v>0.79261719388032881</v>
      </c>
      <c r="I24" s="153">
        <f>IF('AW Schüler'!$E108=0,"x",D24/'AW Schüler'!$E108)</f>
        <v>0.82672743846855057</v>
      </c>
      <c r="J24" s="153">
        <f>IF('AW Schüler'!$H108=0,"x",E24/'AW Schüler'!$H108)</f>
        <v>0.77627948619561837</v>
      </c>
      <c r="K24" s="153">
        <f>IF('AW Schüler'!$K108=0,"x",F24/'AW Schüler'!$K108)</f>
        <v>0.67299272747256778</v>
      </c>
      <c r="L24" s="154">
        <f>IF('AW Schüler'!$N108=0,"x",G24/'AW Schüler'!$N108)</f>
        <v>0.73725160724722383</v>
      </c>
    </row>
    <row r="25" spans="1:13" ht="9" customHeight="1">
      <c r="A25" s="21" t="s">
        <v>93</v>
      </c>
      <c r="B25" s="120"/>
      <c r="C25" s="42">
        <f t="shared" si="0"/>
        <v>7371</v>
      </c>
      <c r="D25" s="42">
        <f t="shared" ref="D25:E25" si="25">SUM(D43+D61)</f>
        <v>7811</v>
      </c>
      <c r="E25" s="42">
        <f t="shared" si="25"/>
        <v>8658</v>
      </c>
      <c r="F25" s="42">
        <f t="shared" ref="F25:G25" si="26">SUM(F43+F61)</f>
        <v>8940</v>
      </c>
      <c r="G25" s="44">
        <f t="shared" si="26"/>
        <v>8174</v>
      </c>
      <c r="H25" s="153">
        <f>IF('AW Schüler'!$B109=0,"x",C25/'AW Schüler'!$B109)</f>
        <v>0.23618943860548577</v>
      </c>
      <c r="I25" s="153">
        <f>IF('AW Schüler'!$E109=0,"x",D25/'AW Schüler'!$E109)</f>
        <v>0.24357615067980543</v>
      </c>
      <c r="J25" s="153">
        <f>IF('AW Schüler'!$H109=0,"x",E25/'AW Schüler'!$H109)</f>
        <v>0.26733773852899401</v>
      </c>
      <c r="K25" s="153">
        <f>IF('AW Schüler'!$K109=0,"x",F25/'AW Schüler'!$K109)</f>
        <v>0.27736411020104246</v>
      </c>
      <c r="L25" s="154">
        <f>IF('AW Schüler'!$N109=0,"x",G25/'AW Schüler'!$N109)</f>
        <v>0.25956622527071227</v>
      </c>
    </row>
    <row r="26" spans="1:13" ht="9" customHeight="1">
      <c r="A26" s="21" t="s">
        <v>94</v>
      </c>
      <c r="B26" s="120"/>
      <c r="C26" s="42">
        <f t="shared" si="0"/>
        <v>12481</v>
      </c>
      <c r="D26" s="42">
        <f t="shared" ref="D26:E26" si="27">SUM(D44+D62)</f>
        <v>10322</v>
      </c>
      <c r="E26" s="42">
        <f t="shared" si="27"/>
        <v>10297</v>
      </c>
      <c r="F26" s="42">
        <f t="shared" ref="F26:G26" si="28">SUM(F44+F62)</f>
        <v>10502</v>
      </c>
      <c r="G26" s="44">
        <f t="shared" si="28"/>
        <v>10673</v>
      </c>
      <c r="H26" s="153">
        <f>IF('AW Schüler'!$B110=0,"x",C26/'AW Schüler'!$B110)</f>
        <v>0.20568895334464971</v>
      </c>
      <c r="I26" s="153">
        <f>IF('AW Schüler'!$E110=0,"x",D26/'AW Schüler'!$E110)</f>
        <v>0.20834847200355255</v>
      </c>
      <c r="J26" s="153">
        <f>IF('AW Schüler'!$H110=0,"x",E26/'AW Schüler'!$H110)</f>
        <v>0.21143737166324436</v>
      </c>
      <c r="K26" s="153">
        <f>IF('AW Schüler'!$K110=0,"x",F26/'AW Schüler'!$K110)</f>
        <v>0.21422597556249107</v>
      </c>
      <c r="L26" s="154">
        <f>IF('AW Schüler'!$N110=0,"x",G26/'AW Schüler'!$N110)</f>
        <v>0.21725766396612792</v>
      </c>
    </row>
    <row r="27" spans="1:13" ht="9" customHeight="1">
      <c r="A27" s="21" t="s">
        <v>95</v>
      </c>
      <c r="B27" s="120"/>
      <c r="C27" s="42">
        <f t="shared" si="0"/>
        <v>2374</v>
      </c>
      <c r="D27" s="42">
        <f t="shared" ref="D27:E27" si="29">SUM(D45+D63)</f>
        <v>2134</v>
      </c>
      <c r="E27" s="42">
        <f t="shared" si="29"/>
        <v>2365</v>
      </c>
      <c r="F27" s="42">
        <f t="shared" ref="F27:G27" si="30">SUM(F45+F63)</f>
        <v>2248</v>
      </c>
      <c r="G27" s="44">
        <f t="shared" si="30"/>
        <v>2346</v>
      </c>
      <c r="H27" s="153">
        <f>IF('AW Schüler'!$B111=0,"x",C27/'AW Schüler'!$B111)</f>
        <v>7.2913787278479067E-2</v>
      </c>
      <c r="I27" s="153">
        <f>IF('AW Schüler'!$E111=0,"x",D27/'AW Schüler'!$E111)</f>
        <v>6.6205441628145068E-2</v>
      </c>
      <c r="J27" s="153">
        <f>IF('AW Schüler'!$H111=0,"x",E27/'AW Schüler'!$H111)</f>
        <v>7.4100764506830424E-2</v>
      </c>
      <c r="K27" s="153">
        <f>IF('AW Schüler'!$K111=0,"x",F27/'AW Schüler'!$K111)</f>
        <v>7.1788976176789934E-2</v>
      </c>
      <c r="L27" s="154">
        <f>IF('AW Schüler'!$N111=0,"x",G27/'AW Schüler'!$N111)</f>
        <v>7.7602461049915653E-2</v>
      </c>
    </row>
    <row r="28" spans="1:13" ht="9" customHeight="1">
      <c r="A28" s="21" t="s">
        <v>96</v>
      </c>
      <c r="B28" s="120"/>
      <c r="C28" s="42">
        <f t="shared" si="0"/>
        <v>360787</v>
      </c>
      <c r="D28" s="42">
        <f t="shared" ref="D28:E28" si="31">SUM(D46+D64)</f>
        <v>380822</v>
      </c>
      <c r="E28" s="42">
        <f t="shared" si="31"/>
        <v>397445</v>
      </c>
      <c r="F28" s="42">
        <f t="shared" ref="F28:G28" si="32">SUM(F46+F64)</f>
        <v>400047</v>
      </c>
      <c r="G28" s="44">
        <f t="shared" si="32"/>
        <v>416786</v>
      </c>
      <c r="H28" s="153">
        <f>IF('AW Schüler'!$B112=0,"x",C28/'AW Schüler'!$B112)</f>
        <v>0.27242098713881963</v>
      </c>
      <c r="I28" s="153">
        <f>IF('AW Schüler'!$E112=0,"x",D28/'AW Schüler'!$E112)</f>
        <v>0.29486775465137077</v>
      </c>
      <c r="J28" s="153">
        <f>IF('AW Schüler'!$H112=0,"x",E28/'AW Schüler'!$H112)</f>
        <v>0.31410507181949304</v>
      </c>
      <c r="K28" s="153">
        <f>IF('AW Schüler'!$K112=0,"x",F28/'AW Schüler'!$K112)</f>
        <v>0.31960115266591943</v>
      </c>
      <c r="L28" s="154">
        <f>IF('AW Schüler'!$N112=0,"x",G28/'AW Schüler'!$N112)</f>
        <v>0.33346668181505418</v>
      </c>
      <c r="M28" s="209"/>
    </row>
    <row r="29" spans="1:13" ht="12.75" customHeight="1">
      <c r="A29" s="391" t="s">
        <v>105</v>
      </c>
      <c r="B29" s="392"/>
      <c r="C29" s="392"/>
      <c r="D29" s="392"/>
      <c r="E29" s="392"/>
      <c r="F29" s="392"/>
      <c r="G29" s="392"/>
      <c r="H29" s="392"/>
      <c r="I29" s="392"/>
      <c r="J29" s="392"/>
      <c r="K29" s="392"/>
      <c r="L29" s="393"/>
      <c r="M29" s="209"/>
    </row>
    <row r="30" spans="1:13" ht="9" customHeight="1">
      <c r="A30" s="21" t="s">
        <v>80</v>
      </c>
      <c r="B30" s="120"/>
      <c r="C30" s="23">
        <f>[1]GtS!$E$29</f>
        <v>3916</v>
      </c>
      <c r="D30" s="23">
        <f>[2]GtS!$E$31</f>
        <v>3682</v>
      </c>
      <c r="E30" s="23">
        <f>[3]GtS!$E$31</f>
        <v>3477</v>
      </c>
      <c r="F30" s="23">
        <f>[4]GtS!$E$31</f>
        <v>3655</v>
      </c>
      <c r="G30" s="34">
        <f>[5]GtS!$E$31</f>
        <v>3624</v>
      </c>
      <c r="H30" s="155">
        <f>IF('AW Schüler'!$B96=0,"x",C30/'AW Schüler'!$B96)</f>
        <v>2.0863412840908487E-2</v>
      </c>
      <c r="I30" s="155">
        <f>IF('AW Schüler'!$E96=0,"x",D30/'AW Schüler'!$E96)</f>
        <v>1.9876594527188613E-2</v>
      </c>
      <c r="J30" s="155">
        <f>IF('AW Schüler'!$H96=0,"x",E30/'AW Schüler'!$H96)</f>
        <v>1.9209838619676133E-2</v>
      </c>
      <c r="K30" s="155">
        <f>IF('AW Schüler'!$K96=0,"x",F30/'AW Schüler'!$K96)</f>
        <v>2.0640621646957839E-2</v>
      </c>
      <c r="L30" s="156">
        <f>IF('AW Schüler'!$N96=0,"x",G30/'AW Schüler'!$N96)</f>
        <v>2.0658754318158497E-2</v>
      </c>
    </row>
    <row r="31" spans="1:13" ht="9" customHeight="1">
      <c r="A31" s="21" t="s">
        <v>81</v>
      </c>
      <c r="B31" s="120"/>
      <c r="C31" s="23">
        <f>[6]GtS!$E$29</f>
        <v>3785</v>
      </c>
      <c r="D31" s="23">
        <f>[7]GtS!$E$31</f>
        <v>5183</v>
      </c>
      <c r="E31" s="23">
        <f>[8]GtS!$E$31</f>
        <v>5183</v>
      </c>
      <c r="F31" s="23">
        <f>[9]GtS!$E$31</f>
        <v>4733</v>
      </c>
      <c r="G31" s="34">
        <f>[10]GtS!$E$31</f>
        <v>4187</v>
      </c>
      <c r="H31" s="155">
        <f>IF('AW Schüler'!$B97=0,"x",C31/'AW Schüler'!$B97)</f>
        <v>1.8358457986535515E-2</v>
      </c>
      <c r="I31" s="155">
        <f>IF('AW Schüler'!$E97=0,"x",D31/'AW Schüler'!$E97)</f>
        <v>2.5840579132099552E-2</v>
      </c>
      <c r="J31" s="155">
        <f>IF('AW Schüler'!$H97=0,"x",E31/'AW Schüler'!$H97)</f>
        <v>2.6898964107035354E-2</v>
      </c>
      <c r="K31" s="155">
        <f>IF('AW Schüler'!$K97=0,"x",F31/'AW Schüler'!$K97)</f>
        <v>2.5486521706353054E-2</v>
      </c>
      <c r="L31" s="156">
        <f>IF('AW Schüler'!$N97=0,"x",G31/'AW Schüler'!$N97)</f>
        <v>2.3131702088869492E-2</v>
      </c>
    </row>
    <row r="32" spans="1:13" ht="9" customHeight="1">
      <c r="A32" s="21" t="s">
        <v>82</v>
      </c>
      <c r="B32" s="120"/>
      <c r="C32" s="23">
        <f>[11]GtS!$E$29</f>
        <v>1944</v>
      </c>
      <c r="D32" s="23">
        <f>[12]GtS!$E$31</f>
        <v>2781</v>
      </c>
      <c r="E32" s="23">
        <f>[13]GtS!$E$31</f>
        <v>2659</v>
      </c>
      <c r="F32" s="23">
        <f>[14]GtS!$E$31</f>
        <v>2999</v>
      </c>
      <c r="G32" s="34">
        <f>[15]GtS!$E$31</f>
        <v>3221</v>
      </c>
      <c r="H32" s="155">
        <f>IF('AW Schüler'!$B98=0,"x",C32/'AW Schüler'!$B98)</f>
        <v>5.0422783628157906E-2</v>
      </c>
      <c r="I32" s="155">
        <f>IF('AW Schüler'!$E98=0,"x",D32/'AW Schüler'!$E98)</f>
        <v>7.4808338937457974E-2</v>
      </c>
      <c r="J32" s="155">
        <f>IF('AW Schüler'!$H98=0,"x",E32/'AW Schüler'!$H98)</f>
        <v>7.6423418503722015E-2</v>
      </c>
      <c r="K32" s="155">
        <f>IF('AW Schüler'!$K98=0,"x",F32/'AW Schüler'!$K98)</f>
        <v>8.5073187336888692E-2</v>
      </c>
      <c r="L32" s="156">
        <f>IF('AW Schüler'!$N98=0,"x",G32/'AW Schüler'!$N98)</f>
        <v>8.6157549819446302E-2</v>
      </c>
    </row>
    <row r="33" spans="1:13" ht="9" customHeight="1">
      <c r="A33" s="21" t="s">
        <v>83</v>
      </c>
      <c r="B33" s="120"/>
      <c r="C33" s="23">
        <f>[16]GtS!$E$29</f>
        <v>157</v>
      </c>
      <c r="D33" s="23">
        <f>[17]GtS!$E$31</f>
        <v>126</v>
      </c>
      <c r="E33" s="23">
        <f>[18]GtS!$E$31</f>
        <v>150</v>
      </c>
      <c r="F33" s="23">
        <f>[19]GtS!$E$31</f>
        <v>181</v>
      </c>
      <c r="G33" s="34">
        <f>[20]GtS!$E$31</f>
        <v>161</v>
      </c>
      <c r="H33" s="155">
        <f>IF('AW Schüler'!$B99=0,"x",C33/'AW Schüler'!$B99)</f>
        <v>6.0987452899817426E-3</v>
      </c>
      <c r="I33" s="155">
        <f>IF('AW Schüler'!$E99=0,"x",D33/'AW Schüler'!$E99)</f>
        <v>4.9059689288634507E-3</v>
      </c>
      <c r="J33" s="155">
        <f>IF('AW Schüler'!$H99=0,"x",E33/'AW Schüler'!$H99)</f>
        <v>6.1728395061728392E-3</v>
      </c>
      <c r="K33" s="155">
        <f>IF('AW Schüler'!$K99=0,"x",F33/'AW Schüler'!$K99)</f>
        <v>7.539467655267214E-3</v>
      </c>
      <c r="L33" s="156">
        <f>IF('AW Schüler'!$N99=0,"x",G33/'AW Schüler'!$N99)</f>
        <v>6.7010738366769336E-3</v>
      </c>
    </row>
    <row r="34" spans="1:13" ht="9" customHeight="1">
      <c r="A34" s="21" t="s">
        <v>84</v>
      </c>
      <c r="B34" s="120"/>
      <c r="C34" s="23">
        <f>[21]GtS!$E$29</f>
        <v>990</v>
      </c>
      <c r="D34" s="23">
        <f>[22]GtS!$E$31</f>
        <v>877</v>
      </c>
      <c r="E34" s="23">
        <f>[23]GtS!$E$31</f>
        <v>1032</v>
      </c>
      <c r="F34" s="23">
        <f>[24]GtS!$E$31</f>
        <v>977</v>
      </c>
      <c r="G34" s="34">
        <f>[25]GtS!$E$31</f>
        <v>758</v>
      </c>
      <c r="H34" s="155">
        <f>IF('AW Schüler'!$B100=0,"x",C34/'AW Schüler'!$B100)</f>
        <v>0.12082011227727606</v>
      </c>
      <c r="I34" s="155">
        <f>IF('AW Schüler'!$E100=0,"x",D34/'AW Schüler'!$E100)</f>
        <v>0.12644175317185699</v>
      </c>
      <c r="J34" s="155">
        <f>IF('AW Schüler'!$H100=0,"x",E34/'AW Schüler'!$H100)</f>
        <v>0.16909716532852695</v>
      </c>
      <c r="K34" s="155">
        <f>IF('AW Schüler'!$K100=0,"x",F34/'AW Schüler'!$K100)</f>
        <v>0.1671514114627887</v>
      </c>
      <c r="L34" s="156">
        <f>IF('AW Schüler'!$N100=0,"x",G34/'AW Schüler'!$N100)</f>
        <v>0.12524785194976867</v>
      </c>
    </row>
    <row r="35" spans="1:13" ht="9" customHeight="1">
      <c r="A35" s="21" t="s">
        <v>85</v>
      </c>
      <c r="B35" s="120"/>
      <c r="C35" s="23">
        <f>[26]GtS!$E$29</f>
        <v>2031</v>
      </c>
      <c r="D35" s="23">
        <f>[27]GtS!$E$31</f>
        <v>2547</v>
      </c>
      <c r="E35" s="23">
        <f>[28]GtS!$E$31</f>
        <v>2482</v>
      </c>
      <c r="F35" s="23">
        <f>[29]GtS!$E$31</f>
        <v>2705</v>
      </c>
      <c r="G35" s="34">
        <f>[30]GtS!$E$31</f>
        <v>3961</v>
      </c>
      <c r="H35" s="155">
        <f>IF('AW Schüler'!$B101=0,"x",C35/'AW Schüler'!$B101)</f>
        <v>6.3000186115764009E-2</v>
      </c>
      <c r="I35" s="155">
        <f>IF('AW Schüler'!$E101=0,"x",D35/'AW Schüler'!$E101)</f>
        <v>8.1117233032899139E-2</v>
      </c>
      <c r="J35" s="155">
        <f>IF('AW Schüler'!$H101=0,"x",E35/'AW Schüler'!$H101)</f>
        <v>7.8502071670303944E-2</v>
      </c>
      <c r="K35" s="155">
        <f>IF('AW Schüler'!$K101=0,"x",F35/'AW Schüler'!$K101)</f>
        <v>8.3795421455345256E-2</v>
      </c>
      <c r="L35" s="156">
        <f>IF('AW Schüler'!$N101=0,"x",G35/'AW Schüler'!$N101)</f>
        <v>0.12049035712112915</v>
      </c>
    </row>
    <row r="36" spans="1:13" ht="9" customHeight="1">
      <c r="A36" s="21" t="s">
        <v>86</v>
      </c>
      <c r="B36" s="120"/>
      <c r="C36" s="23">
        <f>[66]GtS!$E$29</f>
        <v>933</v>
      </c>
      <c r="D36" s="23">
        <f>[67]GtS!$E$31</f>
        <v>548</v>
      </c>
      <c r="E36" s="23">
        <f>[68]GtS!$E$31</f>
        <v>583</v>
      </c>
      <c r="F36" s="23">
        <f>[69]GtS!$E$31</f>
        <v>1230</v>
      </c>
      <c r="G36" s="34">
        <f>[70]GtS!$E$31</f>
        <v>1405</v>
      </c>
      <c r="H36" s="155">
        <f>IF('AW Schüler'!$B102=0,"x",C36/'AW Schüler'!$B102)</f>
        <v>8.4641204753696814E-3</v>
      </c>
      <c r="I36" s="155">
        <f>IF('AW Schüler'!$E102=0,"x",D36/'AW Schüler'!$E102)</f>
        <v>4.9996806773290031E-3</v>
      </c>
      <c r="J36" s="155">
        <f>IF('AW Schüler'!$H102=0,"x",E36/'AW Schüler'!$H102)</f>
        <v>5.3005300530053001E-3</v>
      </c>
      <c r="K36" s="155">
        <f>IF('AW Schüler'!$K102=0,"x",F36/'AW Schüler'!$K102)</f>
        <v>1.1080182687890171E-2</v>
      </c>
      <c r="L36" s="156">
        <f>IF('AW Schüler'!$N102=0,"x",G36/'AW Schüler'!$N102)</f>
        <v>1.2355884654958623E-2</v>
      </c>
    </row>
    <row r="37" spans="1:13" ht="9" customHeight="1">
      <c r="A37" s="21" t="s">
        <v>87</v>
      </c>
      <c r="B37" s="120"/>
      <c r="C37" s="23">
        <f>[31]GtS!$E$29</f>
        <v>9055</v>
      </c>
      <c r="D37" s="23">
        <f>[32]GtS!$E$31</f>
        <v>8669</v>
      </c>
      <c r="E37" s="23">
        <f>[33]GtS!$E$31</f>
        <v>9592</v>
      </c>
      <c r="F37" s="23">
        <f>[34]GtS!$E$31</f>
        <v>7103</v>
      </c>
      <c r="G37" s="34">
        <f>[35]GtS!$E$31</f>
        <v>8668</v>
      </c>
      <c r="H37" s="155">
        <f>IF('AW Schüler'!$B103=0,"x",C37/'AW Schüler'!$B103)</f>
        <v>0.58597036174205652</v>
      </c>
      <c r="I37" s="155">
        <f>IF('AW Schüler'!$E103=0,"x",D37/'AW Schüler'!$E103)</f>
        <v>0.54286429958043714</v>
      </c>
      <c r="J37" s="155">
        <f>IF('AW Schüler'!$H103=0,"x",E37/'AW Schüler'!$H103)</f>
        <v>0.6041443597656988</v>
      </c>
      <c r="K37" s="155">
        <f>IF('AW Schüler'!$K103=0,"x",F37/'AW Schüler'!$K103)</f>
        <v>0.45239156741608816</v>
      </c>
      <c r="L37" s="156">
        <f>IF('AW Schüler'!$N103=0,"x",G37/'AW Schüler'!$N103)</f>
        <v>0.55076883975092139</v>
      </c>
    </row>
    <row r="38" spans="1:13" ht="9" customHeight="1">
      <c r="A38" s="21" t="s">
        <v>88</v>
      </c>
      <c r="B38" s="120"/>
      <c r="C38" s="23">
        <f>[71]GtS!$E$29</f>
        <v>6264</v>
      </c>
      <c r="D38" s="23">
        <f>[72]GtS!$E$31</f>
        <v>5897</v>
      </c>
      <c r="E38" s="23">
        <f>[73]GtS!$E$31</f>
        <v>7169</v>
      </c>
      <c r="F38" s="23">
        <f>[74]GtS!$E$31</f>
        <v>10136</v>
      </c>
      <c r="G38" s="34">
        <f>[75]GtS!$E$31</f>
        <v>12503</v>
      </c>
      <c r="H38" s="155">
        <f>IF('AW Schüler'!$B104=0,"x",C38/'AW Schüler'!$B104)</f>
        <v>4.34273195554662E-2</v>
      </c>
      <c r="I38" s="155">
        <f>IF('AW Schüler'!$E104=0,"x",D38/'AW Schüler'!$E104)</f>
        <v>4.2006211534077957E-2</v>
      </c>
      <c r="J38" s="155">
        <f>IF('AW Schüler'!$H104=0,"x",E38/'AW Schüler'!$H104)</f>
        <v>5.1924441933568002E-2</v>
      </c>
      <c r="K38" s="155">
        <f>IF('AW Schüler'!$K104=0,"x",F38/'AW Schüler'!$K104)</f>
        <v>7.343437563392935E-2</v>
      </c>
      <c r="L38" s="156">
        <f>IF('AW Schüler'!$N104=0,"x",G38/'AW Schüler'!$N104)</f>
        <v>8.9022271588061058E-2</v>
      </c>
    </row>
    <row r="39" spans="1:13" ht="9" customHeight="1">
      <c r="A39" s="21" t="s">
        <v>89</v>
      </c>
      <c r="B39" s="120"/>
      <c r="C39" s="23">
        <f>[36]GtS!$E$29</f>
        <v>51072</v>
      </c>
      <c r="D39" s="23">
        <f>[37]GtS!$E$31</f>
        <v>62822</v>
      </c>
      <c r="E39" s="23">
        <f>[38]GtS!$E$31</f>
        <v>70198</v>
      </c>
      <c r="F39" s="23">
        <f>[39]GtS!$E$31</f>
        <v>72483</v>
      </c>
      <c r="G39" s="34">
        <f>[40]GtS!$E$31</f>
        <v>74718</v>
      </c>
      <c r="H39" s="155">
        <f>IF('AW Schüler'!$B105=0,"x",C39/'AW Schüler'!$B105)</f>
        <v>0.18205020353748869</v>
      </c>
      <c r="I39" s="155">
        <f>IF('AW Schüler'!$E105=0,"x",D39/'AW Schüler'!$E105)</f>
        <v>0.22617123230955888</v>
      </c>
      <c r="J39" s="155">
        <f>IF('AW Schüler'!$H105=0,"x",E39/'AW Schüler'!$H105)</f>
        <v>0.25680347389639036</v>
      </c>
      <c r="K39" s="155">
        <f>IF('AW Schüler'!$K105=0,"x",F39/'AW Schüler'!$K105)</f>
        <v>0.26670027265000351</v>
      </c>
      <c r="L39" s="156">
        <f>IF('AW Schüler'!$N105=0,"x",G39/'AW Schüler'!$N105)</f>
        <v>0.27586792543391658</v>
      </c>
    </row>
    <row r="40" spans="1:13" ht="9" customHeight="1">
      <c r="A40" s="21" t="s">
        <v>90</v>
      </c>
      <c r="B40" s="120"/>
      <c r="C40" s="23">
        <f>[41]GtS!$E$29</f>
        <v>8634</v>
      </c>
      <c r="D40" s="23">
        <f>[42]GtS!$E$31</f>
        <v>8156</v>
      </c>
      <c r="E40" s="23">
        <f>[43]GtS!$E$31</f>
        <v>8477</v>
      </c>
      <c r="F40" s="23">
        <f>[44]GtS!$E$31</f>
        <v>8624</v>
      </c>
      <c r="G40" s="34">
        <f>[45]GtS!$E$31</f>
        <v>8826</v>
      </c>
      <c r="H40" s="155">
        <f>IF('AW Schüler'!$B106=0,"x",C40/'AW Schüler'!$B106)</f>
        <v>0.10651894986182392</v>
      </c>
      <c r="I40" s="155">
        <f>IF('AW Schüler'!$E106=0,"x",D40/'AW Schüler'!$E106)</f>
        <v>0.10467548801930258</v>
      </c>
      <c r="J40" s="155">
        <f>IF('AW Schüler'!$H106=0,"x",E40/'AW Schüler'!$H106)</f>
        <v>0.11148373181830137</v>
      </c>
      <c r="K40" s="155">
        <f>IF('AW Schüler'!$K106=0,"x",F40/'AW Schüler'!$K106)</f>
        <v>0.11629067274369935</v>
      </c>
      <c r="L40" s="156">
        <f>IF('AW Schüler'!$N106=0,"x",G40/'AW Schüler'!$N106)</f>
        <v>0.12085775319055704</v>
      </c>
    </row>
    <row r="41" spans="1:13" ht="9" customHeight="1">
      <c r="A41" s="21" t="s">
        <v>91</v>
      </c>
      <c r="B41" s="120"/>
      <c r="C41" s="23">
        <f>[46]GtS!$E$29</f>
        <v>448</v>
      </c>
      <c r="D41" s="23">
        <f>[47]GtS!$E$31</f>
        <v>304</v>
      </c>
      <c r="E41" s="23">
        <f>[48]GtS!$E$31</f>
        <v>352</v>
      </c>
      <c r="F41" s="23">
        <f>[49]GtS!$E$31</f>
        <v>402</v>
      </c>
      <c r="G41" s="34">
        <f>[50]GtS!$E$31</f>
        <v>396</v>
      </c>
      <c r="H41" s="155">
        <f>IF('AW Schüler'!$B107=0,"x",C41/'AW Schüler'!$B107)</f>
        <v>3.0455472467709042E-2</v>
      </c>
      <c r="I41" s="155">
        <f>IF('AW Schüler'!$E107=0,"x",D41/'AW Schüler'!$E107)</f>
        <v>2.1474992935857588E-2</v>
      </c>
      <c r="J41" s="155">
        <f>IF('AW Schüler'!$H107=0,"x",E41/'AW Schüler'!$H107)</f>
        <v>2.5557249691425251E-2</v>
      </c>
      <c r="K41" s="155">
        <f>IF('AW Schüler'!$K107=0,"x",F41/'AW Schüler'!$K107)</f>
        <v>2.9330220341456298E-2</v>
      </c>
      <c r="L41" s="156">
        <f>IF('AW Schüler'!$N107=0,"x",G41/'AW Schüler'!$N107)</f>
        <v>2.8862973760932945E-2</v>
      </c>
    </row>
    <row r="42" spans="1:13" ht="9" customHeight="1">
      <c r="A42" s="21" t="s">
        <v>92</v>
      </c>
      <c r="B42" s="120"/>
      <c r="C42" s="23">
        <f>[51]GtS!$E$29</f>
        <v>14914</v>
      </c>
      <c r="D42" s="23">
        <f>[52]GtS!$E$31</f>
        <v>13239</v>
      </c>
      <c r="E42" s="23">
        <f>[53]GtS!$E$31</f>
        <v>12291</v>
      </c>
      <c r="F42" s="23">
        <f>[54]GtS!$E$31</f>
        <v>10822</v>
      </c>
      <c r="G42" s="34">
        <f>[55]GtS!$E$31</f>
        <v>12155</v>
      </c>
      <c r="H42" s="155">
        <f>IF('AW Schüler'!$B108=0,"x",C42/'AW Schüler'!$B108)</f>
        <v>0.27066659407270288</v>
      </c>
      <c r="I42" s="155">
        <f>IF('AW Schüler'!$E108=0,"x",D42/'AW Schüler'!$E108)</f>
        <v>0.24136736554238833</v>
      </c>
      <c r="J42" s="155">
        <f>IF('AW Schüler'!$H108=0,"x",E42/'AW Schüler'!$H108)</f>
        <v>0.2245792906868388</v>
      </c>
      <c r="K42" s="155">
        <f>IF('AW Schüler'!$K108=0,"x",F42/'AW Schüler'!$K108)</f>
        <v>0.19824506768762937</v>
      </c>
      <c r="L42" s="156">
        <f>IF('AW Schüler'!$N108=0,"x",G42/'AW Schüler'!$N108)</f>
        <v>0.22200102279368791</v>
      </c>
    </row>
    <row r="43" spans="1:13" ht="9" customHeight="1">
      <c r="A43" s="21" t="s">
        <v>93</v>
      </c>
      <c r="B43" s="120"/>
      <c r="C43" s="23">
        <f>[76]GtS!$E$29</f>
        <v>2483</v>
      </c>
      <c r="D43" s="23">
        <f>[77]GtS!$E$31</f>
        <v>2458</v>
      </c>
      <c r="E43" s="23">
        <f>[78]GtS!$E$31</f>
        <v>3352</v>
      </c>
      <c r="F43" s="23">
        <f>[79]GtS!$E$31</f>
        <v>3471</v>
      </c>
      <c r="G43" s="34">
        <f>[80]GtS!$E$31</f>
        <v>2586</v>
      </c>
      <c r="H43" s="155">
        <f>IF('AW Schüler'!$B109=0,"x",C43/'AW Schüler'!$B109)</f>
        <v>7.9562932581389384E-2</v>
      </c>
      <c r="I43" s="155">
        <f>IF('AW Schüler'!$E109=0,"x",D43/'AW Schüler'!$E109)</f>
        <v>7.6649619558438312E-2</v>
      </c>
      <c r="J43" s="155">
        <f>IF('AW Schüler'!$H109=0,"x",E43/'AW Schüler'!$H109)</f>
        <v>0.1035015129994442</v>
      </c>
      <c r="K43" s="155">
        <f>IF('AW Schüler'!$K109=0,"x",F43/'AW Schüler'!$K109)</f>
        <v>0.10768801191362622</v>
      </c>
      <c r="L43" s="156">
        <f>IF('AW Schüler'!$N109=0,"x",G43/'AW Schüler'!$N109)</f>
        <v>8.211870058111842E-2</v>
      </c>
    </row>
    <row r="44" spans="1:13" ht="9" customHeight="1">
      <c r="A44" s="21" t="s">
        <v>94</v>
      </c>
      <c r="B44" s="120"/>
      <c r="C44" s="23">
        <f>[56]GtS!$E$29</f>
        <v>416</v>
      </c>
      <c r="D44" s="23">
        <f>[57]GtS!$E$31</f>
        <v>356</v>
      </c>
      <c r="E44" s="23">
        <f>[58]GtS!$E$31</f>
        <v>361</v>
      </c>
      <c r="F44" s="23">
        <f>[59]GtS!$E$31</f>
        <v>343</v>
      </c>
      <c r="G44" s="34">
        <f>[60]GtS!$E$31</f>
        <v>337</v>
      </c>
      <c r="H44" s="155">
        <f>IF('AW Schüler'!$B110=0,"x",C44/'AW Schüler'!$B110)</f>
        <v>6.855749105950988E-3</v>
      </c>
      <c r="I44" s="155">
        <f>IF('AW Schüler'!$E110=0,"x",D44/'AW Schüler'!$E110)</f>
        <v>7.1858221307173715E-3</v>
      </c>
      <c r="J44" s="155">
        <f>IF('AW Schüler'!$H110=0,"x",E44/'AW Schüler'!$H110)</f>
        <v>7.4127310061601641E-3</v>
      </c>
      <c r="K44" s="155">
        <f>IF('AW Schüler'!$K110=0,"x",F44/'AW Schüler'!$K110)</f>
        <v>6.9967158272647529E-3</v>
      </c>
      <c r="L44" s="156">
        <f>IF('AW Schüler'!$N110=0,"x",G44/'AW Schüler'!$N110)</f>
        <v>6.8599112486259824E-3</v>
      </c>
    </row>
    <row r="45" spans="1:13" ht="9" customHeight="1">
      <c r="A45" s="21" t="s">
        <v>95</v>
      </c>
      <c r="B45" s="120"/>
      <c r="C45" s="23">
        <f>[61]GtS!$E$29</f>
        <v>839</v>
      </c>
      <c r="D45" s="23">
        <f>[62]GtS!$E$31</f>
        <v>1038</v>
      </c>
      <c r="E45" s="23">
        <f>[63]GtS!$E$31</f>
        <v>1405</v>
      </c>
      <c r="F45" s="23">
        <f>[64]GtS!$E$31</f>
        <v>1395</v>
      </c>
      <c r="G45" s="34">
        <f>[65]GtS!$E$31</f>
        <v>1564</v>
      </c>
      <c r="H45" s="155">
        <f>IF('AW Schüler'!$B111=0,"x",C45/'AW Schüler'!$B111)</f>
        <v>2.5768604686876133E-2</v>
      </c>
      <c r="I45" s="155">
        <f>IF('AW Schüler'!$E111=0,"x",D45/'AW Schüler'!$E111)</f>
        <v>3.2203021747898117E-2</v>
      </c>
      <c r="J45" s="155">
        <f>IF('AW Schüler'!$H111=0,"x",E45/'AW Schüler'!$H111)</f>
        <v>4.402180724401554E-2</v>
      </c>
      <c r="K45" s="155">
        <f>IF('AW Schüler'!$K111=0,"x",F45/'AW Schüler'!$K111)</f>
        <v>4.4548764131059591E-2</v>
      </c>
      <c r="L45" s="156">
        <f>IF('AW Schüler'!$N111=0,"x",G45/'AW Schüler'!$N111)</f>
        <v>5.1734974033277099E-2</v>
      </c>
    </row>
    <row r="46" spans="1:13" ht="9" customHeight="1">
      <c r="A46" s="21" t="s">
        <v>96</v>
      </c>
      <c r="B46" s="120"/>
      <c r="C46" s="23">
        <f>SUM(C30:C45)</f>
        <v>107881</v>
      </c>
      <c r="D46" s="23">
        <f>SUM(D30:D45)</f>
        <v>118683</v>
      </c>
      <c r="E46" s="23">
        <f>SUM(E30:E45)</f>
        <v>128763</v>
      </c>
      <c r="F46" s="23">
        <f>SUM(F30:F45)</f>
        <v>131259</v>
      </c>
      <c r="G46" s="34">
        <f>SUM(G30:G45)</f>
        <v>139070</v>
      </c>
      <c r="H46" s="155">
        <f>IF('AW Schüler'!$B112=0,"x",C46/'AW Schüler'!$B112)</f>
        <v>8.1458169261982835E-2</v>
      </c>
      <c r="I46" s="155">
        <f>IF('AW Schüler'!$E112=0,"x",D46/'AW Schüler'!$E112)</f>
        <v>9.1895399229268884E-2</v>
      </c>
      <c r="J46" s="155">
        <f>IF('AW Schüler'!$H112=0,"x",E46/'AW Schüler'!$H112)</f>
        <v>0.10176278821646613</v>
      </c>
      <c r="K46" s="155">
        <f>IF('AW Schüler'!$K112=0,"x",F46/'AW Schüler'!$K112)</f>
        <v>0.10486399772470714</v>
      </c>
      <c r="L46" s="156">
        <f>IF('AW Schüler'!$N112=0,"x",G46/'AW Schüler'!$N112)</f>
        <v>0.11126864011751735</v>
      </c>
      <c r="M46" s="209"/>
    </row>
    <row r="47" spans="1:13" ht="12.75" customHeight="1">
      <c r="A47" s="391" t="s">
        <v>100</v>
      </c>
      <c r="B47" s="392"/>
      <c r="C47" s="392"/>
      <c r="D47" s="392"/>
      <c r="E47" s="392"/>
      <c r="F47" s="392"/>
      <c r="G47" s="392"/>
      <c r="H47" s="392"/>
      <c r="I47" s="392"/>
      <c r="J47" s="392"/>
      <c r="K47" s="392"/>
      <c r="L47" s="393"/>
    </row>
    <row r="48" spans="1:13" ht="9" customHeight="1">
      <c r="A48" s="21" t="s">
        <v>80</v>
      </c>
      <c r="B48" s="120"/>
      <c r="C48" s="23">
        <f>[1]GtS!$H$29</f>
        <v>30805</v>
      </c>
      <c r="D48" s="23">
        <f>[2]GtS!$H$31</f>
        <v>31878</v>
      </c>
      <c r="E48" s="23">
        <f>[3]GtS!$H$31</f>
        <v>32990</v>
      </c>
      <c r="F48" s="23">
        <f>[4]GtS!$H$31</f>
        <v>34120</v>
      </c>
      <c r="G48" s="34">
        <f>[5]GtS!$H$31</f>
        <v>33849</v>
      </c>
      <c r="H48" s="155">
        <f>IF('AW Schüler'!$B96=0,"x",C48/'AW Schüler'!$B96)</f>
        <v>0.16412089697757556</v>
      </c>
      <c r="I48" s="155">
        <f>IF('AW Schüler'!$E96=0,"x",D48/'AW Schüler'!$E96)</f>
        <v>0.17208747429052651</v>
      </c>
      <c r="J48" s="155">
        <f>IF('AW Schüler'!$H96=0,"x",E48/'AW Schüler'!$H96)</f>
        <v>0.18226418638571057</v>
      </c>
      <c r="K48" s="155">
        <f>IF('AW Schüler'!$K96=0,"x",F48/'AW Schüler'!$K96)</f>
        <v>0.19268345023097166</v>
      </c>
      <c r="L48" s="156">
        <f>IF('AW Schüler'!$N96=0,"x",G48/'AW Schüler'!$N96)</f>
        <v>0.19295755378458801</v>
      </c>
    </row>
    <row r="49" spans="1:13" ht="9" customHeight="1">
      <c r="A49" s="21" t="s">
        <v>81</v>
      </c>
      <c r="B49" s="120"/>
      <c r="C49" s="23">
        <f>[6]GtS!$H$29</f>
        <v>13000</v>
      </c>
      <c r="D49" s="23">
        <f>[7]GtS!$H$31</f>
        <v>15799</v>
      </c>
      <c r="E49" s="23">
        <f>[8]GtS!$H$31</f>
        <v>15799</v>
      </c>
      <c r="F49" s="23">
        <f>[9]GtS!$H$31</f>
        <v>16917</v>
      </c>
      <c r="G49" s="34">
        <f>[10]GtS!$H$31</f>
        <v>21115</v>
      </c>
      <c r="H49" s="155">
        <f>IF('AW Schüler'!$B97=0,"x",C49/'AW Schüler'!$B97)</f>
        <v>6.3054148963001766E-2</v>
      </c>
      <c r="I49" s="155">
        <f>IF('AW Schüler'!$E97=0,"x",D49/'AW Schüler'!$E97)</f>
        <v>7.8768147734524563E-2</v>
      </c>
      <c r="J49" s="155">
        <f>IF('AW Schüler'!$H97=0,"x",E49/'AW Schüler'!$H97)</f>
        <v>8.1994353449170665E-2</v>
      </c>
      <c r="K49" s="155">
        <f>IF('AW Schüler'!$K97=0,"x",F49/'AW Schüler'!$K97)</f>
        <v>9.1095602726890892E-2</v>
      </c>
      <c r="L49" s="156">
        <f>IF('AW Schüler'!$N97=0,"x",G49/'AW Schüler'!$N97)</f>
        <v>0.11665294712359191</v>
      </c>
    </row>
    <row r="50" spans="1:13" ht="9" customHeight="1">
      <c r="A50" s="21" t="s">
        <v>82</v>
      </c>
      <c r="B50" s="120"/>
      <c r="C50" s="23">
        <f>[11]GtS!$H$29</f>
        <v>2929</v>
      </c>
      <c r="D50" s="23">
        <f>[12]GtS!$H$31</f>
        <v>6844</v>
      </c>
      <c r="E50" s="23">
        <f>[13]GtS!$H$31</f>
        <v>7211</v>
      </c>
      <c r="F50" s="23">
        <f>[14]GtS!$H$31</f>
        <v>10551</v>
      </c>
      <c r="G50" s="34">
        <f>[15]GtS!$H$31</f>
        <v>9100</v>
      </c>
      <c r="H50" s="155">
        <f>IF('AW Schüler'!$B98=0,"x",C50/'AW Schüler'!$B98)</f>
        <v>7.5971364838927219E-2</v>
      </c>
      <c r="I50" s="155">
        <f>IF('AW Schüler'!$E98=0,"x",D50/'AW Schüler'!$E98)</f>
        <v>0.18410221923335576</v>
      </c>
      <c r="J50" s="155">
        <f>IF('AW Schüler'!$H98=0,"x",E50/'AW Schüler'!$H98)</f>
        <v>0.20725433276808553</v>
      </c>
      <c r="K50" s="155">
        <f>IF('AW Schüler'!$K98=0,"x",F50/'AW Schüler'!$K98)</f>
        <v>0.2993021672529218</v>
      </c>
      <c r="L50" s="156">
        <f>IF('AW Schüler'!$N98=0,"x",G50/'AW Schüler'!$N98)</f>
        <v>0.24341313360973652</v>
      </c>
    </row>
    <row r="51" spans="1:13" ht="9" customHeight="1">
      <c r="A51" s="21" t="s">
        <v>83</v>
      </c>
      <c r="B51" s="120"/>
      <c r="C51" s="23">
        <f>[16]GtS!$H$29</f>
        <v>7228</v>
      </c>
      <c r="D51" s="23">
        <f>[17]GtS!$H$31</f>
        <v>8273</v>
      </c>
      <c r="E51" s="23">
        <f>[18]GtS!$H$31</f>
        <v>7653</v>
      </c>
      <c r="F51" s="23">
        <f>[19]GtS!$H$31</f>
        <v>7239</v>
      </c>
      <c r="G51" s="34">
        <f>[20]GtS!$H$31</f>
        <v>7007</v>
      </c>
      <c r="H51" s="155">
        <f>IF('AW Schüler'!$B99=0,"x",C51/'AW Schüler'!$B99)</f>
        <v>0.28077535640756712</v>
      </c>
      <c r="I51" s="155">
        <f>IF('AW Schüler'!$E99=0,"x",D51/'AW Schüler'!$E99)</f>
        <v>0.32211969006735974</v>
      </c>
      <c r="J51" s="155">
        <f>IF('AW Schüler'!$H99=0,"x",E51/'AW Schüler'!$H99)</f>
        <v>0.31493827160493826</v>
      </c>
      <c r="K51" s="155">
        <f>IF('AW Schüler'!$K99=0,"x",F51/'AW Schüler'!$K99)</f>
        <v>0.30153705169325612</v>
      </c>
      <c r="L51" s="156">
        <f>IF('AW Schüler'!$N99=0,"x",G51/'AW Schüler'!$N99)</f>
        <v>0.29164238741363524</v>
      </c>
    </row>
    <row r="52" spans="1:13" ht="9" customHeight="1">
      <c r="A52" s="21" t="s">
        <v>84</v>
      </c>
      <c r="B52" s="120"/>
      <c r="C52" s="23">
        <f>[21]GtS!$H$29</f>
        <v>0</v>
      </c>
      <c r="D52" s="23">
        <f>[22]GtS!$H$31</f>
        <v>0</v>
      </c>
      <c r="E52" s="23">
        <f>[23]GtS!$H$31</f>
        <v>0</v>
      </c>
      <c r="F52" s="23">
        <f>[24]GtS!$H$31</f>
        <v>0</v>
      </c>
      <c r="G52" s="34">
        <f>[25]GtS!$H$31</f>
        <v>0</v>
      </c>
      <c r="H52" s="155">
        <f>IF('AW Schüler'!$B100=0,"x",C52/'AW Schüler'!$B100)</f>
        <v>0</v>
      </c>
      <c r="I52" s="155">
        <f>IF('AW Schüler'!$E100=0,"x",D52/'AW Schüler'!$E100)</f>
        <v>0</v>
      </c>
      <c r="J52" s="155">
        <f>IF('AW Schüler'!$H100=0,"x",E52/'AW Schüler'!$H100)</f>
        <v>0</v>
      </c>
      <c r="K52" s="155">
        <f>IF('AW Schüler'!$K100=0,"x",F52/'AW Schüler'!$K100)</f>
        <v>0</v>
      </c>
      <c r="L52" s="156">
        <f>IF('AW Schüler'!$N100=0,"x",G52/'AW Schüler'!$N100)</f>
        <v>0</v>
      </c>
    </row>
    <row r="53" spans="1:13" ht="9" customHeight="1">
      <c r="A53" s="21" t="s">
        <v>85</v>
      </c>
      <c r="B53" s="120"/>
      <c r="C53" s="23">
        <f>[26]GtS!$H$29</f>
        <v>30207</v>
      </c>
      <c r="D53" s="23">
        <f>[27]GtS!$H$31</f>
        <v>28507</v>
      </c>
      <c r="E53" s="23">
        <f>[28]GtS!$H$31</f>
        <v>29135</v>
      </c>
      <c r="F53" s="23">
        <f>[29]GtS!$H$31</f>
        <v>29576</v>
      </c>
      <c r="G53" s="34">
        <f>[30]GtS!$H$31</f>
        <v>28913</v>
      </c>
      <c r="H53" s="155">
        <f>IF('AW Schüler'!$B101=0,"x",C53/'AW Schüler'!$B101)</f>
        <v>0.93699981388423603</v>
      </c>
      <c r="I53" s="155">
        <f>IF('AW Schüler'!$E101=0,"x",D53/'AW Schüler'!$E101)</f>
        <v>0.90789515589668457</v>
      </c>
      <c r="J53" s="155">
        <f>IF('AW Schüler'!$H101=0,"x",E53/'AW Schüler'!$H101)</f>
        <v>0.92149792832969601</v>
      </c>
      <c r="K53" s="155">
        <f>IF('AW Schüler'!$K101=0,"x",F53/'AW Schüler'!$K101)</f>
        <v>0.91620457854465476</v>
      </c>
      <c r="L53" s="156">
        <f>IF('AW Schüler'!$N101=0,"x",G53/'AW Schüler'!$N101)</f>
        <v>0.87950964287887079</v>
      </c>
    </row>
    <row r="54" spans="1:13" ht="9" customHeight="1">
      <c r="A54" s="21" t="s">
        <v>114</v>
      </c>
      <c r="B54" s="120"/>
      <c r="C54" s="23">
        <f>[66]GtS!$H$29</f>
        <v>57571</v>
      </c>
      <c r="D54" s="23">
        <f>[67]GtS!$H$31</f>
        <v>57534</v>
      </c>
      <c r="E54" s="23">
        <f>[68]GtS!$H$31</f>
        <v>58762</v>
      </c>
      <c r="F54" s="23">
        <f>[69]GtS!$H$31</f>
        <v>59158</v>
      </c>
      <c r="G54" s="34">
        <f>[70]GtS!$H$31</f>
        <v>62679</v>
      </c>
      <c r="H54" s="155">
        <f>IF('AW Schüler'!$B102=0,"x",C54/'AW Schüler'!$B102)</f>
        <v>0.52228068583870091</v>
      </c>
      <c r="I54" s="155">
        <f>IF('AW Schüler'!$E102=0,"x",D54/'AW Schüler'!$E102)</f>
        <v>0.52491173009023151</v>
      </c>
      <c r="J54" s="155">
        <f>IF('AW Schüler'!$H102=0,"x",E54/'AW Schüler'!$H102)</f>
        <v>0.53425342534253428</v>
      </c>
      <c r="K54" s="155">
        <f>IF('AW Schüler'!$K102=0,"x",F54/'AW Schüler'!$K102)</f>
        <v>0.53291174589447698</v>
      </c>
      <c r="L54" s="156">
        <f>IF('AW Schüler'!$N102=0,"x",G54/'AW Schüler'!$N102)</f>
        <v>0.55121316319441394</v>
      </c>
    </row>
    <row r="55" spans="1:13" ht="9" customHeight="1">
      <c r="A55" s="21" t="s">
        <v>87</v>
      </c>
      <c r="B55" s="120"/>
      <c r="C55" s="23">
        <f>[31]GtS!$H$29</f>
        <v>4526</v>
      </c>
      <c r="D55" s="23">
        <f>[32]GtS!$H$31</f>
        <v>3369</v>
      </c>
      <c r="E55" s="23">
        <f>[33]GtS!$H$31</f>
        <v>4454</v>
      </c>
      <c r="F55" s="23">
        <f>[34]GtS!$H$31</f>
        <v>4209</v>
      </c>
      <c r="G55" s="34">
        <f>[35]GtS!$H$31</f>
        <v>2422</v>
      </c>
      <c r="H55" s="155">
        <f>IF('AW Schüler'!$B103=0,"x",C55/'AW Schüler'!$B103)</f>
        <v>0.29288811234064582</v>
      </c>
      <c r="I55" s="155">
        <f>IF('AW Schüler'!$E103=0,"x",D55/'AW Schüler'!$E103)</f>
        <v>0.21097125681006951</v>
      </c>
      <c r="J55" s="155">
        <f>IF('AW Schüler'!$H103=0,"x",E55/'AW Schüler'!$H103)</f>
        <v>0.28053158657177046</v>
      </c>
      <c r="K55" s="155">
        <f>IF('AW Schüler'!$K103=0,"x",F55/'AW Schüler'!$K103)</f>
        <v>0.26807209731864212</v>
      </c>
      <c r="L55" s="156">
        <f>IF('AW Schüler'!$N103=0,"x",G55/'AW Schüler'!$N103)</f>
        <v>0.15389503113483288</v>
      </c>
    </row>
    <row r="56" spans="1:13" ht="9" customHeight="1">
      <c r="A56" s="21" t="s">
        <v>88</v>
      </c>
      <c r="B56" s="120"/>
      <c r="C56" s="23">
        <f>[71]GtS!$H$29</f>
        <v>57087</v>
      </c>
      <c r="D56" s="23">
        <f>[72]GtS!$H$31</f>
        <v>59526</v>
      </c>
      <c r="E56" s="23">
        <f>[73]GtS!$H$31</f>
        <v>64635</v>
      </c>
      <c r="F56" s="23">
        <f>[74]GtS!$H$31</f>
        <v>62476</v>
      </c>
      <c r="G56" s="34">
        <f>[75]GtS!$H$31</f>
        <v>65409</v>
      </c>
      <c r="H56" s="155">
        <f>IF('AW Schüler'!$B104=0,"x",C56/'AW Schüler'!$B104)</f>
        <v>0.39577512635103751</v>
      </c>
      <c r="I56" s="155">
        <f>IF('AW Schüler'!$E104=0,"x",D56/'AW Schüler'!$E104)</f>
        <v>0.4240226806473672</v>
      </c>
      <c r="J56" s="155">
        <f>IF('AW Schüler'!$H104=0,"x",E56/'AW Schüler'!$H104)</f>
        <v>0.46814566946243102</v>
      </c>
      <c r="K56" s="155">
        <f>IF('AW Schüler'!$K104=0,"x",F56/'AW Schüler'!$K104)</f>
        <v>0.45263279914220306</v>
      </c>
      <c r="L56" s="156">
        <f>IF('AW Schüler'!$N104=0,"x",G56/'AW Schüler'!$N104)</f>
        <v>0.46571684894053317</v>
      </c>
    </row>
    <row r="57" spans="1:13" ht="9" customHeight="1">
      <c r="A57" s="21" t="s">
        <v>89</v>
      </c>
      <c r="B57" s="120"/>
      <c r="C57" s="23">
        <f>[36]GtS!$H$29</f>
        <v>0</v>
      </c>
      <c r="D57" s="23">
        <f>[37]GtS!$H$31</f>
        <v>0</v>
      </c>
      <c r="E57" s="23">
        <f>[38]GtS!$H$31</f>
        <v>0</v>
      </c>
      <c r="F57" s="23">
        <f>[39]GtS!$H$31</f>
        <v>0</v>
      </c>
      <c r="G57" s="34">
        <f>[40]GtS!$H$31</f>
        <v>0</v>
      </c>
      <c r="H57" s="155">
        <f>IF('AW Schüler'!$B105=0,"x",C57/'AW Schüler'!$B105)</f>
        <v>0</v>
      </c>
      <c r="I57" s="155">
        <f>IF('AW Schüler'!$E105=0,"x",D57/'AW Schüler'!$E105)</f>
        <v>0</v>
      </c>
      <c r="J57" s="155">
        <f>IF('AW Schüler'!$H105=0,"x",E57/'AW Schüler'!$H105)</f>
        <v>0</v>
      </c>
      <c r="K57" s="155">
        <f>IF('AW Schüler'!$K105=0,"x",F57/'AW Schüler'!$K105)</f>
        <v>0</v>
      </c>
      <c r="L57" s="156">
        <f>IF('AW Schüler'!$N105=0,"x",G57/'AW Schüler'!$N105)</f>
        <v>0</v>
      </c>
    </row>
    <row r="58" spans="1:13" ht="9" customHeight="1">
      <c r="A58" s="21" t="s">
        <v>90</v>
      </c>
      <c r="B58" s="120"/>
      <c r="C58" s="23">
        <f>[41]GtS!$H$29</f>
        <v>314</v>
      </c>
      <c r="D58" s="23">
        <f>[42]GtS!$H$31</f>
        <v>177</v>
      </c>
      <c r="E58" s="23">
        <f>[43]GtS!$H$31</f>
        <v>53</v>
      </c>
      <c r="F58" s="23">
        <f>[44]GtS!$H$31</f>
        <v>40</v>
      </c>
      <c r="G58" s="34">
        <f>[45]GtS!$H$31</f>
        <v>61</v>
      </c>
      <c r="H58" s="155">
        <f>IF('AW Schüler'!$B106=0,"x",C58/'AW Schüler'!$B106)</f>
        <v>3.8738649822345045E-3</v>
      </c>
      <c r="I58" s="155">
        <f>IF('AW Schüler'!$E106=0,"x",D58/'AW Schüler'!$E106)</f>
        <v>2.2716480357303282E-3</v>
      </c>
      <c r="J58" s="155">
        <f>IF('AW Schüler'!$H106=0,"x",E58/'AW Schüler'!$H106)</f>
        <v>6.9701991109708309E-4</v>
      </c>
      <c r="K58" s="155">
        <f>IF('AW Schüler'!$K106=0,"x",F58/'AW Schüler'!$K106)</f>
        <v>5.3938159899675022E-4</v>
      </c>
      <c r="L58" s="156">
        <f>IF('AW Schüler'!$N106=0,"x",G58/'AW Schüler'!$N106)</f>
        <v>8.3529605082981867E-4</v>
      </c>
    </row>
    <row r="59" spans="1:13" ht="9" customHeight="1">
      <c r="A59" s="21" t="s">
        <v>91</v>
      </c>
      <c r="B59" s="120"/>
      <c r="C59" s="23">
        <f>[46]GtS!$H$29</f>
        <v>1991</v>
      </c>
      <c r="D59" s="23">
        <f>[47]GtS!$H$31</f>
        <v>1710</v>
      </c>
      <c r="E59" s="23">
        <f>[48]GtS!$H$31</f>
        <v>1594</v>
      </c>
      <c r="F59" s="23">
        <f>[49]GtS!$H$31</f>
        <v>2105</v>
      </c>
      <c r="G59" s="34">
        <f>[50]GtS!$H$31</f>
        <v>2244</v>
      </c>
      <c r="H59" s="155">
        <f>IF('AW Schüler'!$B107=0,"x",C59/'AW Schüler'!$B107)</f>
        <v>0.13535010197144801</v>
      </c>
      <c r="I59" s="155">
        <f>IF('AW Schüler'!$E107=0,"x",D59/'AW Schüler'!$E107)</f>
        <v>0.12079683526419893</v>
      </c>
      <c r="J59" s="155">
        <f>IF('AW Schüler'!$H107=0,"x",E59/'AW Schüler'!$H107)</f>
        <v>0.11573368184128367</v>
      </c>
      <c r="K59" s="155">
        <f>IF('AW Schüler'!$K107=0,"x",F59/'AW Schüler'!$K107)</f>
        <v>0.15358237268349628</v>
      </c>
      <c r="L59" s="156">
        <f>IF('AW Schüler'!$N107=0,"x",G59/'AW Schüler'!$N107)</f>
        <v>0.16355685131195336</v>
      </c>
    </row>
    <row r="60" spans="1:13" ht="9" customHeight="1">
      <c r="A60" s="21" t="s">
        <v>92</v>
      </c>
      <c r="B60" s="120"/>
      <c r="C60" s="23">
        <f>[51]GtS!$H$29</f>
        <v>28760</v>
      </c>
      <c r="D60" s="23">
        <f>[52]GtS!$H$31</f>
        <v>32107</v>
      </c>
      <c r="E60" s="23">
        <f>[53]GtS!$H$31</f>
        <v>30194</v>
      </c>
      <c r="F60" s="23">
        <f>[54]GtS!$H$31</f>
        <v>25916</v>
      </c>
      <c r="G60" s="34">
        <f>[55]GtS!$H$31</f>
        <v>28211</v>
      </c>
      <c r="H60" s="155">
        <f>IF('AW Schüler'!$B108=0,"x",C60/'AW Schüler'!$B108)</f>
        <v>0.52195059980762604</v>
      </c>
      <c r="I60" s="155">
        <f>IF('AW Schüler'!$E108=0,"x",D60/'AW Schüler'!$E108)</f>
        <v>0.58536007292616221</v>
      </c>
      <c r="J60" s="155">
        <f>IF('AW Schüler'!$H108=0,"x",E60/'AW Schüler'!$H108)</f>
        <v>0.55170019550877958</v>
      </c>
      <c r="K60" s="155">
        <f>IF('AW Schüler'!$K108=0,"x",F60/'AW Schüler'!$K108)</f>
        <v>0.47474765978493838</v>
      </c>
      <c r="L60" s="156">
        <f>IF('AW Schüler'!$N108=0,"x",G60/'AW Schüler'!$N108)</f>
        <v>0.515250584453536</v>
      </c>
    </row>
    <row r="61" spans="1:13" ht="9" customHeight="1">
      <c r="A61" s="21" t="s">
        <v>93</v>
      </c>
      <c r="B61" s="120"/>
      <c r="C61" s="23">
        <f>[76]GtS!$H$29</f>
        <v>4888</v>
      </c>
      <c r="D61" s="23">
        <f>[77]GtS!$H$31</f>
        <v>5353</v>
      </c>
      <c r="E61" s="23">
        <f>[78]GtS!$H$31</f>
        <v>5306</v>
      </c>
      <c r="F61" s="23">
        <f>[79]GtS!$H$31</f>
        <v>5469</v>
      </c>
      <c r="G61" s="34">
        <f>[80]GtS!$H$31</f>
        <v>5588</v>
      </c>
      <c r="H61" s="155">
        <f>IF('AW Schüler'!$B109=0,"x",C61/'AW Schüler'!$B109)</f>
        <v>0.15662650602409639</v>
      </c>
      <c r="I61" s="155">
        <f>IF('AW Schüler'!$E109=0,"x",D61/'AW Schüler'!$E109)</f>
        <v>0.1669265311213671</v>
      </c>
      <c r="J61" s="155">
        <f>IF('AW Schüler'!$H109=0,"x",E61/'AW Schüler'!$H109)</f>
        <v>0.16383622552954979</v>
      </c>
      <c r="K61" s="155">
        <f>IF('AW Schüler'!$K109=0,"x",F61/'AW Schüler'!$K109)</f>
        <v>0.16967609828741623</v>
      </c>
      <c r="L61" s="156">
        <f>IF('AW Schüler'!$N109=0,"x",G61/'AW Schüler'!$N109)</f>
        <v>0.17744752468959385</v>
      </c>
    </row>
    <row r="62" spans="1:13" ht="9" customHeight="1">
      <c r="A62" s="21" t="s">
        <v>94</v>
      </c>
      <c r="B62" s="120"/>
      <c r="C62" s="23">
        <f>[56]GtS!$H$29</f>
        <v>12065</v>
      </c>
      <c r="D62" s="23">
        <f>[57]GtS!$H$31</f>
        <v>9966</v>
      </c>
      <c r="E62" s="23">
        <f>[58]GtS!$H$31</f>
        <v>9936</v>
      </c>
      <c r="F62" s="23">
        <f>[59]GtS!$H$31</f>
        <v>10159</v>
      </c>
      <c r="G62" s="34">
        <f>[60]GtS!$H$31</f>
        <v>10336</v>
      </c>
      <c r="H62" s="155">
        <f>IF('AW Schüler'!$B110=0,"x",C62/'AW Schüler'!$B110)</f>
        <v>0.19883320423869871</v>
      </c>
      <c r="I62" s="155">
        <f>IF('AW Schüler'!$E110=0,"x",D62/'AW Schüler'!$E110)</f>
        <v>0.20116264987283516</v>
      </c>
      <c r="J62" s="155">
        <f>IF('AW Schüler'!$H110=0,"x",E62/'AW Schüler'!$H110)</f>
        <v>0.2040246406570842</v>
      </c>
      <c r="K62" s="155">
        <f>IF('AW Schüler'!$K110=0,"x",F62/'AW Schüler'!$K110)</f>
        <v>0.20722925973522632</v>
      </c>
      <c r="L62" s="156">
        <f>IF('AW Schüler'!$N110=0,"x",G62/'AW Schüler'!$N110)</f>
        <v>0.21039775271750194</v>
      </c>
    </row>
    <row r="63" spans="1:13" ht="9" customHeight="1">
      <c r="A63" s="21" t="s">
        <v>95</v>
      </c>
      <c r="B63" s="120"/>
      <c r="C63" s="23">
        <f>[61]GtS!$H$29</f>
        <v>1535</v>
      </c>
      <c r="D63" s="23">
        <f>[62]GtS!$H$31</f>
        <v>1096</v>
      </c>
      <c r="E63" s="23">
        <f>[63]GtS!$H$31</f>
        <v>960</v>
      </c>
      <c r="F63" s="23">
        <f>[64]GtS!$H$31</f>
        <v>853</v>
      </c>
      <c r="G63" s="34">
        <f>[65]GtS!$H$31</f>
        <v>782</v>
      </c>
      <c r="H63" s="155">
        <f>IF('AW Schüler'!$B111=0,"x",C63/'AW Schüler'!$B111)</f>
        <v>4.7145182591602934E-2</v>
      </c>
      <c r="I63" s="155">
        <f>IF('AW Schüler'!$E111=0,"x",D63/'AW Schüler'!$E111)</f>
        <v>3.4002419880246951E-2</v>
      </c>
      <c r="J63" s="155">
        <f>IF('AW Schüler'!$H111=0,"x",E63/'AW Schüler'!$H111)</f>
        <v>3.0078957262814888E-2</v>
      </c>
      <c r="K63" s="155">
        <f>IF('AW Schüler'!$K111=0,"x",F63/'AW Schüler'!$K111)</f>
        <v>2.7240212045730343E-2</v>
      </c>
      <c r="L63" s="156">
        <f>IF('AW Schüler'!$N111=0,"x",G63/'AW Schüler'!$N111)</f>
        <v>2.586748701663855E-2</v>
      </c>
    </row>
    <row r="64" spans="1:13" ht="8.65" customHeight="1">
      <c r="A64" s="24" t="s">
        <v>96</v>
      </c>
      <c r="B64" s="121"/>
      <c r="C64" s="26">
        <f>SUM(C48:C63)</f>
        <v>252906</v>
      </c>
      <c r="D64" s="26">
        <f>SUM(D48:D63)</f>
        <v>262139</v>
      </c>
      <c r="E64" s="26">
        <f>SUM(E48:E63)</f>
        <v>268682</v>
      </c>
      <c r="F64" s="26">
        <f>SUM(F48:F63)</f>
        <v>268788</v>
      </c>
      <c r="G64" s="47">
        <f>SUM(G48:G63)</f>
        <v>277716</v>
      </c>
      <c r="H64" s="157">
        <f>IF('AW Schüler'!$B112=0,"x",C64/'AW Schüler'!$B112)</f>
        <v>0.1909628178768368</v>
      </c>
      <c r="I64" s="157">
        <f>IF('AW Schüler'!$E112=0,"x",D64/'AW Schüler'!$E112)</f>
        <v>0.20297235542210187</v>
      </c>
      <c r="J64" s="157">
        <f>IF('AW Schüler'!$H112=0,"x",E64/'AW Schüler'!$H112)</f>
        <v>0.2123422836030269</v>
      </c>
      <c r="K64" s="157">
        <f>IF('AW Schüler'!$K112=0,"x",F64/'AW Schüler'!$K112)</f>
        <v>0.21473715494121229</v>
      </c>
      <c r="L64" s="158">
        <f>IF('AW Schüler'!$N112=0,"x",G64/'AW Schüler'!$N112)</f>
        <v>0.22219804169753685</v>
      </c>
      <c r="M64" s="209"/>
    </row>
    <row r="65" spans="1:12" ht="18.75" customHeight="1">
      <c r="A65" s="396" t="s">
        <v>312</v>
      </c>
      <c r="B65" s="396"/>
      <c r="C65" s="396"/>
      <c r="D65" s="396"/>
      <c r="E65" s="396"/>
      <c r="F65" s="396"/>
      <c r="G65" s="396"/>
      <c r="H65" s="396"/>
      <c r="I65" s="396"/>
      <c r="J65" s="396"/>
      <c r="K65" s="396"/>
      <c r="L65" s="396"/>
    </row>
    <row r="66" spans="1:12" ht="10.15" customHeight="1">
      <c r="A66" s="399" t="s">
        <v>184</v>
      </c>
      <c r="B66" s="399"/>
      <c r="C66" s="399"/>
      <c r="D66" s="399"/>
      <c r="E66" s="399"/>
      <c r="F66" s="399"/>
      <c r="G66" s="399"/>
      <c r="H66" s="399"/>
      <c r="I66" s="399"/>
      <c r="J66" s="257"/>
      <c r="K66" s="325"/>
      <c r="L66" s="350"/>
    </row>
    <row r="67" spans="1:12" ht="10.15" customHeight="1">
      <c r="A67" s="214"/>
    </row>
    <row r="82" spans="1:1" ht="10.5" customHeight="1"/>
    <row r="83" spans="1:1" ht="10.15" customHeight="1">
      <c r="A83" s="214"/>
    </row>
  </sheetData>
  <mergeCells count="8">
    <mergeCell ref="A1:L1"/>
    <mergeCell ref="A66:I66"/>
    <mergeCell ref="C9:G9"/>
    <mergeCell ref="H9:L9"/>
    <mergeCell ref="A11:L11"/>
    <mergeCell ref="A29:L29"/>
    <mergeCell ref="A47:L47"/>
    <mergeCell ref="A65:L65"/>
  </mergeCells>
  <phoneticPr fontId="18" type="noConversion"/>
  <conditionalFormatting sqref="N25">
    <cfRule type="cellIs" dxfId="17"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M84"/>
  <sheetViews>
    <sheetView view="pageBreakPreview" topLeftCell="A46" zoomScale="170" zoomScaleNormal="130" zoomScaleSheetLayoutView="170"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'3.2.7'!A1:F1+1</f>
        <v>54</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4.1" customHeight="1">
      <c r="A5" s="13" t="s">
        <v>57</v>
      </c>
      <c r="B5" s="39" t="s">
        <v>134</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75" customHeight="1">
      <c r="A12" s="21" t="s">
        <v>172</v>
      </c>
      <c r="B12" s="120"/>
      <c r="C12" s="42">
        <f>SUM(C30+C48)</f>
        <v>7654</v>
      </c>
      <c r="D12" s="42">
        <f>SUM(D30+D48)</f>
        <v>17050</v>
      </c>
      <c r="E12" s="42">
        <f>SUM(E30+E48)</f>
        <v>32843</v>
      </c>
      <c r="F12" s="42">
        <f>SUM(F30+F48)</f>
        <v>50956</v>
      </c>
      <c r="G12" s="44">
        <f>SUM(G30+G48)</f>
        <v>67682</v>
      </c>
      <c r="H12" s="153">
        <f>IF('AW Schüler'!$B114=0,"x",C12/'AW Schüler'!$B114)</f>
        <v>0.62686322686322682</v>
      </c>
      <c r="I12" s="153">
        <f>IF('AW Schüler'!$E114=0,"x",D12/'AW Schüler'!$E114)</f>
        <v>0.52739026879891115</v>
      </c>
      <c r="J12" s="153">
        <f>IF('AW Schüler'!$H114=0,"x",E12/'AW Schüler'!$H114)</f>
        <v>0.55758717870360941</v>
      </c>
      <c r="K12" s="153">
        <f>IF('AW Schüler'!$K114=0,"x",F12/'AW Schüler'!$K114)</f>
        <v>0.61513574851817421</v>
      </c>
      <c r="L12" s="154">
        <f>IF('AW Schüler'!$N114=0,"x",G12/'AW Schüler'!$N114)</f>
        <v>0.66124115831021146</v>
      </c>
    </row>
    <row r="13" spans="1:13" ht="9" customHeight="1">
      <c r="A13" s="21" t="s">
        <v>81</v>
      </c>
      <c r="B13" s="120"/>
      <c r="C13" s="42">
        <f t="shared" ref="C13:C25" si="0">SUM(C31+C49)</f>
        <v>616</v>
      </c>
      <c r="D13" s="42">
        <f t="shared" ref="D13:E13" si="1">SUM(D31+D49)</f>
        <v>812</v>
      </c>
      <c r="E13" s="42">
        <f t="shared" si="1"/>
        <v>766</v>
      </c>
      <c r="F13" s="42">
        <f t="shared" ref="F13:G13" si="2">SUM(F31+F49)</f>
        <v>951</v>
      </c>
      <c r="G13" s="44">
        <f t="shared" si="2"/>
        <v>1048</v>
      </c>
      <c r="H13" s="153">
        <f>IF('AW Schüler'!$B115=0,"x",C13/'AW Schüler'!$B115)</f>
        <v>0.31573552024602769</v>
      </c>
      <c r="I13" s="153">
        <f>IF('AW Schüler'!$E115=0,"x",D13/'AW Schüler'!$E115)</f>
        <v>0.41834106130860382</v>
      </c>
      <c r="J13" s="153">
        <f>IF('AW Schüler'!$H115=0,"x",E13/'AW Schüler'!$H115)</f>
        <v>0.4074468085106383</v>
      </c>
      <c r="K13" s="153">
        <f>IF('AW Schüler'!$K115=0,"x",F13/'AW Schüler'!$K115)</f>
        <v>0.53367003367003363</v>
      </c>
      <c r="L13" s="154">
        <f>IF('AW Schüler'!$N115=0,"x",G13/'AW Schüler'!$N115)</f>
        <v>0.59276018099547512</v>
      </c>
    </row>
    <row r="14" spans="1:13" ht="9" customHeight="1">
      <c r="A14" s="21" t="s">
        <v>82</v>
      </c>
      <c r="B14" s="120"/>
      <c r="C14" s="42">
        <f t="shared" si="0"/>
        <v>41305</v>
      </c>
      <c r="D14" s="42">
        <f t="shared" ref="D14:E14" si="3">SUM(D32+D50)</f>
        <v>61083</v>
      </c>
      <c r="E14" s="42">
        <f t="shared" si="3"/>
        <v>61195</v>
      </c>
      <c r="F14" s="42">
        <f t="shared" ref="F14:G14" si="4">SUM(F32+F50)</f>
        <v>61743</v>
      </c>
      <c r="G14" s="44">
        <f t="shared" si="4"/>
        <v>60352</v>
      </c>
      <c r="H14" s="153">
        <f>IF('AW Schüler'!$B116=0,"x",C14/'AW Schüler'!$B116)</f>
        <v>0.72447118251657483</v>
      </c>
      <c r="I14" s="153">
        <f>IF('AW Schüler'!$E116=0,"x",D14/'AW Schüler'!$E116)</f>
        <v>0.95726375176304657</v>
      </c>
      <c r="J14" s="153">
        <f>IF('AW Schüler'!$H116=0,"x",E14/'AW Schüler'!$H116)</f>
        <v>0.9404342948471669</v>
      </c>
      <c r="K14" s="153">
        <f>IF('AW Schüler'!$K116=0,"x",F14/'AW Schüler'!$K116)</f>
        <v>0.96744018426536715</v>
      </c>
      <c r="L14" s="154">
        <f>IF('AW Schüler'!$N116=0,"x",G14/'AW Schüler'!$N116)</f>
        <v>0.91925730735838418</v>
      </c>
    </row>
    <row r="15" spans="1:13" ht="9" customHeight="1">
      <c r="A15" s="21" t="s">
        <v>83</v>
      </c>
      <c r="B15" s="120"/>
      <c r="C15" s="42">
        <f t="shared" si="0"/>
        <v>7281</v>
      </c>
      <c r="D15" s="42">
        <f t="shared" ref="D15:E15" si="5">SUM(D33+D51)</f>
        <v>7301</v>
      </c>
      <c r="E15" s="42">
        <f t="shared" si="5"/>
        <v>7324</v>
      </c>
      <c r="F15" s="42">
        <f t="shared" ref="F15:G15" si="6">SUM(F33+F51)</f>
        <v>7329</v>
      </c>
      <c r="G15" s="44">
        <f t="shared" si="6"/>
        <v>7722</v>
      </c>
      <c r="H15" s="153">
        <f>IF('AW Schüler'!$B117=0,"x",C15/'AW Schüler'!$B117)</f>
        <v>0.72999799478644478</v>
      </c>
      <c r="I15" s="153">
        <f>IF('AW Schüler'!$E117=0,"x",D15/'AW Schüler'!$E117)</f>
        <v>0.72937062937062935</v>
      </c>
      <c r="J15" s="153">
        <f>IF('AW Schüler'!$H117=0,"x",E15/'AW Schüler'!$H117)</f>
        <v>0.72292962195242327</v>
      </c>
      <c r="K15" s="153">
        <f>IF('AW Schüler'!$K117=0,"x",F15/'AW Schüler'!$K117)</f>
        <v>0.72356599861783</v>
      </c>
      <c r="L15" s="154">
        <f>IF('AW Schüler'!$N117=0,"x",G15/'AW Schüler'!$N117)</f>
        <v>0.71859296482412061</v>
      </c>
    </row>
    <row r="16" spans="1:13" ht="9" customHeight="1">
      <c r="A16" s="21" t="s">
        <v>84</v>
      </c>
      <c r="B16" s="120"/>
      <c r="C16" s="42">
        <f t="shared" si="0"/>
        <v>8193</v>
      </c>
      <c r="D16" s="42">
        <f t="shared" ref="D16:E16" si="7">SUM(D34+D52)</f>
        <v>8632</v>
      </c>
      <c r="E16" s="42">
        <f t="shared" si="7"/>
        <v>9335</v>
      </c>
      <c r="F16" s="42">
        <f t="shared" ref="F16:G16" si="8">SUM(F34+F52)</f>
        <v>9919</v>
      </c>
      <c r="G16" s="44">
        <f t="shared" si="8"/>
        <v>10432</v>
      </c>
      <c r="H16" s="153">
        <f>IF('AW Schüler'!$B118=0,"x",C16/'AW Schüler'!$B118)</f>
        <v>0.5029157203363821</v>
      </c>
      <c r="I16" s="153">
        <f>IF('AW Schüler'!$E118=0,"x",D16/'AW Schüler'!$E118)</f>
        <v>0.47221006564551421</v>
      </c>
      <c r="J16" s="153">
        <f>IF('AW Schüler'!$H118=0,"x",E16/'AW Schüler'!$H118)</f>
        <v>0.46212871287128715</v>
      </c>
      <c r="K16" s="153">
        <f>IF('AW Schüler'!$K118=0,"x",F16/'AW Schüler'!$K118)</f>
        <v>0.45510438173893097</v>
      </c>
      <c r="L16" s="154">
        <f>IF('AW Schüler'!$N118=0,"x",G16/'AW Schüler'!$N118)</f>
        <v>0.45222819490202876</v>
      </c>
    </row>
    <row r="17" spans="1:12" ht="9" customHeight="1">
      <c r="A17" s="21" t="s">
        <v>85</v>
      </c>
      <c r="B17" s="120"/>
      <c r="C17" s="42">
        <f t="shared" si="0"/>
        <v>24700</v>
      </c>
      <c r="D17" s="42">
        <f t="shared" ref="D17:E17" si="9">SUM(D35+D53)</f>
        <v>32920</v>
      </c>
      <c r="E17" s="42">
        <f t="shared" si="9"/>
        <v>33691</v>
      </c>
      <c r="F17" s="42">
        <f t="shared" ref="F17:G17" si="10">SUM(F35+F53)</f>
        <v>37751</v>
      </c>
      <c r="G17" s="44">
        <f t="shared" si="10"/>
        <v>39682</v>
      </c>
      <c r="H17" s="153">
        <f>IF('AW Schüler'!$B119=0,"x",C17/'AW Schüler'!$B119)</f>
        <v>0.58987891959018934</v>
      </c>
      <c r="I17" s="153">
        <f>IF('AW Schüler'!$E119=0,"x",D17/'AW Schüler'!$E119)</f>
        <v>0.72870550734903483</v>
      </c>
      <c r="J17" s="153">
        <f>IF('AW Schüler'!$H119=0,"x",E17/'AW Schüler'!$H119)</f>
        <v>0.7452112364521124</v>
      </c>
      <c r="K17" s="153">
        <f>IF('AW Schüler'!$K119=0,"x",F17/'AW Schüler'!$K119)</f>
        <v>0.83104389556641567</v>
      </c>
      <c r="L17" s="154">
        <f>IF('AW Schüler'!$N119=0,"x",G17/'AW Schüler'!$N119)</f>
        <v>0.86598433101281014</v>
      </c>
    </row>
    <row r="18" spans="1:12" ht="9" customHeight="1">
      <c r="A18" s="21" t="s">
        <v>86</v>
      </c>
      <c r="B18" s="120"/>
      <c r="C18" s="42">
        <f t="shared" si="0"/>
        <v>44986</v>
      </c>
      <c r="D18" s="42">
        <f t="shared" ref="D18:E18" si="11">SUM(D36+D54)</f>
        <v>46360</v>
      </c>
      <c r="E18" s="42">
        <f t="shared" si="11"/>
        <v>47166</v>
      </c>
      <c r="F18" s="42">
        <f t="shared" ref="F18:G18" si="12">SUM(F36+F54)</f>
        <v>47106</v>
      </c>
      <c r="G18" s="44">
        <f t="shared" si="12"/>
        <v>48972</v>
      </c>
      <c r="H18" s="153">
        <f>IF('AW Schüler'!$B120=0,"x",C18/'AW Schüler'!$B120)</f>
        <v>0.66817175872978152</v>
      </c>
      <c r="I18" s="153">
        <f>IF('AW Schüler'!$E120=0,"x",D18/'AW Schüler'!$E120)</f>
        <v>0.67809501521179494</v>
      </c>
      <c r="J18" s="153">
        <f>IF('AW Schüler'!$H120=0,"x",E18/'AW Schüler'!$H120)</f>
        <v>0.69393399932322086</v>
      </c>
      <c r="K18" s="153">
        <f>IF('AW Schüler'!$K120=0,"x",F18/'AW Schüler'!$K120)</f>
        <v>0.69099763829194227</v>
      </c>
      <c r="L18" s="154">
        <f>IF('AW Schüler'!$N120=0,"x",G18/'AW Schüler'!$N120)</f>
        <v>0.70933820014774263</v>
      </c>
    </row>
    <row r="19" spans="1:12" ht="9" customHeight="1">
      <c r="A19" s="21" t="s">
        <v>87</v>
      </c>
      <c r="B19" s="120"/>
      <c r="C19" s="42">
        <f t="shared" si="0"/>
        <v>3807</v>
      </c>
      <c r="D19" s="42">
        <f t="shared" ref="D19:E19" si="13">SUM(D37+D55)</f>
        <v>3581</v>
      </c>
      <c r="E19" s="42">
        <f t="shared" si="13"/>
        <v>3860</v>
      </c>
      <c r="F19" s="42">
        <f t="shared" ref="F19:G19" si="14">SUM(F37+F55)</f>
        <v>3606</v>
      </c>
      <c r="G19" s="44">
        <f t="shared" si="14"/>
        <v>3764</v>
      </c>
      <c r="H19" s="153">
        <f>IF('AW Schüler'!$B121=0,"x",C19/'AW Schüler'!$B121)</f>
        <v>0.97765793528505396</v>
      </c>
      <c r="I19" s="153">
        <f>IF('AW Schüler'!$E121=0,"x",D19/'AW Schüler'!$E121)</f>
        <v>0.93768002094789216</v>
      </c>
      <c r="J19" s="153">
        <f>IF('AW Schüler'!$H121=0,"x",E19/'AW Schüler'!$H121)</f>
        <v>0.98923628908252181</v>
      </c>
      <c r="K19" s="153">
        <f>IF('AW Schüler'!$K121=0,"x",F19/'AW Schüler'!$K121)</f>
        <v>0.91685736079328761</v>
      </c>
      <c r="L19" s="154">
        <f>IF('AW Schüler'!$N121=0,"x",G19/'AW Schüler'!$N121)</f>
        <v>0.9171539961013645</v>
      </c>
    </row>
    <row r="20" spans="1:12" ht="9" customHeight="1">
      <c r="A20" s="21" t="s">
        <v>88</v>
      </c>
      <c r="B20" s="120"/>
      <c r="C20" s="42">
        <f t="shared" si="0"/>
        <v>38839</v>
      </c>
      <c r="D20" s="42">
        <f t="shared" ref="D20:E20" si="15">SUM(D38+D56)</f>
        <v>43502</v>
      </c>
      <c r="E20" s="42">
        <f t="shared" si="15"/>
        <v>51246</v>
      </c>
      <c r="F20" s="42">
        <f t="shared" ref="F20:G20" si="16">SUM(F38+F56)</f>
        <v>55784</v>
      </c>
      <c r="G20" s="44">
        <f t="shared" si="16"/>
        <v>59469</v>
      </c>
      <c r="H20" s="153">
        <f>IF('AW Schüler'!$B122=0,"x",C20/'AW Schüler'!$B122)</f>
        <v>0.96071932124570214</v>
      </c>
      <c r="I20" s="153">
        <f>IF('AW Schüler'!$E122=0,"x",D20/'AW Schüler'!$E122)</f>
        <v>0.94876883819327817</v>
      </c>
      <c r="J20" s="153">
        <f>IF('AW Schüler'!$H122=0,"x",E20/'AW Schüler'!$H122)</f>
        <v>0.97977210156011008</v>
      </c>
      <c r="K20" s="153">
        <f>IF('AW Schüler'!$K122=0,"x",F20/'AW Schüler'!$K122)</f>
        <v>0.97089947089947093</v>
      </c>
      <c r="L20" s="154">
        <f>IF('AW Schüler'!$N122=0,"x",G20/'AW Schüler'!$N122)</f>
        <v>0.96862936721231374</v>
      </c>
    </row>
    <row r="21" spans="1:12" ht="9" customHeight="1">
      <c r="A21" s="21" t="s">
        <v>89</v>
      </c>
      <c r="B21" s="120"/>
      <c r="C21" s="42">
        <f t="shared" si="0"/>
        <v>187670</v>
      </c>
      <c r="D21" s="42">
        <f t="shared" ref="D21:E21" si="17">SUM(D39+D57)</f>
        <v>195038</v>
      </c>
      <c r="E21" s="42">
        <f t="shared" si="17"/>
        <v>205618</v>
      </c>
      <c r="F21" s="42">
        <f t="shared" ref="F21:G21" si="18">SUM(F39+F57)</f>
        <v>217779</v>
      </c>
      <c r="G21" s="44">
        <f t="shared" si="18"/>
        <v>232598</v>
      </c>
      <c r="H21" s="153">
        <f>IF('AW Schüler'!$B123=0,"x",C21/'AW Schüler'!$B123)</f>
        <v>0.99782007656316463</v>
      </c>
      <c r="I21" s="153">
        <f>IF('AW Schüler'!$E123=0,"x",D21/'AW Schüler'!$E123)</f>
        <v>0.99835687119610561</v>
      </c>
      <c r="J21" s="153">
        <f>IF('AW Schüler'!$H123=0,"x",E21/'AW Schüler'!$H123)</f>
        <v>0.99923217479200688</v>
      </c>
      <c r="K21" s="153">
        <f>IF('AW Schüler'!$K123=0,"x",F21/'AW Schüler'!$K123)</f>
        <v>0.99835425281243984</v>
      </c>
      <c r="L21" s="154">
        <f>IF('AW Schüler'!$N123=0,"x",G21/'AW Schüler'!$N123)</f>
        <v>0.99649552729889979</v>
      </c>
    </row>
    <row r="22" spans="1:12" ht="9" customHeight="1">
      <c r="A22" s="21" t="s">
        <v>90</v>
      </c>
      <c r="B22" s="120"/>
      <c r="C22" s="42">
        <f t="shared" si="0"/>
        <v>9221</v>
      </c>
      <c r="D22" s="42">
        <f t="shared" ref="D22:E22" si="19">SUM(D40+D58)</f>
        <v>9918</v>
      </c>
      <c r="E22" s="42">
        <f t="shared" si="19"/>
        <v>10036</v>
      </c>
      <c r="F22" s="42">
        <f t="shared" ref="F22:G22" si="20">SUM(F40+F58)</f>
        <v>10068</v>
      </c>
      <c r="G22" s="44">
        <f t="shared" si="20"/>
        <v>10293</v>
      </c>
      <c r="H22" s="153">
        <f>IF('AW Schüler'!$B124=0,"x",C22/'AW Schüler'!$B124)</f>
        <v>0.28262735241831666</v>
      </c>
      <c r="I22" s="153">
        <f>IF('AW Schüler'!$E124=0,"x",D22/'AW Schüler'!$E124)</f>
        <v>0.29391020891983999</v>
      </c>
      <c r="J22" s="153">
        <f>IF('AW Schüler'!$H124=0,"x",E22/'AW Schüler'!$H124)</f>
        <v>0.2914645833938373</v>
      </c>
      <c r="K22" s="153">
        <f>IF('AW Schüler'!$K124=0,"x",F22/'AW Schüler'!$K124)</f>
        <v>0.28519630615829134</v>
      </c>
      <c r="L22" s="154">
        <f>IF('AW Schüler'!$N124=0,"x",G22/'AW Schüler'!$N124)</f>
        <v>0.28700889496138082</v>
      </c>
    </row>
    <row r="23" spans="1:12" ht="9" customHeight="1">
      <c r="A23" s="21" t="s">
        <v>91</v>
      </c>
      <c r="B23" s="120"/>
      <c r="C23" s="42">
        <f t="shared" si="0"/>
        <v>1832</v>
      </c>
      <c r="D23" s="42">
        <f t="shared" ref="D23:E23" si="21">SUM(D41+D59)</f>
        <v>3582</v>
      </c>
      <c r="E23" s="42">
        <f t="shared" si="21"/>
        <v>5322</v>
      </c>
      <c r="F23" s="42">
        <f t="shared" ref="F23:G23" si="22">SUM(F41+F59)</f>
        <v>6208</v>
      </c>
      <c r="G23" s="44">
        <f t="shared" si="22"/>
        <v>6582</v>
      </c>
      <c r="H23" s="153">
        <f>IF('AW Schüler'!$B125=0,"x",C23/'AW Schüler'!$B125)</f>
        <v>0.13426163429827775</v>
      </c>
      <c r="I23" s="153">
        <f>IF('AW Schüler'!$E125=0,"x",D23/'AW Schüler'!$E125)</f>
        <v>0.22745745491490982</v>
      </c>
      <c r="J23" s="153">
        <f>IF('AW Schüler'!$H125=0,"x",E23/'AW Schüler'!$H125)</f>
        <v>0.29409814323607425</v>
      </c>
      <c r="K23" s="153">
        <f>IF('AW Schüler'!$K125=0,"x",F23/'AW Schüler'!$K125)</f>
        <v>0.29082732127799121</v>
      </c>
      <c r="L23" s="154">
        <f>IF('AW Schüler'!$N125=0,"x",G23/'AW Schüler'!$N125)</f>
        <v>0.24961128597974894</v>
      </c>
    </row>
    <row r="24" spans="1:12" ht="9" customHeight="1">
      <c r="A24" s="21" t="s">
        <v>92</v>
      </c>
      <c r="B24" s="120"/>
      <c r="C24" s="149">
        <f t="shared" si="0"/>
        <v>0</v>
      </c>
      <c r="D24" s="149">
        <f t="shared" ref="D24:E24" si="23">SUM(D42+D60)</f>
        <v>0</v>
      </c>
      <c r="E24" s="149">
        <f t="shared" si="23"/>
        <v>0</v>
      </c>
      <c r="F24" s="149">
        <f t="shared" ref="F24:G24" si="24">SUM(F42+F60)</f>
        <v>0</v>
      </c>
      <c r="G24" s="150">
        <f t="shared" si="24"/>
        <v>0</v>
      </c>
      <c r="H24" s="153" t="str">
        <f>IF('AW Schüler'!$B126=0,"x",C24/'AW Schüler'!$B126)</f>
        <v>x</v>
      </c>
      <c r="I24" s="153" t="str">
        <f>IF('AW Schüler'!$E126=0,"x",D24/'AW Schüler'!$E126)</f>
        <v>x</v>
      </c>
      <c r="J24" s="153" t="str">
        <f>IF('AW Schüler'!$H126=0,"x",E24/'AW Schüler'!$H126)</f>
        <v>x</v>
      </c>
      <c r="K24" s="153" t="str">
        <f>IF('AW Schüler'!$K126=0,"x",F24/'AW Schüler'!$K126)</f>
        <v>x</v>
      </c>
      <c r="L24" s="154" t="str">
        <f>IF('AW Schüler'!$N126=0,"x",G24/'AW Schüler'!$N126)</f>
        <v>x</v>
      </c>
    </row>
    <row r="25" spans="1:12" ht="9" customHeight="1">
      <c r="A25" s="21" t="s">
        <v>93</v>
      </c>
      <c r="B25" s="120"/>
      <c r="C25" s="42">
        <f t="shared" si="0"/>
        <v>2060</v>
      </c>
      <c r="D25" s="42">
        <f t="shared" ref="D25:E25" si="25">SUM(D43+D61)</f>
        <v>2093</v>
      </c>
      <c r="E25" s="42">
        <f t="shared" si="25"/>
        <v>2786</v>
      </c>
      <c r="F25" s="42">
        <f t="shared" ref="F25:G25" si="26">SUM(F43+F61)</f>
        <v>4107</v>
      </c>
      <c r="G25" s="44">
        <f t="shared" si="26"/>
        <v>4283</v>
      </c>
      <c r="H25" s="153">
        <f>IF('AW Schüler'!$B127=0,"x",C25/'AW Schüler'!$B127)</f>
        <v>0.99324975891996148</v>
      </c>
      <c r="I25" s="153">
        <f>IF('AW Schüler'!$E127=0,"x",D25/'AW Schüler'!$E127)</f>
        <v>0.86238154099711584</v>
      </c>
      <c r="J25" s="153">
        <f>IF('AW Schüler'!$H127=0,"x",E25/'AW Schüler'!$H127)</f>
        <v>0.86845386533665836</v>
      </c>
      <c r="K25" s="153">
        <f>IF('AW Schüler'!$K127=0,"x",F25/'AW Schüler'!$K127)</f>
        <v>0.86064543168482821</v>
      </c>
      <c r="L25" s="154">
        <f>IF('AW Schüler'!$N127=0,"x",G25/'AW Schüler'!$N127)</f>
        <v>0.6379207625856419</v>
      </c>
    </row>
    <row r="26" spans="1:12" ht="10.5" customHeight="1">
      <c r="A26" s="21" t="s">
        <v>143</v>
      </c>
      <c r="B26" s="120"/>
      <c r="C26" s="42">
        <f t="shared" ref="C26:C28" si="27">SUM(C44+C62)</f>
        <v>24116</v>
      </c>
      <c r="D26" s="42">
        <f t="shared" ref="D26:E26" si="28">SUM(D44+D62)</f>
        <v>27288</v>
      </c>
      <c r="E26" s="42">
        <f t="shared" si="28"/>
        <v>29134</v>
      </c>
      <c r="F26" s="42">
        <f t="shared" ref="F26:G26" si="29">SUM(F44+F62)</f>
        <v>30493</v>
      </c>
      <c r="G26" s="44">
        <f t="shared" si="29"/>
        <v>31068</v>
      </c>
      <c r="H26" s="153">
        <f>IF('AW Schüler'!$B128=0,"x",C26/'AW Schüler'!$B128)</f>
        <v>0.38787293928427824</v>
      </c>
      <c r="I26" s="153">
        <f>IF('AW Schüler'!$E128=0,"x",D26/'AW Schüler'!$E128)</f>
        <v>0.3840081057119939</v>
      </c>
      <c r="J26" s="153">
        <f>IF('AW Schüler'!$H128=0,"x",E26/'AW Schüler'!$H128)</f>
        <v>0.37704642223919038</v>
      </c>
      <c r="K26" s="153">
        <f>IF('AW Schüler'!$K128=0,"x",F26/'AW Schüler'!$K128)</f>
        <v>0.37949745491655362</v>
      </c>
      <c r="L26" s="154">
        <f>IF('AW Schüler'!$N128=0,"x",G26/'AW Schüler'!$N128)</f>
        <v>0.37428168708663123</v>
      </c>
    </row>
    <row r="27" spans="1:12" ht="9" customHeight="1">
      <c r="A27" s="21" t="s">
        <v>95</v>
      </c>
      <c r="B27" s="120"/>
      <c r="C27" s="42">
        <f t="shared" si="27"/>
        <v>3786</v>
      </c>
      <c r="D27" s="42">
        <f t="shared" ref="D27:E27" si="30">SUM(D45+D63)</f>
        <v>4504</v>
      </c>
      <c r="E27" s="42">
        <f t="shared" si="30"/>
        <v>5401</v>
      </c>
      <c r="F27" s="42">
        <f t="shared" ref="F27:G27" si="31">SUM(F45+F63)</f>
        <v>6126</v>
      </c>
      <c r="G27" s="44">
        <f t="shared" si="31"/>
        <v>7430</v>
      </c>
      <c r="H27" s="153">
        <f>IF('AW Schüler'!$B129=0,"x",C27/'AW Schüler'!$B129)</f>
        <v>0.71854241791611306</v>
      </c>
      <c r="I27" s="153">
        <f>IF('AW Schüler'!$E129=0,"x",D27/'AW Schüler'!$E129)</f>
        <v>0.6276477146042363</v>
      </c>
      <c r="J27" s="153">
        <f>IF('AW Schüler'!$H129=0,"x",E27/'AW Schüler'!$H129)</f>
        <v>0.5993785373432472</v>
      </c>
      <c r="K27" s="153">
        <f>IF('AW Schüler'!$K129=0,"x",F27/'AW Schüler'!$K129)</f>
        <v>0.54936776970675272</v>
      </c>
      <c r="L27" s="154">
        <f>IF('AW Schüler'!$N129=0,"x",G27/'AW Schüler'!$N129)</f>
        <v>0.51918104954231015</v>
      </c>
    </row>
    <row r="28" spans="1:12" ht="9" customHeight="1">
      <c r="A28" s="21" t="s">
        <v>96</v>
      </c>
      <c r="B28" s="120"/>
      <c r="C28" s="42">
        <f t="shared" si="27"/>
        <v>406066</v>
      </c>
      <c r="D28" s="42">
        <f t="shared" ref="D28:E28" si="32">SUM(D46+D64)</f>
        <v>463664</v>
      </c>
      <c r="E28" s="42">
        <f t="shared" si="32"/>
        <v>505723</v>
      </c>
      <c r="F28" s="42">
        <f t="shared" ref="F28:G28" si="33">SUM(F46+F64)</f>
        <v>549926</v>
      </c>
      <c r="G28" s="44">
        <f t="shared" si="33"/>
        <v>591377</v>
      </c>
      <c r="H28" s="153">
        <f>IF('AW Schüler'!$B130=0,"x",C28/'AW Schüler'!$B130)</f>
        <v>0.73187462826451344</v>
      </c>
      <c r="I28" s="153">
        <f>IF('AW Schüler'!$E130=0,"x",D28/'AW Schüler'!$E130)</f>
        <v>0.75380263371809464</v>
      </c>
      <c r="J28" s="153">
        <f>IF('AW Schüler'!$H130=0,"x",E28/'AW Schüler'!$H130)</f>
        <v>0.75104178732984639</v>
      </c>
      <c r="K28" s="153">
        <f>IF('AW Schüler'!$K130=0,"x",F28/'AW Schüler'!$K130)</f>
        <v>0.75704629616883024</v>
      </c>
      <c r="L28" s="154">
        <f>IF('AW Schüler'!$N130=0,"x",G28/'AW Schüler'!$N130)</f>
        <v>0.7546616268860894</v>
      </c>
    </row>
    <row r="29" spans="1:12" ht="12.75" customHeight="1">
      <c r="A29" s="391" t="s">
        <v>105</v>
      </c>
      <c r="B29" s="392"/>
      <c r="C29" s="392"/>
      <c r="D29" s="392"/>
      <c r="E29" s="392"/>
      <c r="F29" s="392"/>
      <c r="G29" s="392"/>
      <c r="H29" s="392"/>
      <c r="I29" s="392"/>
      <c r="J29" s="392"/>
      <c r="K29" s="392"/>
      <c r="L29" s="393"/>
    </row>
    <row r="30" spans="1:12" ht="10.5" customHeight="1">
      <c r="A30" s="21" t="s">
        <v>172</v>
      </c>
      <c r="B30" s="120"/>
      <c r="C30" s="23">
        <f>[1]GtS!$E$30</f>
        <v>6905</v>
      </c>
      <c r="D30" s="23">
        <f>[2]GtS!$E$32</f>
        <v>13615</v>
      </c>
      <c r="E30" s="23">
        <f>[3]GtS!$E$32</f>
        <v>27163</v>
      </c>
      <c r="F30" s="23">
        <f>[4]GtS!$E$32</f>
        <v>42732</v>
      </c>
      <c r="G30" s="34">
        <f>[5]GtS!$E$32</f>
        <v>58797</v>
      </c>
      <c r="H30" s="155">
        <f>IF('AW Schüler'!$B114=0,"x",C30/'AW Schüler'!$B114)</f>
        <v>0.56552006552006551</v>
      </c>
      <c r="I30" s="155">
        <f>IF('AW Schüler'!$E114=0,"x",D30/'AW Schüler'!$E114)</f>
        <v>0.42113891552476107</v>
      </c>
      <c r="J30" s="155">
        <f>IF('AW Schüler'!$H114=0,"x",E30/'AW Schüler'!$H114)</f>
        <v>0.46115581813860312</v>
      </c>
      <c r="K30" s="155">
        <f>IF('AW Schüler'!$K114=0,"x",F30/'AW Schüler'!$K114)</f>
        <v>0.51585644096237193</v>
      </c>
      <c r="L30" s="156">
        <f>IF('AW Schüler'!$N114=0,"x",G30/'AW Schüler'!$N114)</f>
        <v>0.57443628121458434</v>
      </c>
    </row>
    <row r="31" spans="1:12" ht="9" customHeight="1">
      <c r="A31" s="21" t="s">
        <v>81</v>
      </c>
      <c r="B31" s="120"/>
      <c r="C31" s="23">
        <f>[6]GtS!$E$30</f>
        <v>502</v>
      </c>
      <c r="D31" s="23">
        <f>[7]GtS!$E$32</f>
        <v>690</v>
      </c>
      <c r="E31" s="23">
        <f>[8]GtS!$E$32</f>
        <v>692</v>
      </c>
      <c r="F31" s="23">
        <f>[9]GtS!$E$32</f>
        <v>856</v>
      </c>
      <c r="G31" s="34">
        <f>[10]GtS!$E$32</f>
        <v>948</v>
      </c>
      <c r="H31" s="155">
        <f>IF('AW Schüler'!$B115=0,"x",C31/'AW Schüler'!$B115)</f>
        <v>0.25730394669400308</v>
      </c>
      <c r="I31" s="155">
        <f>IF('AW Schüler'!$E115=0,"x",D31/'AW Schüler'!$E115)</f>
        <v>0.3554868624420402</v>
      </c>
      <c r="J31" s="155">
        <f>IF('AW Schüler'!$H115=0,"x",E31/'AW Schüler'!$H115)</f>
        <v>0.3680851063829787</v>
      </c>
      <c r="K31" s="155">
        <f>IF('AW Schüler'!$K115=0,"x",F31/'AW Schüler'!$K115)</f>
        <v>0.48035914702581367</v>
      </c>
      <c r="L31" s="156">
        <f>IF('AW Schüler'!$N115=0,"x",G31/'AW Schüler'!$N115)</f>
        <v>0.53619909502262442</v>
      </c>
    </row>
    <row r="32" spans="1:12" ht="9" customHeight="1">
      <c r="A32" s="21" t="s">
        <v>82</v>
      </c>
      <c r="B32" s="120"/>
      <c r="C32" s="23">
        <f>[11]GtS!$E$30</f>
        <v>35124</v>
      </c>
      <c r="D32" s="23">
        <f>[12]GtS!$E$32</f>
        <v>50014</v>
      </c>
      <c r="E32" s="23">
        <f>[13]GtS!$E$32</f>
        <v>53177</v>
      </c>
      <c r="F32" s="23">
        <f>[14]GtS!$E$32</f>
        <v>49087</v>
      </c>
      <c r="G32" s="34">
        <f>[15]GtS!$E$32</f>
        <v>47236</v>
      </c>
      <c r="H32" s="155">
        <f>IF('AW Schüler'!$B116=0,"x",C32/'AW Schüler'!$B116)</f>
        <v>0.61605921352650228</v>
      </c>
      <c r="I32" s="155">
        <f>IF('AW Schüler'!$E116=0,"x",D32/'AW Schüler'!$E116)</f>
        <v>0.78379564331609464</v>
      </c>
      <c r="J32" s="155">
        <f>IF('AW Schüler'!$H116=0,"x",E32/'AW Schüler'!$H116)</f>
        <v>0.81721504203101225</v>
      </c>
      <c r="K32" s="155">
        <f>IF('AW Schüler'!$K116=0,"x",F32/'AW Schüler'!$K116)</f>
        <v>0.76913555099418685</v>
      </c>
      <c r="L32" s="156">
        <f>IF('AW Schüler'!$N116=0,"x",G32/'AW Schüler'!$N116)</f>
        <v>0.71947968866616907</v>
      </c>
    </row>
    <row r="33" spans="1:12" ht="9" customHeight="1">
      <c r="A33" s="21" t="s">
        <v>83</v>
      </c>
      <c r="B33" s="120"/>
      <c r="C33" s="23">
        <f>[16]GtS!$E$30</f>
        <v>5700</v>
      </c>
      <c r="D33" s="23">
        <f>[17]GtS!$E$32</f>
        <v>5927</v>
      </c>
      <c r="E33" s="23">
        <f>[18]GtS!$E$32</f>
        <v>5914</v>
      </c>
      <c r="F33" s="23">
        <f>[19]GtS!$E$32</f>
        <v>5814</v>
      </c>
      <c r="G33" s="34">
        <f>[20]GtS!$E$32</f>
        <v>6068</v>
      </c>
      <c r="H33" s="155">
        <f>IF('AW Schüler'!$B117=0,"x",C33/'AW Schüler'!$B117)</f>
        <v>0.57148586324443551</v>
      </c>
      <c r="I33" s="155">
        <f>IF('AW Schüler'!$E117=0,"x",D33/'AW Schüler'!$E117)</f>
        <v>0.59210789210789205</v>
      </c>
      <c r="J33" s="155">
        <f>IF('AW Schüler'!$H117=0,"x",E33/'AW Schüler'!$H117)</f>
        <v>0.58375283782449905</v>
      </c>
      <c r="K33" s="155">
        <f>IF('AW Schüler'!$K117=0,"x",F33/'AW Schüler'!$K117)</f>
        <v>0.57399545858426304</v>
      </c>
      <c r="L33" s="156">
        <f>IF('AW Schüler'!$N117=0,"x",G33/'AW Schüler'!$N117)</f>
        <v>0.56467522799181091</v>
      </c>
    </row>
    <row r="34" spans="1:12" ht="9" customHeight="1">
      <c r="A34" s="21" t="s">
        <v>84</v>
      </c>
      <c r="B34" s="120"/>
      <c r="C34" s="23">
        <f>[21]GtS!$E$30</f>
        <v>7768</v>
      </c>
      <c r="D34" s="23">
        <f>[22]GtS!$E$32</f>
        <v>8147</v>
      </c>
      <c r="E34" s="23">
        <f>[23]GtS!$E$32</f>
        <v>8911</v>
      </c>
      <c r="F34" s="23">
        <f>[24]GtS!$E$32</f>
        <v>9454</v>
      </c>
      <c r="G34" s="34">
        <f>[25]GtS!$E$32</f>
        <v>9934</v>
      </c>
      <c r="H34" s="155">
        <f>IF('AW Schüler'!$B118=0,"x",C34/'AW Schüler'!$B118)</f>
        <v>0.47682769627401633</v>
      </c>
      <c r="I34" s="155">
        <f>IF('AW Schüler'!$E118=0,"x",D34/'AW Schüler'!$E118)</f>
        <v>0.44567833698030634</v>
      </c>
      <c r="J34" s="155">
        <f>IF('AW Schüler'!$H118=0,"x",E34/'AW Schüler'!$H118)</f>
        <v>0.44113861386138614</v>
      </c>
      <c r="K34" s="155">
        <f>IF('AW Schüler'!$K118=0,"x",F34/'AW Schüler'!$K118)</f>
        <v>0.43376921312227573</v>
      </c>
      <c r="L34" s="156">
        <f>IF('AW Schüler'!$N118=0,"x",G34/'AW Schüler'!$N118)</f>
        <v>0.43063984740766431</v>
      </c>
    </row>
    <row r="35" spans="1:12" ht="9" customHeight="1">
      <c r="A35" s="21" t="s">
        <v>85</v>
      </c>
      <c r="B35" s="120"/>
      <c r="C35" s="23">
        <f>[26]GtS!$E$30</f>
        <v>20482</v>
      </c>
      <c r="D35" s="23">
        <f>[27]GtS!$E$32</f>
        <v>27896</v>
      </c>
      <c r="E35" s="23">
        <f>[28]GtS!$E$32</f>
        <v>26448</v>
      </c>
      <c r="F35" s="23">
        <f>[29]GtS!$E$32</f>
        <v>26484</v>
      </c>
      <c r="G35" s="34">
        <f>[30]GtS!$E$32</f>
        <v>30413</v>
      </c>
      <c r="H35" s="155">
        <f>IF('AW Schüler'!$B119=0,"x",C35/'AW Schüler'!$B119)</f>
        <v>0.48914575024478779</v>
      </c>
      <c r="I35" s="155">
        <f>IF('AW Schüler'!$E119=0,"x",D35/'AW Schüler'!$E119)</f>
        <v>0.61749601558349565</v>
      </c>
      <c r="J35" s="155">
        <f>IF('AW Schüler'!$H119=0,"x",E35/'AW Schüler'!$H119)</f>
        <v>0.58500331785003323</v>
      </c>
      <c r="K35" s="155">
        <f>IF('AW Schüler'!$K119=0,"x",F35/'AW Schüler'!$K119)</f>
        <v>0.58301413287544579</v>
      </c>
      <c r="L35" s="156">
        <f>IF('AW Schüler'!$N119=0,"x",G35/'AW Schüler'!$N119)</f>
        <v>0.66370599917072215</v>
      </c>
    </row>
    <row r="36" spans="1:12" ht="9" customHeight="1">
      <c r="A36" s="21" t="s">
        <v>86</v>
      </c>
      <c r="B36" s="120"/>
      <c r="C36" s="23">
        <f>[66]GtS!$E$30</f>
        <v>6550</v>
      </c>
      <c r="D36" s="23">
        <f>[67]GtS!$E$32</f>
        <v>8196</v>
      </c>
      <c r="E36" s="23">
        <f>[68]GtS!$E$32</f>
        <v>8129</v>
      </c>
      <c r="F36" s="23">
        <f>[69]GtS!$E$32</f>
        <v>8455</v>
      </c>
      <c r="G36" s="34">
        <f>[70]GtS!$E$32</f>
        <v>9118</v>
      </c>
      <c r="H36" s="155">
        <f>IF('AW Schüler'!$B120=0,"x",C36/'AW Schüler'!$B120)</f>
        <v>9.7286378421732739E-2</v>
      </c>
      <c r="I36" s="155">
        <f>IF('AW Schüler'!$E120=0,"x",D36/'AW Schüler'!$E120)</f>
        <v>0.11988064591621811</v>
      </c>
      <c r="J36" s="155">
        <f>IF('AW Schüler'!$H120=0,"x",E36/'AW Schüler'!$H120)</f>
        <v>0.11959864055672439</v>
      </c>
      <c r="K36" s="155">
        <f>IF('AW Schüler'!$K120=0,"x",F36/'AW Schüler'!$K120)</f>
        <v>0.12402634551348814</v>
      </c>
      <c r="L36" s="156">
        <f>IF('AW Schüler'!$N120=0,"x",G36/'AW Schüler'!$N120)</f>
        <v>0.13207027911760019</v>
      </c>
    </row>
    <row r="37" spans="1:12" ht="9" customHeight="1">
      <c r="A37" s="21" t="s">
        <v>87</v>
      </c>
      <c r="B37" s="120"/>
      <c r="C37" s="23">
        <f>[31]GtS!$E$30</f>
        <v>3537</v>
      </c>
      <c r="D37" s="23">
        <f>[32]GtS!$E$32</f>
        <v>3302</v>
      </c>
      <c r="E37" s="23">
        <f>[33]GtS!$E$32</f>
        <v>3590</v>
      </c>
      <c r="F37" s="23">
        <f>[34]GtS!$E$32</f>
        <v>3294</v>
      </c>
      <c r="G37" s="34">
        <f>[35]GtS!$E$32</f>
        <v>3764</v>
      </c>
      <c r="H37" s="155">
        <f>IF('AW Schüler'!$B121=0,"x",C37/'AW Schüler'!$B121)</f>
        <v>0.90832049306625573</v>
      </c>
      <c r="I37" s="155">
        <f>IF('AW Schüler'!$E121=0,"x",D37/'AW Schüler'!$E121)</f>
        <v>0.86462424718512698</v>
      </c>
      <c r="J37" s="155">
        <f>IF('AW Schüler'!$H121=0,"x",E37/'AW Schüler'!$H121)</f>
        <v>0.92004100461301896</v>
      </c>
      <c r="K37" s="155">
        <f>IF('AW Schüler'!$K121=0,"x",F37/'AW Schüler'!$K121)</f>
        <v>0.8375286041189931</v>
      </c>
      <c r="L37" s="156">
        <f>IF('AW Schüler'!$N121=0,"x",G37/'AW Schüler'!$N121)</f>
        <v>0.9171539961013645</v>
      </c>
    </row>
    <row r="38" spans="1:12" ht="9" customHeight="1">
      <c r="A38" s="21" t="s">
        <v>88</v>
      </c>
      <c r="B38" s="120"/>
      <c r="C38" s="23">
        <f>[71]GtS!$E$30</f>
        <v>26125</v>
      </c>
      <c r="D38" s="23">
        <f>[72]GtS!$E$32</f>
        <v>26144</v>
      </c>
      <c r="E38" s="23">
        <f>[73]GtS!$E$32</f>
        <v>38023</v>
      </c>
      <c r="F38" s="23">
        <f>[74]GtS!$E$32</f>
        <v>53581</v>
      </c>
      <c r="G38" s="34">
        <f>[75]GtS!$E$32</f>
        <v>57963</v>
      </c>
      <c r="H38" s="155">
        <f>IF('AW Schüler'!$B122=0,"x",C38/'AW Schüler'!$B122)</f>
        <v>0.64622653177331979</v>
      </c>
      <c r="I38" s="155">
        <f>IF('AW Schüler'!$E122=0,"x",D38/'AW Schüler'!$E122)</f>
        <v>0.57019476129201108</v>
      </c>
      <c r="J38" s="155">
        <f>IF('AW Schüler'!$H122=0,"x",E38/'AW Schüler'!$H122)</f>
        <v>0.72696160905475682</v>
      </c>
      <c r="K38" s="155">
        <f>IF('AW Schüler'!$K122=0,"x",F38/'AW Schüler'!$K122)</f>
        <v>0.93255708716235031</v>
      </c>
      <c r="L38" s="156">
        <f>IF('AW Schüler'!$N122=0,"x",G38/'AW Schüler'!$N122)</f>
        <v>0.94409968238455899</v>
      </c>
    </row>
    <row r="39" spans="1:12" ht="9" customHeight="1">
      <c r="A39" s="21" t="s">
        <v>89</v>
      </c>
      <c r="B39" s="120"/>
      <c r="C39" s="23">
        <f>[36]GtS!$E$30</f>
        <v>187670</v>
      </c>
      <c r="D39" s="23">
        <f>[37]GtS!$E$32</f>
        <v>194970</v>
      </c>
      <c r="E39" s="23">
        <f>[38]GtS!$E$32</f>
        <v>205329</v>
      </c>
      <c r="F39" s="23">
        <f>[39]GtS!$E$32</f>
        <v>217366</v>
      </c>
      <c r="G39" s="34">
        <f>[40]GtS!$E$32</f>
        <v>232064</v>
      </c>
      <c r="H39" s="155">
        <f>IF('AW Schüler'!$B123=0,"x",C39/'AW Schüler'!$B123)</f>
        <v>0.99782007656316463</v>
      </c>
      <c r="I39" s="155">
        <f>IF('AW Schüler'!$E123=0,"x",D39/'AW Schüler'!$E123)</f>
        <v>0.99800879406630871</v>
      </c>
      <c r="J39" s="155">
        <f>IF('AW Schüler'!$H123=0,"x",E39/'AW Schüler'!$H123)</f>
        <v>0.99782773501282951</v>
      </c>
      <c r="K39" s="155">
        <f>IF('AW Schüler'!$K123=0,"x",F39/'AW Schüler'!$K123)</f>
        <v>0.99646095590864503</v>
      </c>
      <c r="L39" s="156">
        <f>IF('AW Schüler'!$N123=0,"x",G39/'AW Schüler'!$N123)</f>
        <v>0.99420776639133568</v>
      </c>
    </row>
    <row r="40" spans="1:12" ht="9" customHeight="1">
      <c r="A40" s="21" t="s">
        <v>90</v>
      </c>
      <c r="B40" s="120"/>
      <c r="C40" s="23">
        <f>[41]GtS!$E$30</f>
        <v>9221</v>
      </c>
      <c r="D40" s="23">
        <f>[42]GtS!$E$32</f>
        <v>9918</v>
      </c>
      <c r="E40" s="23">
        <f>[43]GtS!$E$32</f>
        <v>10036</v>
      </c>
      <c r="F40" s="23">
        <f>[44]GtS!$E$32</f>
        <v>10068</v>
      </c>
      <c r="G40" s="34">
        <f>[45]GtS!$E$32</f>
        <v>10293</v>
      </c>
      <c r="H40" s="155">
        <f>IF('AW Schüler'!$B124=0,"x",C40/'AW Schüler'!$B124)</f>
        <v>0.28262735241831666</v>
      </c>
      <c r="I40" s="155">
        <f>IF('AW Schüler'!$E124=0,"x",D40/'AW Schüler'!$E124)</f>
        <v>0.29391020891983999</v>
      </c>
      <c r="J40" s="155">
        <f>IF('AW Schüler'!$H124=0,"x",E40/'AW Schüler'!$H124)</f>
        <v>0.2914645833938373</v>
      </c>
      <c r="K40" s="155">
        <f>IF('AW Schüler'!$K124=0,"x",F40/'AW Schüler'!$K124)</f>
        <v>0.28519630615829134</v>
      </c>
      <c r="L40" s="156">
        <f>IF('AW Schüler'!$N124=0,"x",G40/'AW Schüler'!$N124)</f>
        <v>0.28700889496138082</v>
      </c>
    </row>
    <row r="41" spans="1:12" ht="9" customHeight="1">
      <c r="A41" s="21" t="s">
        <v>91</v>
      </c>
      <c r="B41" s="120"/>
      <c r="C41" s="23">
        <f>[46]GtS!$E$30</f>
        <v>1097</v>
      </c>
      <c r="D41" s="23">
        <f>[47]GtS!$E$32</f>
        <v>1823</v>
      </c>
      <c r="E41" s="23">
        <f>[48]GtS!$E$32</f>
        <v>2748</v>
      </c>
      <c r="F41" s="23">
        <f>[49]GtS!$E$32</f>
        <v>3442</v>
      </c>
      <c r="G41" s="34">
        <f>[50]GtS!$E$32</f>
        <v>3866</v>
      </c>
      <c r="H41" s="155">
        <f>IF('AW Schüler'!$B125=0,"x",C41/'AW Schüler'!$B125)</f>
        <v>8.0395749358739471E-2</v>
      </c>
      <c r="I41" s="155">
        <f>IF('AW Schüler'!$E125=0,"x",D41/'AW Schüler'!$E125)</f>
        <v>0.11576073152146305</v>
      </c>
      <c r="J41" s="155">
        <f>IF('AW Schüler'!$H125=0,"x",E41/'AW Schüler'!$H125)</f>
        <v>0.15185676392572944</v>
      </c>
      <c r="K41" s="155">
        <f>IF('AW Schüler'!$K125=0,"x",F41/'AW Schüler'!$K125)</f>
        <v>0.16124800899465941</v>
      </c>
      <c r="L41" s="156">
        <f>IF('AW Schüler'!$N125=0,"x",G41/'AW Schüler'!$N125)</f>
        <v>0.1466115514429823</v>
      </c>
    </row>
    <row r="42" spans="1:12" ht="9" customHeight="1">
      <c r="A42" s="21" t="s">
        <v>92</v>
      </c>
      <c r="B42" s="120"/>
      <c r="C42" s="151">
        <f>[51]GtS!$E$30</f>
        <v>0</v>
      </c>
      <c r="D42" s="151">
        <f>[52]GtS!$E$32</f>
        <v>0</v>
      </c>
      <c r="E42" s="151">
        <f>[53]GtS!$E$32</f>
        <v>0</v>
      </c>
      <c r="F42" s="151">
        <f>[54]GtS!$E$32</f>
        <v>0</v>
      </c>
      <c r="G42" s="152">
        <f>[55]GtS!$E$32</f>
        <v>0</v>
      </c>
      <c r="H42" s="155" t="str">
        <f>IF('AW Schüler'!$B126=0,"x",C42/'AW Schüler'!$B126)</f>
        <v>x</v>
      </c>
      <c r="I42" s="155" t="str">
        <f>IF('AW Schüler'!$E126=0,"x",D42/'AW Schüler'!$E126)</f>
        <v>x</v>
      </c>
      <c r="J42" s="155" t="str">
        <f>IF('AW Schüler'!$H126=0,"x",E42/'AW Schüler'!$H126)</f>
        <v>x</v>
      </c>
      <c r="K42" s="155" t="str">
        <f>IF('AW Schüler'!$K126=0,"x",F42/'AW Schüler'!$K126)</f>
        <v>x</v>
      </c>
      <c r="L42" s="156" t="str">
        <f>IF('AW Schüler'!$N126=0,"x",G42/'AW Schüler'!$N126)</f>
        <v>x</v>
      </c>
    </row>
    <row r="43" spans="1:12" ht="9" customHeight="1">
      <c r="A43" s="21" t="s">
        <v>93</v>
      </c>
      <c r="B43" s="120"/>
      <c r="C43" s="23">
        <f>[76]GtS!$E$30</f>
        <v>676</v>
      </c>
      <c r="D43" s="23">
        <f>[77]GtS!$E$32</f>
        <v>637</v>
      </c>
      <c r="E43" s="23">
        <f>[78]GtS!$E$32</f>
        <v>1151</v>
      </c>
      <c r="F43" s="23">
        <f>[79]GtS!$E$32</f>
        <v>2092</v>
      </c>
      <c r="G43" s="34">
        <f>[80]GtS!$E$32</f>
        <v>2493</v>
      </c>
      <c r="H43" s="155">
        <f>IF('AW Schüler'!$B127=0,"x",C43/'AW Schüler'!$B127)</f>
        <v>0.32594021215043395</v>
      </c>
      <c r="I43" s="155">
        <f>IF('AW Schüler'!$E127=0,"x",D43/'AW Schüler'!$E127)</f>
        <v>0.26246394725999178</v>
      </c>
      <c r="J43" s="155">
        <f>IF('AW Schüler'!$H127=0,"x",E43/'AW Schüler'!$H127)</f>
        <v>0.35879052369077308</v>
      </c>
      <c r="K43" s="155">
        <f>IF('AW Schüler'!$K127=0,"x",F43/'AW Schüler'!$K127)</f>
        <v>0.43839061190276613</v>
      </c>
      <c r="L43" s="156">
        <f>IF('AW Schüler'!$N127=0,"x",G43/'AW Schüler'!$N127)</f>
        <v>0.37131367292225204</v>
      </c>
    </row>
    <row r="44" spans="1:12" ht="10.5" customHeight="1">
      <c r="A44" s="21" t="s">
        <v>143</v>
      </c>
      <c r="B44" s="120"/>
      <c r="C44" s="23">
        <f>[56]GtS!$E$30</f>
        <v>9579</v>
      </c>
      <c r="D44" s="23">
        <f>[57]GtS!$E$32</f>
        <v>10240</v>
      </c>
      <c r="E44" s="23">
        <f>[58]GtS!$E$32</f>
        <v>10597</v>
      </c>
      <c r="F44" s="23">
        <f>[59]GtS!$E$32</f>
        <v>10723</v>
      </c>
      <c r="G44" s="34">
        <f>[60]GtS!$E$32</f>
        <v>10885</v>
      </c>
      <c r="H44" s="155">
        <f>IF('AW Schüler'!$B128=0,"x",C44/'AW Schüler'!$B128)</f>
        <v>0.15406513872135102</v>
      </c>
      <c r="I44" s="155">
        <f>IF('AW Schüler'!$E128=0,"x",D44/'AW Schüler'!$E128)</f>
        <v>0.1441015465585905</v>
      </c>
      <c r="J44" s="155">
        <f>IF('AW Schüler'!$H128=0,"x",E44/'AW Schüler'!$H128)</f>
        <v>0.13714426225264983</v>
      </c>
      <c r="K44" s="155">
        <f>IF('AW Schüler'!$K128=0,"x",F44/'AW Schüler'!$K128)</f>
        <v>0.13345197944020609</v>
      </c>
      <c r="L44" s="156">
        <f>IF('AW Schüler'!$N128=0,"x",G44/'AW Schüler'!$N128)</f>
        <v>0.13113351885985519</v>
      </c>
    </row>
    <row r="45" spans="1:12" ht="9" customHeight="1">
      <c r="A45" s="21" t="s">
        <v>95</v>
      </c>
      <c r="B45" s="120"/>
      <c r="C45" s="23">
        <f>[61]GtS!$E$30</f>
        <v>2166</v>
      </c>
      <c r="D45" s="23">
        <f>[62]GtS!$E$32</f>
        <v>2759</v>
      </c>
      <c r="E45" s="23">
        <f>[63]GtS!$E$32</f>
        <v>2504</v>
      </c>
      <c r="F45" s="23">
        <f>[64]GtS!$E$32</f>
        <v>3852</v>
      </c>
      <c r="G45" s="34">
        <f>[65]GtS!$E$32</f>
        <v>5023</v>
      </c>
      <c r="H45" s="155">
        <f>IF('AW Schüler'!$B129=0,"x",C45/'AW Schüler'!$B129)</f>
        <v>0.41108369709622317</v>
      </c>
      <c r="I45" s="155">
        <f>IF('AW Schüler'!$E129=0,"x",D45/'AW Schüler'!$E129)</f>
        <v>0.38447603121516166</v>
      </c>
      <c r="J45" s="155">
        <f>IF('AW Schüler'!$H129=0,"x",E45/'AW Schüler'!$H129)</f>
        <v>0.27788258794806348</v>
      </c>
      <c r="K45" s="155">
        <f>IF('AW Schüler'!$K129=0,"x",F45/'AW Schüler'!$K129)</f>
        <v>0.34543987086359967</v>
      </c>
      <c r="L45" s="156">
        <f>IF('AW Schüler'!$N129=0,"x",G45/'AW Schüler'!$N129)</f>
        <v>0.35098874991265461</v>
      </c>
    </row>
    <row r="46" spans="1:12" ht="9" customHeight="1">
      <c r="A46" s="21" t="s">
        <v>96</v>
      </c>
      <c r="B46" s="120"/>
      <c r="C46" s="23">
        <f>SUM(C30:C45)</f>
        <v>323102</v>
      </c>
      <c r="D46" s="23">
        <f>SUM(D30:D45)</f>
        <v>364278</v>
      </c>
      <c r="E46" s="23">
        <f>SUM(E30:E45)</f>
        <v>404412</v>
      </c>
      <c r="F46" s="23">
        <f>SUM(F30:F45)</f>
        <v>447300</v>
      </c>
      <c r="G46" s="34">
        <f>SUM(G30:G45)</f>
        <v>488865</v>
      </c>
      <c r="H46" s="155">
        <f>IF('AW Schüler'!$B130=0,"x",C46/'AW Schüler'!$B130)</f>
        <v>0.58234414144873203</v>
      </c>
      <c r="I46" s="155">
        <f>IF('AW Schüler'!$E130=0,"x",D46/'AW Schüler'!$E130)</f>
        <v>0.59222565436514385</v>
      </c>
      <c r="J46" s="155">
        <f>IF('AW Schüler'!$H130=0,"x",E46/'AW Schüler'!$H130)</f>
        <v>0.60058631167187937</v>
      </c>
      <c r="K46" s="155">
        <f>IF('AW Schüler'!$K130=0,"x",F46/'AW Schüler'!$K130)</f>
        <v>0.61576795473630597</v>
      </c>
      <c r="L46" s="156">
        <f>IF('AW Schüler'!$N130=0,"x",G46/'AW Schüler'!$N130)</f>
        <v>0.62384512117932911</v>
      </c>
    </row>
    <row r="47" spans="1:12" ht="12.75" customHeight="1">
      <c r="A47" s="391" t="s">
        <v>100</v>
      </c>
      <c r="B47" s="392"/>
      <c r="C47" s="392"/>
      <c r="D47" s="392"/>
      <c r="E47" s="392"/>
      <c r="F47" s="392"/>
      <c r="G47" s="392"/>
      <c r="H47" s="392"/>
      <c r="I47" s="392"/>
      <c r="J47" s="392"/>
      <c r="K47" s="392"/>
      <c r="L47" s="393"/>
    </row>
    <row r="48" spans="1:12" ht="10.5" customHeight="1">
      <c r="A48" s="21" t="s">
        <v>172</v>
      </c>
      <c r="B48" s="120"/>
      <c r="C48" s="23">
        <f>[1]GtS!$H$30</f>
        <v>749</v>
      </c>
      <c r="D48" s="23">
        <f>[2]GtS!$H$32</f>
        <v>3435</v>
      </c>
      <c r="E48" s="23">
        <f>[3]GtS!$H$32</f>
        <v>5680</v>
      </c>
      <c r="F48" s="23">
        <f>[4]GtS!$H$32</f>
        <v>8224</v>
      </c>
      <c r="G48" s="34">
        <f>[5]GtS!$H$32</f>
        <v>8885</v>
      </c>
      <c r="H48" s="155">
        <f>IF('AW Schüler'!$B114=0,"x",C48/'AW Schüler'!$B114)</f>
        <v>6.134316134316134E-2</v>
      </c>
      <c r="I48" s="155">
        <f>IF('AW Schüler'!$E114=0,"x",D48/'AW Schüler'!$E114)</f>
        <v>0.10625135327415014</v>
      </c>
      <c r="J48" s="155">
        <f>IF('AW Schüler'!$H114=0,"x",E48/'AW Schüler'!$H114)</f>
        <v>9.6431360565006286E-2</v>
      </c>
      <c r="K48" s="155">
        <f>IF('AW Schüler'!$K114=0,"x",F48/'AW Schüler'!$K114)</f>
        <v>9.927930755580236E-2</v>
      </c>
      <c r="L48" s="156">
        <f>IF('AW Schüler'!$N114=0,"x",G48/'AW Schüler'!$N114)</f>
        <v>8.6804877095627023E-2</v>
      </c>
    </row>
    <row r="49" spans="1:12" ht="9" customHeight="1">
      <c r="A49" s="21" t="s">
        <v>81</v>
      </c>
      <c r="B49" s="120"/>
      <c r="C49" s="23">
        <f>[6]GtS!$H$30</f>
        <v>114</v>
      </c>
      <c r="D49" s="23">
        <f>[7]GtS!$H$32</f>
        <v>122</v>
      </c>
      <c r="E49" s="23">
        <f>[8]GtS!$H$32</f>
        <v>74</v>
      </c>
      <c r="F49" s="23">
        <f>[9]GtS!$H$32</f>
        <v>95</v>
      </c>
      <c r="G49" s="34">
        <f>[10]GtS!$H$32</f>
        <v>100</v>
      </c>
      <c r="H49" s="155">
        <f>IF('AW Schüler'!$B115=0,"x",C49/'AW Schüler'!$B115)</f>
        <v>5.84315735520246E-2</v>
      </c>
      <c r="I49" s="155">
        <f>IF('AW Schüler'!$E115=0,"x",D49/'AW Schüler'!$E115)</f>
        <v>6.2854198866563626E-2</v>
      </c>
      <c r="J49" s="155">
        <f>IF('AW Schüler'!$H115=0,"x",E49/'AW Schüler'!$H115)</f>
        <v>3.9361702127659576E-2</v>
      </c>
      <c r="K49" s="155">
        <f>IF('AW Schüler'!$K115=0,"x",F49/'AW Schüler'!$K115)</f>
        <v>5.3310886644219978E-2</v>
      </c>
      <c r="L49" s="156">
        <f>IF('AW Schüler'!$N115=0,"x",G49/'AW Schüler'!$N115)</f>
        <v>5.6561085972850679E-2</v>
      </c>
    </row>
    <row r="50" spans="1:12" ht="9" customHeight="1">
      <c r="A50" s="21" t="s">
        <v>82</v>
      </c>
      <c r="B50" s="120"/>
      <c r="C50" s="23">
        <f>[11]GtS!$H$30</f>
        <v>6181</v>
      </c>
      <c r="D50" s="23">
        <f>[12]GtS!$H$32</f>
        <v>11069</v>
      </c>
      <c r="E50" s="23">
        <f>[13]GtS!$H$32</f>
        <v>8018</v>
      </c>
      <c r="F50" s="23">
        <f>[14]GtS!$H$32</f>
        <v>12656</v>
      </c>
      <c r="G50" s="34">
        <f>[15]GtS!$H$32</f>
        <v>13116</v>
      </c>
      <c r="H50" s="155">
        <f>IF('AW Schüler'!$B116=0,"x",C50/'AW Schüler'!$B116)</f>
        <v>0.10841196899007262</v>
      </c>
      <c r="I50" s="155">
        <f>IF('AW Schüler'!$E116=0,"x",D50/'AW Schüler'!$E116)</f>
        <v>0.1734681084469519</v>
      </c>
      <c r="J50" s="155">
        <f>IF('AW Schüler'!$H116=0,"x",E50/'AW Schüler'!$H116)</f>
        <v>0.12321925281615466</v>
      </c>
      <c r="K50" s="155">
        <f>IF('AW Schüler'!$K116=0,"x",F50/'AW Schüler'!$K116)</f>
        <v>0.19830463327118034</v>
      </c>
      <c r="L50" s="156">
        <f>IF('AW Schüler'!$N116=0,"x",G50/'AW Schüler'!$N116)</f>
        <v>0.19977761869221514</v>
      </c>
    </row>
    <row r="51" spans="1:12" ht="9" customHeight="1">
      <c r="A51" s="21" t="s">
        <v>83</v>
      </c>
      <c r="B51" s="120"/>
      <c r="C51" s="23">
        <f>[16]GtS!$H$30</f>
        <v>1581</v>
      </c>
      <c r="D51" s="23">
        <f>[17]GtS!$H$32</f>
        <v>1374</v>
      </c>
      <c r="E51" s="23">
        <f>[18]GtS!$H$32</f>
        <v>1410</v>
      </c>
      <c r="F51" s="23">
        <f>[19]GtS!$H$32</f>
        <v>1515</v>
      </c>
      <c r="G51" s="34">
        <f>[20]GtS!$H$32</f>
        <v>1654</v>
      </c>
      <c r="H51" s="155">
        <f>IF('AW Schüler'!$B117=0,"x",C51/'AW Schüler'!$B117)</f>
        <v>0.15851213154200922</v>
      </c>
      <c r="I51" s="155">
        <f>IF('AW Schüler'!$E117=0,"x",D51/'AW Schüler'!$E117)</f>
        <v>0.13726273726273727</v>
      </c>
      <c r="J51" s="155">
        <f>IF('AW Schüler'!$H117=0,"x",E51/'AW Schüler'!$H117)</f>
        <v>0.1391767841279242</v>
      </c>
      <c r="K51" s="155">
        <f>IF('AW Schüler'!$K117=0,"x",F51/'AW Schüler'!$K117)</f>
        <v>0.14957054003356698</v>
      </c>
      <c r="L51" s="156">
        <f>IF('AW Schüler'!$N117=0,"x",G51/'AW Schüler'!$N117)</f>
        <v>0.15391773683230969</v>
      </c>
    </row>
    <row r="52" spans="1:12" ht="9" customHeight="1">
      <c r="A52" s="21" t="s">
        <v>84</v>
      </c>
      <c r="B52" s="120"/>
      <c r="C52" s="23">
        <f>[21]GtS!$H$30</f>
        <v>425</v>
      </c>
      <c r="D52" s="23">
        <f>[22]GtS!$H$32</f>
        <v>485</v>
      </c>
      <c r="E52" s="23">
        <f>[23]GtS!$H$32</f>
        <v>424</v>
      </c>
      <c r="F52" s="23">
        <f>[24]GtS!$H$32</f>
        <v>465</v>
      </c>
      <c r="G52" s="34">
        <f>[25]GtS!$H$32</f>
        <v>498</v>
      </c>
      <c r="H52" s="155">
        <f>IF('AW Schüler'!$B118=0,"x",C52/'AW Schüler'!$B118)</f>
        <v>2.6088024062365725E-2</v>
      </c>
      <c r="I52" s="155">
        <f>IF('AW Schüler'!$E118=0,"x",D52/'AW Schüler'!$E118)</f>
        <v>2.6531728665207876E-2</v>
      </c>
      <c r="J52" s="155">
        <f>IF('AW Schüler'!$H118=0,"x",E52/'AW Schüler'!$H118)</f>
        <v>2.0990099009900991E-2</v>
      </c>
      <c r="K52" s="155">
        <f>IF('AW Schüler'!$K118=0,"x",F52/'AW Schüler'!$K118)</f>
        <v>2.1335168616655197E-2</v>
      </c>
      <c r="L52" s="156">
        <f>IF('AW Schüler'!$N118=0,"x",G52/'AW Schüler'!$N118)</f>
        <v>2.1588347494364488E-2</v>
      </c>
    </row>
    <row r="53" spans="1:12" ht="9" customHeight="1">
      <c r="A53" s="21" t="s">
        <v>85</v>
      </c>
      <c r="B53" s="120"/>
      <c r="C53" s="23">
        <f>[26]GtS!$H$30</f>
        <v>4218</v>
      </c>
      <c r="D53" s="23">
        <f>[27]GtS!$H$32</f>
        <v>5024</v>
      </c>
      <c r="E53" s="23">
        <f>[28]GtS!$H$32</f>
        <v>7243</v>
      </c>
      <c r="F53" s="23">
        <f>[29]GtS!$H$32</f>
        <v>11267</v>
      </c>
      <c r="G53" s="34">
        <f>[30]GtS!$H$32</f>
        <v>9269</v>
      </c>
      <c r="H53" s="155">
        <f>IF('AW Schüler'!$B119=0,"x",C53/'AW Schüler'!$B119)</f>
        <v>0.10073316934540157</v>
      </c>
      <c r="I53" s="155">
        <f>IF('AW Schüler'!$E119=0,"x",D53/'AW Schüler'!$E119)</f>
        <v>0.11120949176553922</v>
      </c>
      <c r="J53" s="155">
        <f>IF('AW Schüler'!$H119=0,"x",E53/'AW Schüler'!$H119)</f>
        <v>0.1602079186020792</v>
      </c>
      <c r="K53" s="155">
        <f>IF('AW Schüler'!$K119=0,"x",F53/'AW Schüler'!$K119)</f>
        <v>0.24802976269096993</v>
      </c>
      <c r="L53" s="156">
        <f>IF('AW Schüler'!$N119=0,"x",G53/'AW Schüler'!$N119)</f>
        <v>0.20227833184208804</v>
      </c>
    </row>
    <row r="54" spans="1:12" ht="9" customHeight="1">
      <c r="A54" s="21" t="s">
        <v>114</v>
      </c>
      <c r="B54" s="120"/>
      <c r="C54" s="23">
        <f>[66]GtS!$H$30</f>
        <v>38436</v>
      </c>
      <c r="D54" s="23">
        <f>[67]GtS!$H$32</f>
        <v>38164</v>
      </c>
      <c r="E54" s="23">
        <f>[68]GtS!$H$32</f>
        <v>39037</v>
      </c>
      <c r="F54" s="23">
        <f>[69]GtS!$H$32</f>
        <v>38651</v>
      </c>
      <c r="G54" s="34">
        <f>[70]GtS!$H$32</f>
        <v>39854</v>
      </c>
      <c r="H54" s="155">
        <f>IF('AW Schüler'!$B120=0,"x",C54/'AW Schüler'!$B120)</f>
        <v>0.57088538030804881</v>
      </c>
      <c r="I54" s="155">
        <f>IF('AW Schüler'!$E120=0,"x",D54/'AW Schüler'!$E120)</f>
        <v>0.55821436929557688</v>
      </c>
      <c r="J54" s="155">
        <f>IF('AW Schüler'!$H120=0,"x",E54/'AW Schüler'!$H120)</f>
        <v>0.57433535876649644</v>
      </c>
      <c r="K54" s="155">
        <f>IF('AW Schüler'!$K120=0,"x",F54/'AW Schüler'!$K120)</f>
        <v>0.56697129277845415</v>
      </c>
      <c r="L54" s="156">
        <f>IF('AW Schüler'!$N120=0,"x",G54/'AW Schüler'!$N120)</f>
        <v>0.57726792103014235</v>
      </c>
    </row>
    <row r="55" spans="1:12" ht="9" customHeight="1">
      <c r="A55" s="21" t="s">
        <v>87</v>
      </c>
      <c r="B55" s="120"/>
      <c r="C55" s="23">
        <f>[31]GtS!$H$30</f>
        <v>270</v>
      </c>
      <c r="D55" s="23">
        <f>[32]GtS!$H$32</f>
        <v>279</v>
      </c>
      <c r="E55" s="23">
        <f>[33]GtS!$H$32</f>
        <v>270</v>
      </c>
      <c r="F55" s="23">
        <f>[34]GtS!$H$32</f>
        <v>312</v>
      </c>
      <c r="G55" s="34">
        <f>[35]GtS!$H$32</f>
        <v>0</v>
      </c>
      <c r="H55" s="155">
        <f>IF('AW Schüler'!$B121=0,"x",C55/'AW Schüler'!$B121)</f>
        <v>6.9337442218798145E-2</v>
      </c>
      <c r="I55" s="155">
        <f>IF('AW Schüler'!$E121=0,"x",D55/'AW Schüler'!$E121)</f>
        <v>7.3055773762765119E-2</v>
      </c>
      <c r="J55" s="155">
        <f>IF('AW Schüler'!$H121=0,"x",E55/'AW Schüler'!$H121)</f>
        <v>6.9195284469502821E-2</v>
      </c>
      <c r="K55" s="155">
        <f>IF('AW Schüler'!$K121=0,"x",F55/'AW Schüler'!$K121)</f>
        <v>7.9328756674294426E-2</v>
      </c>
      <c r="L55" s="156">
        <f>IF('AW Schüler'!$N121=0,"x",G55/'AW Schüler'!$N121)</f>
        <v>0</v>
      </c>
    </row>
    <row r="56" spans="1:12" ht="9" customHeight="1">
      <c r="A56" s="21" t="s">
        <v>88</v>
      </c>
      <c r="B56" s="120"/>
      <c r="C56" s="23">
        <f>[71]GtS!$H$30</f>
        <v>12714</v>
      </c>
      <c r="D56" s="23">
        <f>[72]GtS!$H$32</f>
        <v>17358</v>
      </c>
      <c r="E56" s="23">
        <f>[73]GtS!$H$32</f>
        <v>13223</v>
      </c>
      <c r="F56" s="23">
        <f>[74]GtS!$H$32</f>
        <v>2203</v>
      </c>
      <c r="G56" s="34">
        <f>[75]GtS!$H$32</f>
        <v>1506</v>
      </c>
      <c r="H56" s="155">
        <f>IF('AW Schüler'!$B122=0,"x",C56/'AW Schüler'!$B122)</f>
        <v>0.31449278947238229</v>
      </c>
      <c r="I56" s="155">
        <f>IF('AW Schüler'!$E122=0,"x",D56/'AW Schüler'!$E122)</f>
        <v>0.37857407690126715</v>
      </c>
      <c r="J56" s="155">
        <f>IF('AW Schüler'!$H122=0,"x",E56/'AW Schüler'!$H122)</f>
        <v>0.25281049250535331</v>
      </c>
      <c r="K56" s="155">
        <f>IF('AW Schüler'!$K122=0,"x",F56/'AW Schüler'!$K122)</f>
        <v>3.8342383737120581E-2</v>
      </c>
      <c r="L56" s="156">
        <f>IF('AW Schüler'!$N122=0,"x",G56/'AW Schüler'!$N122)</f>
        <v>2.4529684827754705E-2</v>
      </c>
    </row>
    <row r="57" spans="1:12" ht="9" customHeight="1">
      <c r="A57" s="21" t="s">
        <v>89</v>
      </c>
      <c r="B57" s="120"/>
      <c r="C57" s="23">
        <f>[36]GtS!$H$30</f>
        <v>0</v>
      </c>
      <c r="D57" s="23">
        <f>[37]GtS!$H$32</f>
        <v>68</v>
      </c>
      <c r="E57" s="23">
        <f>[38]GtS!$H$32</f>
        <v>289</v>
      </c>
      <c r="F57" s="23">
        <f>[39]GtS!$H$32</f>
        <v>413</v>
      </c>
      <c r="G57" s="34">
        <f>[40]GtS!$H$32</f>
        <v>534</v>
      </c>
      <c r="H57" s="155">
        <f>IF('AW Schüler'!$B123=0,"x",C57/'AW Schüler'!$B123)</f>
        <v>0</v>
      </c>
      <c r="I57" s="155">
        <f>IF('AW Schüler'!$E123=0,"x",D57/'AW Schüler'!$E123)</f>
        <v>3.4807712979693792E-4</v>
      </c>
      <c r="J57" s="155">
        <f>IF('AW Schüler'!$H123=0,"x",E57/'AW Schüler'!$H123)</f>
        <v>1.404439779177358E-3</v>
      </c>
      <c r="K57" s="155">
        <f>IF('AW Schüler'!$K123=0,"x",F57/'AW Schüler'!$K123)</f>
        <v>1.8932969037948454E-3</v>
      </c>
      <c r="L57" s="156">
        <f>IF('AW Schüler'!$N123=0,"x",G57/'AW Schüler'!$N123)</f>
        <v>2.2877609075641772E-3</v>
      </c>
    </row>
    <row r="58" spans="1:12" ht="9" customHeight="1">
      <c r="A58" s="21" t="s">
        <v>90</v>
      </c>
      <c r="B58" s="120"/>
      <c r="C58" s="23">
        <f>[41]GtS!$H$30</f>
        <v>0</v>
      </c>
      <c r="D58" s="23">
        <f>[42]GtS!$H$32</f>
        <v>0</v>
      </c>
      <c r="E58" s="23">
        <f>[43]GtS!$H$32</f>
        <v>0</v>
      </c>
      <c r="F58" s="23">
        <f>[44]GtS!$H$32</f>
        <v>0</v>
      </c>
      <c r="G58" s="34">
        <f>[45]GtS!$H$32</f>
        <v>0</v>
      </c>
      <c r="H58" s="155">
        <f>IF('AW Schüler'!$B124=0,"x",C58/'AW Schüler'!$B124)</f>
        <v>0</v>
      </c>
      <c r="I58" s="155">
        <f>IF('AW Schüler'!$E124=0,"x",D58/'AW Schüler'!$E124)</f>
        <v>0</v>
      </c>
      <c r="J58" s="155">
        <f>IF('AW Schüler'!$H124=0,"x",E58/'AW Schüler'!$H124)</f>
        <v>0</v>
      </c>
      <c r="K58" s="155">
        <f>IF('AW Schüler'!$K124=0,"x",F58/'AW Schüler'!$K124)</f>
        <v>0</v>
      </c>
      <c r="L58" s="156">
        <f>IF('AW Schüler'!$N124=0,"x",G58/'AW Schüler'!$N124)</f>
        <v>0</v>
      </c>
    </row>
    <row r="59" spans="1:12" ht="9" customHeight="1">
      <c r="A59" s="21" t="s">
        <v>91</v>
      </c>
      <c r="B59" s="120"/>
      <c r="C59" s="23">
        <f>[46]GtS!$H$30</f>
        <v>735</v>
      </c>
      <c r="D59" s="23">
        <f>[47]GtS!$H$32</f>
        <v>1759</v>
      </c>
      <c r="E59" s="23">
        <f>[48]GtS!$H$32</f>
        <v>2574</v>
      </c>
      <c r="F59" s="23">
        <f>[49]GtS!$H$32</f>
        <v>2766</v>
      </c>
      <c r="G59" s="34">
        <f>[50]GtS!$H$32</f>
        <v>2716</v>
      </c>
      <c r="H59" s="155">
        <f>IF('AW Schüler'!$B125=0,"x",C59/'AW Schüler'!$B125)</f>
        <v>5.386588493953829E-2</v>
      </c>
      <c r="I59" s="155">
        <f>IF('AW Schüler'!$E125=0,"x",D59/'AW Schüler'!$E125)</f>
        <v>0.11169672339344679</v>
      </c>
      <c r="J59" s="155">
        <f>IF('AW Schüler'!$H125=0,"x",E59/'AW Schüler'!$H125)</f>
        <v>0.14224137931034483</v>
      </c>
      <c r="K59" s="155">
        <f>IF('AW Schüler'!$K125=0,"x",F59/'AW Schüler'!$K125)</f>
        <v>0.12957931228333178</v>
      </c>
      <c r="L59" s="156">
        <f>IF('AW Schüler'!$N125=0,"x",G59/'AW Schüler'!$N125)</f>
        <v>0.10299973453676665</v>
      </c>
    </row>
    <row r="60" spans="1:12" ht="9" customHeight="1">
      <c r="A60" s="21" t="s">
        <v>92</v>
      </c>
      <c r="B60" s="120"/>
      <c r="C60" s="151">
        <f>[51]GtS!$H$30</f>
        <v>0</v>
      </c>
      <c r="D60" s="151">
        <f>[52]GtS!$H$32</f>
        <v>0</v>
      </c>
      <c r="E60" s="151">
        <f>[53]GtS!$H$32</f>
        <v>0</v>
      </c>
      <c r="F60" s="151">
        <f>[54]GtS!$H$32</f>
        <v>0</v>
      </c>
      <c r="G60" s="152">
        <f>[55]GtS!$H$32</f>
        <v>0</v>
      </c>
      <c r="H60" s="155" t="str">
        <f>IF('AW Schüler'!$B126=0,"x",C60/'AW Schüler'!$B126)</f>
        <v>x</v>
      </c>
      <c r="I60" s="155" t="str">
        <f>IF('AW Schüler'!$E126=0,"x",D60/'AW Schüler'!$E126)</f>
        <v>x</v>
      </c>
      <c r="J60" s="155" t="str">
        <f>IF('AW Schüler'!$H126=0,"x",E60/'AW Schüler'!$H126)</f>
        <v>x</v>
      </c>
      <c r="K60" s="155" t="str">
        <f>IF('AW Schüler'!$K126=0,"x",F60/'AW Schüler'!$K126)</f>
        <v>x</v>
      </c>
      <c r="L60" s="156" t="str">
        <f>IF('AW Schüler'!$N126=0,"x",G60/'AW Schüler'!$N126)</f>
        <v>x</v>
      </c>
    </row>
    <row r="61" spans="1:12" ht="9" customHeight="1">
      <c r="A61" s="21" t="s">
        <v>93</v>
      </c>
      <c r="B61" s="120"/>
      <c r="C61" s="23">
        <f>[76]GtS!$H$30</f>
        <v>1384</v>
      </c>
      <c r="D61" s="23">
        <f>[77]GtS!$H$32</f>
        <v>1456</v>
      </c>
      <c r="E61" s="23">
        <f>[78]GtS!$H$32</f>
        <v>1635</v>
      </c>
      <c r="F61" s="23">
        <f>[79]GtS!$H$32</f>
        <v>2015</v>
      </c>
      <c r="G61" s="34">
        <f>[80]GtS!$H$32</f>
        <v>1790</v>
      </c>
      <c r="H61" s="155">
        <f>IF('AW Schüler'!$B127=0,"x",C61/'AW Schüler'!$B127)</f>
        <v>0.66730954676952747</v>
      </c>
      <c r="I61" s="155">
        <f>IF('AW Schüler'!$E127=0,"x",D61/'AW Schüler'!$E127)</f>
        <v>0.59991759373712406</v>
      </c>
      <c r="J61" s="155">
        <f>IF('AW Schüler'!$H127=0,"x",E61/'AW Schüler'!$H127)</f>
        <v>0.50966334164588534</v>
      </c>
      <c r="K61" s="155">
        <f>IF('AW Schüler'!$K127=0,"x",F61/'AW Schüler'!$K127)</f>
        <v>0.42225481978206203</v>
      </c>
      <c r="L61" s="156">
        <f>IF('AW Schüler'!$N127=0,"x",G61/'AW Schüler'!$N127)</f>
        <v>0.26660708966338992</v>
      </c>
    </row>
    <row r="62" spans="1:12" ht="9.75" customHeight="1">
      <c r="A62" s="21" t="s">
        <v>143</v>
      </c>
      <c r="B62" s="120"/>
      <c r="C62" s="23">
        <f>[56]GtS!$H$30</f>
        <v>14537</v>
      </c>
      <c r="D62" s="23">
        <f>[57]GtS!$H$32</f>
        <v>17048</v>
      </c>
      <c r="E62" s="23">
        <f>[58]GtS!$H$32</f>
        <v>18537</v>
      </c>
      <c r="F62" s="23">
        <f>[59]GtS!$H$32</f>
        <v>19770</v>
      </c>
      <c r="G62" s="34">
        <f>[60]GtS!$H$32</f>
        <v>20183</v>
      </c>
      <c r="H62" s="155">
        <f>IF('AW Schüler'!$B128=0,"x",C62/'AW Schüler'!$B128)</f>
        <v>0.23380780056292721</v>
      </c>
      <c r="I62" s="155">
        <f>IF('AW Schüler'!$E128=0,"x",D62/'AW Schüler'!$E128)</f>
        <v>0.23990655915340342</v>
      </c>
      <c r="J62" s="155">
        <f>IF('AW Schüler'!$H128=0,"x",E62/'AW Schüler'!$H128)</f>
        <v>0.23990215998654052</v>
      </c>
      <c r="K62" s="155">
        <f>IF('AW Schüler'!$K128=0,"x",F62/'AW Schüler'!$K128)</f>
        <v>0.24604547547634753</v>
      </c>
      <c r="L62" s="156">
        <f>IF('AW Schüler'!$N128=0,"x",G62/'AW Schüler'!$N128)</f>
        <v>0.24314816822677607</v>
      </c>
    </row>
    <row r="63" spans="1:12" ht="9" customHeight="1">
      <c r="A63" s="21" t="s">
        <v>95</v>
      </c>
      <c r="B63" s="120"/>
      <c r="C63" s="23">
        <f>[61]GtS!$H$30</f>
        <v>1620</v>
      </c>
      <c r="D63" s="23">
        <f>[62]GtS!$H$32</f>
        <v>1745</v>
      </c>
      <c r="E63" s="23">
        <f>[63]GtS!$H$32</f>
        <v>2897</v>
      </c>
      <c r="F63" s="23">
        <f>[64]GtS!$H$32</f>
        <v>2274</v>
      </c>
      <c r="G63" s="34">
        <f>[65]GtS!$H$32</f>
        <v>2407</v>
      </c>
      <c r="H63" s="155">
        <f>IF('AW Schüler'!$B129=0,"x",C63/'AW Schüler'!$B129)</f>
        <v>0.3074587208198899</v>
      </c>
      <c r="I63" s="155">
        <f>IF('AW Schüler'!$E129=0,"x",D63/'AW Schüler'!$E129)</f>
        <v>0.24317168338907469</v>
      </c>
      <c r="J63" s="155">
        <f>IF('AW Schüler'!$H129=0,"x",E63/'AW Schüler'!$H129)</f>
        <v>0.32149594939518367</v>
      </c>
      <c r="K63" s="155">
        <f>IF('AW Schüler'!$K129=0,"x",F63/'AW Schüler'!$K129)</f>
        <v>0.20392789884315307</v>
      </c>
      <c r="L63" s="156">
        <f>IF('AW Schüler'!$N129=0,"x",G63/'AW Schüler'!$N129)</f>
        <v>0.16819229962965551</v>
      </c>
    </row>
    <row r="64" spans="1:12" ht="8.65" customHeight="1">
      <c r="A64" s="24" t="s">
        <v>96</v>
      </c>
      <c r="B64" s="121"/>
      <c r="C64" s="26">
        <f>SUM(C48:C63)</f>
        <v>82964</v>
      </c>
      <c r="D64" s="26">
        <f>SUM(D48:D63)</f>
        <v>99386</v>
      </c>
      <c r="E64" s="26">
        <f>SUM(E48:E63)</f>
        <v>101311</v>
      </c>
      <c r="F64" s="26">
        <f>SUM(F48:F63)</f>
        <v>102626</v>
      </c>
      <c r="G64" s="47">
        <f>SUM(G48:G63)</f>
        <v>102512</v>
      </c>
      <c r="H64" s="157">
        <f>IF('AW Schüler'!$B130=0,"x",C64/'AW Schüler'!$B130)</f>
        <v>0.1495304868157814</v>
      </c>
      <c r="I64" s="157">
        <f>IF('AW Schüler'!$E130=0,"x",D64/'AW Schüler'!$E130)</f>
        <v>0.16157697935295073</v>
      </c>
      <c r="J64" s="157">
        <f>IF('AW Schüler'!$H130=0,"x",E64/'AW Schüler'!$H130)</f>
        <v>0.15045547565796705</v>
      </c>
      <c r="K64" s="157">
        <f>IF('AW Schüler'!$K130=0,"x",F64/'AW Schüler'!$K130)</f>
        <v>0.14127834143252432</v>
      </c>
      <c r="L64" s="158">
        <f>IF('AW Schüler'!$N130=0,"x",G64/'AW Schüler'!$N130)</f>
        <v>0.13081650570676032</v>
      </c>
    </row>
    <row r="65" spans="1:12" ht="18.75" customHeight="1">
      <c r="A65" s="396" t="s">
        <v>312</v>
      </c>
      <c r="B65" s="396"/>
      <c r="C65" s="396"/>
      <c r="D65" s="396"/>
      <c r="E65" s="396"/>
      <c r="F65" s="396"/>
      <c r="G65" s="396"/>
      <c r="H65" s="396"/>
      <c r="I65" s="396"/>
      <c r="J65" s="396"/>
      <c r="K65" s="396"/>
      <c r="L65" s="396"/>
    </row>
    <row r="66" spans="1:12" ht="10.15" customHeight="1">
      <c r="A66" s="399" t="s">
        <v>184</v>
      </c>
      <c r="B66" s="399"/>
      <c r="C66" s="399"/>
      <c r="D66" s="399"/>
      <c r="E66" s="399"/>
      <c r="F66" s="399"/>
      <c r="G66" s="399"/>
      <c r="H66" s="399"/>
      <c r="I66" s="399"/>
      <c r="J66" s="257"/>
      <c r="K66" s="325"/>
      <c r="L66" s="350"/>
    </row>
    <row r="67" spans="1:12" ht="18.399999999999999" customHeight="1">
      <c r="A67" s="387" t="s">
        <v>296</v>
      </c>
      <c r="B67" s="387"/>
      <c r="C67" s="387"/>
      <c r="D67" s="387"/>
      <c r="E67" s="387"/>
      <c r="F67" s="387"/>
      <c r="G67" s="387"/>
      <c r="H67" s="387"/>
      <c r="I67" s="387"/>
      <c r="J67" s="395"/>
      <c r="K67" s="395"/>
      <c r="L67" s="395"/>
    </row>
    <row r="68" spans="1:12" ht="10.15" customHeight="1">
      <c r="A68" s="305" t="s">
        <v>203</v>
      </c>
      <c r="B68" s="306"/>
      <c r="C68" s="306"/>
      <c r="D68" s="306"/>
      <c r="E68" s="306"/>
      <c r="F68" s="324"/>
      <c r="G68" s="349"/>
      <c r="H68" s="306"/>
      <c r="I68" s="306"/>
    </row>
    <row r="69" spans="1:12" ht="10.15" customHeight="1">
      <c r="A69" s="306" t="s">
        <v>101</v>
      </c>
      <c r="B69" s="306"/>
      <c r="C69" s="306"/>
      <c r="D69" s="306"/>
      <c r="E69" s="306"/>
      <c r="F69" s="324"/>
      <c r="G69" s="349"/>
      <c r="H69" s="306"/>
      <c r="I69" s="306"/>
    </row>
    <row r="83" spans="1:1" ht="10.5" customHeight="1"/>
    <row r="84" spans="1:1" ht="10.15" customHeight="1">
      <c r="A84" s="214"/>
    </row>
  </sheetData>
  <mergeCells count="9">
    <mergeCell ref="A1:L1"/>
    <mergeCell ref="A67:L67"/>
    <mergeCell ref="A66:I66"/>
    <mergeCell ref="C9:G9"/>
    <mergeCell ref="H9:L9"/>
    <mergeCell ref="A11:L11"/>
    <mergeCell ref="A29:L29"/>
    <mergeCell ref="A47:L47"/>
    <mergeCell ref="A65:L65"/>
  </mergeCells>
  <phoneticPr fontId="18" type="noConversion"/>
  <conditionalFormatting sqref="N25">
    <cfRule type="cellIs" dxfId="16"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view="pageBreakPreview" topLeftCell="A46" zoomScale="170" zoomScaleNormal="130" zoomScaleSheetLayoutView="170"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'3.2.8'!A1:J1+1</f>
        <v>55</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4.1" customHeight="1">
      <c r="A5" s="13" t="s">
        <v>57</v>
      </c>
      <c r="B5" s="39" t="s">
        <v>74</v>
      </c>
      <c r="C5" s="14"/>
      <c r="D5" s="14"/>
      <c r="E5" s="14"/>
      <c r="F5" s="14"/>
      <c r="G5" s="14"/>
      <c r="H5" s="14"/>
      <c r="I5" s="14"/>
      <c r="J5" s="14"/>
      <c r="K5" s="14"/>
      <c r="L5" s="14"/>
    </row>
    <row r="6" spans="1:13" s="3" customFormat="1" ht="13.5" customHeight="1">
      <c r="A6" s="13" t="s">
        <v>236</v>
      </c>
      <c r="B6" s="39" t="s">
        <v>279</v>
      </c>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42">
        <f>SUM(C30+C48)</f>
        <v>2031</v>
      </c>
      <c r="D12" s="42">
        <f>SUM(D30+D48)</f>
        <v>4964</v>
      </c>
      <c r="E12" s="42">
        <f>SUM(E30+E48)</f>
        <v>9253</v>
      </c>
      <c r="F12" s="42">
        <f>SUM(F30+F48)</f>
        <v>12705</v>
      </c>
      <c r="G12" s="44">
        <f>SUM(G30+G48)</f>
        <v>13871</v>
      </c>
      <c r="H12" s="153">
        <f>IF('AW Schüler'!$B114=0,"x",(IF('AW Schüler'!$B132=0,"-",C12/'AW Schüler'!$B132)))</f>
        <v>0.31260581806987842</v>
      </c>
      <c r="I12" s="153">
        <f>IF('AW Schüler'!$E114=0,"x",(IF('AW Schüler'!$E132=0,"-",D12/'AW Schüler'!$E132)))</f>
        <v>0.24526903503137507</v>
      </c>
      <c r="J12" s="153">
        <f>IF('AW Schüler'!$H114=0,"x",(IF('AW Schüler'!$H132=0,"-",E12/'AW Schüler'!$H132)))</f>
        <v>0.26203556864521976</v>
      </c>
      <c r="K12" s="153">
        <f>IF('AW Schüler'!$K114=0,"x",(IF('AW Schüler'!$K132=0,"-",F12/'AW Schüler'!$K132)))</f>
        <v>0.28733292625008483</v>
      </c>
      <c r="L12" s="154">
        <f>IF('AW Schüler'!$N114=0,"x",(IF('AW Schüler'!$N132=0,"-",G12/'AW Schüler'!$N132)))</f>
        <v>0.28592336074866531</v>
      </c>
    </row>
    <row r="13" spans="1:13" ht="9" customHeight="1">
      <c r="A13" s="21" t="s">
        <v>81</v>
      </c>
      <c r="B13" s="120"/>
      <c r="C13" s="42">
        <f t="shared" ref="C13:E28" si="0">SUM(C31+C49)</f>
        <v>0</v>
      </c>
      <c r="D13" s="42">
        <f t="shared" ref="D13:E13" si="1">SUM(D31+D49)</f>
        <v>0</v>
      </c>
      <c r="E13" s="42">
        <f t="shared" si="1"/>
        <v>0</v>
      </c>
      <c r="F13" s="42" t="e">
        <f t="shared" ref="F13:G13" si="2">SUM(F31+F49)</f>
        <v>#VALUE!</v>
      </c>
      <c r="G13" s="44">
        <f t="shared" si="2"/>
        <v>0</v>
      </c>
      <c r="H13" s="153" t="str">
        <f>IF('AW Schüler'!$B115=0,"x",(IF('AW Schüler'!$B133=0,"-",C13/'AW Schüler'!$B133)))</f>
        <v>-</v>
      </c>
      <c r="I13" s="153" t="str">
        <f>IF('AW Schüler'!$E115=0,"x",(IF('AW Schüler'!$E133=0,"-",D13/'AW Schüler'!$E133)))</f>
        <v>-</v>
      </c>
      <c r="J13" s="153" t="str">
        <f>IF('AW Schüler'!$H115=0,"x",(IF('AW Schüler'!$H133=0,"-",E13/'AW Schüler'!$H133)))</f>
        <v>-</v>
      </c>
      <c r="K13" s="153" t="str">
        <f>IF('AW Schüler'!$K115=0,"x",(IF('AW Schüler'!$K133=0,"-",F13/'AW Schüler'!$K133)))</f>
        <v>-</v>
      </c>
      <c r="L13" s="154" t="str">
        <f>IF('AW Schüler'!$N115=0,"x",(IF('AW Schüler'!$N133=0,"-",G13/'AW Schüler'!$N133)))</f>
        <v>-</v>
      </c>
    </row>
    <row r="14" spans="1:13" ht="9" customHeight="1">
      <c r="A14" s="21" t="s">
        <v>82</v>
      </c>
      <c r="B14" s="120"/>
      <c r="C14" s="42">
        <f t="shared" si="0"/>
        <v>3430</v>
      </c>
      <c r="D14" s="42">
        <f t="shared" si="0"/>
        <v>3556</v>
      </c>
      <c r="E14" s="42">
        <f t="shared" si="0"/>
        <v>3796</v>
      </c>
      <c r="F14" s="42">
        <f t="shared" ref="F14:G14" si="3">SUM(F32+F50)</f>
        <v>4671</v>
      </c>
      <c r="G14" s="44">
        <f t="shared" si="3"/>
        <v>4624</v>
      </c>
      <c r="H14" s="153">
        <f>IF('AW Schüler'!$B116=0,"x",(IF('AW Schüler'!$B134=0,"-",C14/'AW Schüler'!$B134)))</f>
        <v>0.83191850594227501</v>
      </c>
      <c r="I14" s="153">
        <f>IF('AW Schüler'!$E116=0,"x",(IF('AW Schüler'!$E134=0,"-",D14/'AW Schüler'!$E134)))</f>
        <v>0.88238213399503718</v>
      </c>
      <c r="J14" s="153">
        <f>IF('AW Schüler'!$H116=0,"x",(IF('AW Schüler'!$H134=0,"-",E14/'AW Schüler'!$H134)))</f>
        <v>0.88567428838077467</v>
      </c>
      <c r="K14" s="153">
        <f>IF('AW Schüler'!$K116=0,"x",(IF('AW Schüler'!$K134=0,"-",F14/'AW Schüler'!$K134)))</f>
        <v>0.94401778496362165</v>
      </c>
      <c r="L14" s="154">
        <f>IF('AW Schüler'!$N116=0,"x",(IF('AW Schüler'!$N134=0,"-",G14/'AW Schüler'!$N134)))</f>
        <v>0.8657554765025276</v>
      </c>
    </row>
    <row r="15" spans="1:13" ht="9" customHeight="1">
      <c r="A15" s="21" t="s">
        <v>83</v>
      </c>
      <c r="B15" s="120"/>
      <c r="C15" s="42">
        <f t="shared" si="0"/>
        <v>103</v>
      </c>
      <c r="D15" s="42">
        <f t="shared" si="0"/>
        <v>108</v>
      </c>
      <c r="E15" s="42">
        <f t="shared" si="0"/>
        <v>122</v>
      </c>
      <c r="F15" s="42">
        <f t="shared" ref="F15:G15" si="4">SUM(F33+F51)</f>
        <v>129</v>
      </c>
      <c r="G15" s="44">
        <f t="shared" si="4"/>
        <v>265</v>
      </c>
      <c r="H15" s="153">
        <f>IF('AW Schüler'!$B117=0,"x",(IF('AW Schüler'!$B135=0,"-",C15/'AW Schüler'!$B135)))</f>
        <v>0.43829787234042555</v>
      </c>
      <c r="I15" s="153">
        <f>IF('AW Schüler'!$E117=0,"x",(IF('AW Schüler'!$E135=0,"-",D15/'AW Schüler'!$E135)))</f>
        <v>0.45</v>
      </c>
      <c r="J15" s="153">
        <f>IF('AW Schüler'!$H117=0,"x",(IF('AW Schüler'!$H135=0,"-",E15/'AW Schüler'!$H135)))</f>
        <v>0.46923076923076923</v>
      </c>
      <c r="K15" s="153">
        <f>IF('AW Schüler'!$K117=0,"x",(IF('AW Schüler'!$K135=0,"-",F15/'AW Schüler'!$K135)))</f>
        <v>0.48496240601503759</v>
      </c>
      <c r="L15" s="154">
        <f>IF('AW Schüler'!$N117=0,"x",(IF('AW Schüler'!$N135=0,"-",G15/'AW Schüler'!$N135)))</f>
        <v>0.59284116331096193</v>
      </c>
    </row>
    <row r="16" spans="1:13" ht="9" customHeight="1">
      <c r="A16" s="21" t="s">
        <v>84</v>
      </c>
      <c r="B16" s="120"/>
      <c r="C16" s="42">
        <f t="shared" si="0"/>
        <v>0</v>
      </c>
      <c r="D16" s="42">
        <f t="shared" si="0"/>
        <v>0</v>
      </c>
      <c r="E16" s="42">
        <f t="shared" si="0"/>
        <v>0</v>
      </c>
      <c r="F16" s="42">
        <f t="shared" ref="F16:G16" si="5">SUM(F34+F52)</f>
        <v>0</v>
      </c>
      <c r="G16" s="44">
        <f t="shared" si="5"/>
        <v>0</v>
      </c>
      <c r="H16" s="153" t="str">
        <f>IF('AW Schüler'!$B118=0,"x",(IF('AW Schüler'!$B136=0,"-",C16/'AW Schüler'!$B136)))</f>
        <v>-</v>
      </c>
      <c r="I16" s="153" t="str">
        <f>IF('AW Schüler'!$E118=0,"x",(IF('AW Schüler'!$E136=0,"-",D16/'AW Schüler'!$E136)))</f>
        <v>-</v>
      </c>
      <c r="J16" s="153" t="str">
        <f>IF('AW Schüler'!$H118=0,"x",(IF('AW Schüler'!$H136=0,"-",E16/'AW Schüler'!$H136)))</f>
        <v>-</v>
      </c>
      <c r="K16" s="153" t="str">
        <f>IF('AW Schüler'!$K118=0,"x",(IF('AW Schüler'!$K136=0,"-",F16/'AW Schüler'!$K136)))</f>
        <v>-</v>
      </c>
      <c r="L16" s="154" t="str">
        <f>IF('AW Schüler'!$N118=0,"x",(IF('AW Schüler'!$N136=0,"-",G16/'AW Schüler'!$N136)))</f>
        <v>-</v>
      </c>
    </row>
    <row r="17" spans="1:12" ht="9" customHeight="1">
      <c r="A17" s="21" t="s">
        <v>85</v>
      </c>
      <c r="B17" s="120"/>
      <c r="C17" s="42">
        <f t="shared" si="0"/>
        <v>1953</v>
      </c>
      <c r="D17" s="42">
        <f t="shared" si="0"/>
        <v>2764</v>
      </c>
      <c r="E17" s="42">
        <f t="shared" si="0"/>
        <v>2716</v>
      </c>
      <c r="F17" s="42">
        <f t="shared" ref="F17:G17" si="6">SUM(F35+F53)</f>
        <v>3111</v>
      </c>
      <c r="G17" s="44">
        <f t="shared" si="6"/>
        <v>3134</v>
      </c>
      <c r="H17" s="153">
        <f>IF('AW Schüler'!$B119=0,"x",(IF('AW Schüler'!$B137=0,"-",C17/'AW Schüler'!$B137)))</f>
        <v>0.71459934138309555</v>
      </c>
      <c r="I17" s="153">
        <f>IF('AW Schüler'!$E119=0,"x",(IF('AW Schüler'!$E137=0,"-",D17/'AW Schüler'!$E137)))</f>
        <v>0.88731942215088278</v>
      </c>
      <c r="J17" s="153">
        <f>IF('AW Schüler'!$H119=0,"x",(IF('AW Schüler'!$H137=0,"-",E17/'AW Schüler'!$H137)))</f>
        <v>0.87528198517563649</v>
      </c>
      <c r="K17" s="153">
        <f>IF('AW Schüler'!$K119=0,"x",(IF('AW Schüler'!$K137=0,"-",F17/'AW Schüler'!$K137)))</f>
        <v>1</v>
      </c>
      <c r="L17" s="154">
        <f>IF('AW Schüler'!$N119=0,"x",(IF('AW Schüler'!$N137=0,"-",G17/'AW Schüler'!$N137)))</f>
        <v>1</v>
      </c>
    </row>
    <row r="18" spans="1:12" ht="9" customHeight="1">
      <c r="A18" s="21" t="s">
        <v>86</v>
      </c>
      <c r="B18" s="120"/>
      <c r="C18" s="42">
        <f t="shared" si="0"/>
        <v>1551</v>
      </c>
      <c r="D18" s="42">
        <f t="shared" si="0"/>
        <v>1329</v>
      </c>
      <c r="E18" s="42">
        <f t="shared" si="0"/>
        <v>1445</v>
      </c>
      <c r="F18" s="42">
        <f t="shared" ref="F18:G18" si="7">SUM(F36+F54)</f>
        <v>1551</v>
      </c>
      <c r="G18" s="44">
        <f t="shared" si="7"/>
        <v>1734</v>
      </c>
      <c r="H18" s="153">
        <f>IF('AW Schüler'!$B120=0,"x",(IF('AW Schüler'!$B138=0,"-",C18/'AW Schüler'!$B138)))</f>
        <v>0.70054200542005418</v>
      </c>
      <c r="I18" s="153">
        <f>IF('AW Schüler'!$E120=0,"x",(IF('AW Schüler'!$E138=0,"-",D18/'AW Schüler'!$E138)))</f>
        <v>0.60436562073669853</v>
      </c>
      <c r="J18" s="153">
        <f>IF('AW Schüler'!$H120=0,"x",(IF('AW Schüler'!$H138=0,"-",E18/'AW Schüler'!$H138)))</f>
        <v>0.60308848080133559</v>
      </c>
      <c r="K18" s="153">
        <f>IF('AW Schüler'!$K120=0,"x",(IF('AW Schüler'!$K138=0,"-",F18/'AW Schüler'!$K138)))</f>
        <v>0.60562280359234677</v>
      </c>
      <c r="L18" s="154">
        <f>IF('AW Schüler'!$N120=0,"x",(IF('AW Schüler'!$N138=0,"-",G18/'AW Schüler'!$N138)))</f>
        <v>0.6020833333333333</v>
      </c>
    </row>
    <row r="19" spans="1:12" ht="9" customHeight="1">
      <c r="A19" s="21" t="s">
        <v>87</v>
      </c>
      <c r="B19" s="120"/>
      <c r="C19" s="42">
        <f t="shared" si="0"/>
        <v>0</v>
      </c>
      <c r="D19" s="42">
        <f t="shared" si="0"/>
        <v>0</v>
      </c>
      <c r="E19" s="42">
        <f t="shared" si="0"/>
        <v>0</v>
      </c>
      <c r="F19" s="42">
        <f t="shared" ref="F19:G19" si="8">SUM(F37+F55)</f>
        <v>0</v>
      </c>
      <c r="G19" s="44">
        <f t="shared" si="8"/>
        <v>0</v>
      </c>
      <c r="H19" s="153" t="str">
        <f>IF('AW Schüler'!$B121=0,"x",(IF('AW Schüler'!$B139=0,"-",C19/'AW Schüler'!$B139)))</f>
        <v>-</v>
      </c>
      <c r="I19" s="153" t="str">
        <f>IF('AW Schüler'!$E121=0,"x",(IF('AW Schüler'!$E139=0,"-",D19/'AW Schüler'!$E139)))</f>
        <v>-</v>
      </c>
      <c r="J19" s="153" t="str">
        <f>IF('AW Schüler'!$H121=0,"x",(IF('AW Schüler'!$H139=0,"-",E19/'AW Schüler'!$H139)))</f>
        <v>-</v>
      </c>
      <c r="K19" s="153" t="str">
        <f>IF('AW Schüler'!$K121=0,"x",(IF('AW Schüler'!$K139=0,"-",F19/'AW Schüler'!$K139)))</f>
        <v>-</v>
      </c>
      <c r="L19" s="154" t="str">
        <f>IF('AW Schüler'!$N121=0,"x",(IF('AW Schüler'!$N139=0,"-",G19/'AW Schüler'!$N139)))</f>
        <v>-</v>
      </c>
    </row>
    <row r="20" spans="1:12" ht="9" customHeight="1">
      <c r="A20" s="21" t="s">
        <v>88</v>
      </c>
      <c r="B20" s="120"/>
      <c r="C20" s="42">
        <f t="shared" si="0"/>
        <v>388</v>
      </c>
      <c r="D20" s="42">
        <f t="shared" si="0"/>
        <v>367</v>
      </c>
      <c r="E20" s="42">
        <f t="shared" si="0"/>
        <v>394</v>
      </c>
      <c r="F20" s="42">
        <f t="shared" ref="F20:G20" si="9">SUM(F38+F56)</f>
        <v>395</v>
      </c>
      <c r="G20" s="44">
        <f t="shared" si="9"/>
        <v>363</v>
      </c>
      <c r="H20" s="153">
        <f>IF('AW Schüler'!$B122=0,"x",(IF('AW Schüler'!$B140=0,"-",C20/'AW Schüler'!$B140)))</f>
        <v>0.88990825688073394</v>
      </c>
      <c r="I20" s="153">
        <f>IF('AW Schüler'!$E122=0,"x",(IF('AW Schüler'!$E140=0,"-",D20/'AW Schüler'!$E140)))</f>
        <v>0.88433734939759034</v>
      </c>
      <c r="J20" s="153">
        <f>IF('AW Schüler'!$H122=0,"x",(IF('AW Schüler'!$H140=0,"-",E20/'AW Schüler'!$H140)))</f>
        <v>1</v>
      </c>
      <c r="K20" s="153">
        <f>IF('AW Schüler'!$K122=0,"x",(IF('AW Schüler'!$K140=0,"-",F20/'AW Schüler'!$K140)))</f>
        <v>1</v>
      </c>
      <c r="L20" s="154">
        <f>IF('AW Schüler'!$N122=0,"x",(IF('AW Schüler'!$N140=0,"-",G20/'AW Schüler'!$N140)))</f>
        <v>1</v>
      </c>
    </row>
    <row r="21" spans="1:12" ht="9" customHeight="1">
      <c r="A21" s="21" t="s">
        <v>89</v>
      </c>
      <c r="B21" s="120"/>
      <c r="C21" s="42">
        <f t="shared" si="0"/>
        <v>0</v>
      </c>
      <c r="D21" s="42">
        <f t="shared" si="0"/>
        <v>68</v>
      </c>
      <c r="E21" s="42">
        <f t="shared" si="0"/>
        <v>290</v>
      </c>
      <c r="F21" s="42">
        <f t="shared" ref="F21:G21" si="10">SUM(F39+F57)</f>
        <v>523</v>
      </c>
      <c r="G21" s="44">
        <f t="shared" si="10"/>
        <v>763</v>
      </c>
      <c r="H21" s="153" t="str">
        <f>IF('AW Schüler'!$B123=0,"x",(IF('AW Schüler'!$B141=0,"-",C21/'AW Schüler'!$B141)))</f>
        <v>-</v>
      </c>
      <c r="I21" s="153">
        <f>IF('AW Schüler'!$E123=0,"x",(IF('AW Schüler'!$E141=0,"-",D21/'AW Schüler'!$E141)))</f>
        <v>1</v>
      </c>
      <c r="J21" s="153">
        <f>IF('AW Schüler'!$H123=0,"x",(IF('AW Schüler'!$H141=0,"-",E21/'AW Schüler'!$H141)))</f>
        <v>0.79670329670329665</v>
      </c>
      <c r="K21" s="153">
        <f>IF('AW Schüler'!$K123=0,"x",(IF('AW Schüler'!$K141=0,"-",F21/'AW Schüler'!$K141)))</f>
        <v>0.78646616541353387</v>
      </c>
      <c r="L21" s="154">
        <f>IF('AW Schüler'!$N123=0,"x",(IF('AW Schüler'!$N141=0,"-",G21/'AW Schüler'!$N141)))</f>
        <v>0.78740970072239425</v>
      </c>
    </row>
    <row r="22" spans="1:12" ht="9" customHeight="1">
      <c r="A22" s="21" t="s">
        <v>90</v>
      </c>
      <c r="B22" s="120"/>
      <c r="C22" s="42">
        <f t="shared" si="0"/>
        <v>0</v>
      </c>
      <c r="D22" s="42">
        <f t="shared" si="0"/>
        <v>0</v>
      </c>
      <c r="E22" s="42">
        <f t="shared" si="0"/>
        <v>0</v>
      </c>
      <c r="F22" s="42">
        <f t="shared" ref="F22:G22" si="11">SUM(F40+F58)</f>
        <v>0</v>
      </c>
      <c r="G22" s="44">
        <f t="shared" si="11"/>
        <v>0</v>
      </c>
      <c r="H22" s="153" t="str">
        <f>IF('AW Schüler'!$B124=0,"x",(IF('AW Schüler'!$B142=0,"-",C22/'AW Schüler'!$B142)))</f>
        <v>-</v>
      </c>
      <c r="I22" s="153" t="str">
        <f>IF('AW Schüler'!$E124=0,"x",(IF('AW Schüler'!$E142=0,"-",D22/'AW Schüler'!$E142)))</f>
        <v>-</v>
      </c>
      <c r="J22" s="153" t="str">
        <f>IF('AW Schüler'!$H124=0,"x",(IF('AW Schüler'!$H142=0,"-",E22/'AW Schüler'!$H142)))</f>
        <v>-</v>
      </c>
      <c r="K22" s="153" t="str">
        <f>IF('AW Schüler'!$K124=0,"x",(IF('AW Schüler'!$K142=0,"-",F22/'AW Schüler'!$K142)))</f>
        <v>-</v>
      </c>
      <c r="L22" s="154" t="str">
        <f>IF('AW Schüler'!$N124=0,"x",(IF('AW Schüler'!$N142=0,"-",G22/'AW Schüler'!$N142)))</f>
        <v>-</v>
      </c>
    </row>
    <row r="23" spans="1:12" ht="9" customHeight="1">
      <c r="A23" s="21" t="s">
        <v>91</v>
      </c>
      <c r="B23" s="120"/>
      <c r="C23" s="42">
        <f t="shared" si="0"/>
        <v>0</v>
      </c>
      <c r="D23" s="42">
        <f t="shared" si="0"/>
        <v>0</v>
      </c>
      <c r="E23" s="42">
        <f t="shared" si="0"/>
        <v>0</v>
      </c>
      <c r="F23" s="42">
        <f t="shared" ref="F23:G23" si="12">SUM(F41+F59)</f>
        <v>0</v>
      </c>
      <c r="G23" s="44">
        <f t="shared" si="12"/>
        <v>0</v>
      </c>
      <c r="H23" s="153" t="str">
        <f>IF('AW Schüler'!$B125=0,"x",(IF('AW Schüler'!$B143=0,"-",C23/'AW Schüler'!$B143)))</f>
        <v>-</v>
      </c>
      <c r="I23" s="153" t="str">
        <f>IF('AW Schüler'!$E125=0,"x",(IF('AW Schüler'!$E143=0,"-",D23/'AW Schüler'!$E143)))</f>
        <v>-</v>
      </c>
      <c r="J23" s="153" t="str">
        <f>IF('AW Schüler'!$H125=0,"x",(IF('AW Schüler'!$H143=0,"-",E23/'AW Schüler'!$H143)))</f>
        <v>-</v>
      </c>
      <c r="K23" s="153" t="str">
        <f>IF('AW Schüler'!$K125=0,"x",(IF('AW Schüler'!$K143=0,"-",F23/'AW Schüler'!$K143)))</f>
        <v>-</v>
      </c>
      <c r="L23" s="154" t="str">
        <f>IF('AW Schüler'!$N125=0,"x",(IF('AW Schüler'!$N143=0,"-",G23/'AW Schüler'!$N143)))</f>
        <v>-</v>
      </c>
    </row>
    <row r="24" spans="1:12" ht="9" customHeight="1">
      <c r="A24" s="21" t="s">
        <v>92</v>
      </c>
      <c r="B24" s="120"/>
      <c r="C24" s="149">
        <f t="shared" si="0"/>
        <v>0</v>
      </c>
      <c r="D24" s="149">
        <f t="shared" si="0"/>
        <v>0</v>
      </c>
      <c r="E24" s="149">
        <f t="shared" si="0"/>
        <v>0</v>
      </c>
      <c r="F24" s="149">
        <f t="shared" ref="F24:G24" si="13">SUM(F42+F60)</f>
        <v>0</v>
      </c>
      <c r="G24" s="150">
        <f t="shared" si="13"/>
        <v>0</v>
      </c>
      <c r="H24" s="153" t="str">
        <f>IF('AW Schüler'!$B126=0,"x",(IF('AW Schüler'!$B144=0,"-",C24/'AW Schüler'!$B144)))</f>
        <v>x</v>
      </c>
      <c r="I24" s="153" t="str">
        <f>IF('AW Schüler'!$E126=0,"x",(IF('AW Schüler'!$E144=0,"-",D24/'AW Schüler'!$E144)))</f>
        <v>x</v>
      </c>
      <c r="J24" s="153" t="str">
        <f>IF('AW Schüler'!$H126=0,"x",(IF('AW Schüler'!$H144=0,"-",E24/'AW Schüler'!$H144)))</f>
        <v>x</v>
      </c>
      <c r="K24" s="153" t="str">
        <f>IF('AW Schüler'!$K126=0,"x",(IF('AW Schüler'!$K144=0,"-",F24/'AW Schüler'!$K144)))</f>
        <v>x</v>
      </c>
      <c r="L24" s="154" t="str">
        <f>IF('AW Schüler'!$N126=0,"x",(IF('AW Schüler'!$N144=0,"-",G24/'AW Schüler'!$N144)))</f>
        <v>x</v>
      </c>
    </row>
    <row r="25" spans="1:12" ht="9" customHeight="1">
      <c r="A25" s="21" t="s">
        <v>93</v>
      </c>
      <c r="B25" s="120"/>
      <c r="C25" s="42">
        <f t="shared" si="0"/>
        <v>0</v>
      </c>
      <c r="D25" s="42">
        <f t="shared" si="0"/>
        <v>0</v>
      </c>
      <c r="E25" s="42">
        <f t="shared" si="0"/>
        <v>0</v>
      </c>
      <c r="F25" s="42">
        <f t="shared" ref="F25:G25" si="14">SUM(F43+F61)</f>
        <v>0</v>
      </c>
      <c r="G25" s="44">
        <f t="shared" si="14"/>
        <v>0</v>
      </c>
      <c r="H25" s="153" t="str">
        <f>IF('AW Schüler'!$B127=0,"x",(IF('AW Schüler'!$B145=0,"-",C25/'AW Schüler'!$B145)))</f>
        <v>-</v>
      </c>
      <c r="I25" s="153" t="str">
        <f>IF('AW Schüler'!$E127=0,"x",(IF('AW Schüler'!$E145=0,"-",D25/'AW Schüler'!$E145)))</f>
        <v>-</v>
      </c>
      <c r="J25" s="153" t="str">
        <f>IF('AW Schüler'!$H127=0,"x",(IF('AW Schüler'!$H145=0,"-",E25/'AW Schüler'!$H145)))</f>
        <v>-</v>
      </c>
      <c r="K25" s="153" t="str">
        <f>IF('AW Schüler'!$K127=0,"x",(IF('AW Schüler'!$K145=0,"-",F25/'AW Schüler'!$K145)))</f>
        <v>-</v>
      </c>
      <c r="L25" s="154" t="str">
        <f>IF('AW Schüler'!$N127=0,"x",(IF('AW Schüler'!$N145=0,"-",G25/'AW Schüler'!$N145)))</f>
        <v>-</v>
      </c>
    </row>
    <row r="26" spans="1:12" ht="9" customHeight="1">
      <c r="A26" s="21" t="s">
        <v>143</v>
      </c>
      <c r="B26" s="120"/>
      <c r="C26" s="42">
        <f t="shared" si="0"/>
        <v>0</v>
      </c>
      <c r="D26" s="42">
        <f t="shared" ref="D26:E26" si="15">SUM(D44+D62)</f>
        <v>0</v>
      </c>
      <c r="E26" s="42">
        <f t="shared" si="15"/>
        <v>0</v>
      </c>
      <c r="F26" s="42">
        <f t="shared" ref="F26:G26" si="16">SUM(F44+F62)</f>
        <v>0</v>
      </c>
      <c r="G26" s="44">
        <f t="shared" si="16"/>
        <v>0</v>
      </c>
      <c r="H26" s="153" t="str">
        <f>IF('AW Schüler'!$B128=0,"x",(IF('AW Schüler'!$B146=0,"-",C26/'AW Schüler'!$B146)))</f>
        <v>-</v>
      </c>
      <c r="I26" s="153" t="str">
        <f>IF('AW Schüler'!$E128=0,"x",(IF('AW Schüler'!$E146=0,"-",D26/'AW Schüler'!$E146)))</f>
        <v>-</v>
      </c>
      <c r="J26" s="153" t="str">
        <f>IF('AW Schüler'!$H128=0,"x",(IF('AW Schüler'!$H146=0,"-",E26/'AW Schüler'!$H146)))</f>
        <v>-</v>
      </c>
      <c r="K26" s="153" t="str">
        <f>IF('AW Schüler'!$K128=0,"x",(IF('AW Schüler'!$K146=0,"-",F26/'AW Schüler'!$K146)))</f>
        <v>-</v>
      </c>
      <c r="L26" s="154" t="str">
        <f>IF('AW Schüler'!$N128=0,"x",(IF('AW Schüler'!$N146=0,"-",G26/'AW Schüler'!$N146)))</f>
        <v>-</v>
      </c>
    </row>
    <row r="27" spans="1:12" ht="9" customHeight="1">
      <c r="A27" s="21" t="s">
        <v>95</v>
      </c>
      <c r="B27" s="120"/>
      <c r="C27" s="42">
        <f t="shared" si="0"/>
        <v>1165</v>
      </c>
      <c r="D27" s="42">
        <f t="shared" si="0"/>
        <v>1356</v>
      </c>
      <c r="E27" s="42">
        <f t="shared" si="0"/>
        <v>1598</v>
      </c>
      <c r="F27" s="42">
        <f t="shared" ref="F27:G27" si="17">SUM(F45+F63)</f>
        <v>1987</v>
      </c>
      <c r="G27" s="44">
        <f t="shared" si="17"/>
        <v>2742</v>
      </c>
      <c r="H27" s="153">
        <f>IF('AW Schüler'!$B129=0,"x",(IF('AW Schüler'!$B147=0,"-",C27/'AW Schüler'!$B147)))</f>
        <v>0.95179738562091498</v>
      </c>
      <c r="I27" s="153">
        <f>IF('AW Schüler'!$E129=0,"x",(IF('AW Schüler'!$E147=0,"-",D27/'AW Schüler'!$E147)))</f>
        <v>0.95560253699788589</v>
      </c>
      <c r="J27" s="153">
        <f>IF('AW Schüler'!$H129=0,"x",(IF('AW Schüler'!$H147=0,"-",E27/'AW Schüler'!$H147)))</f>
        <v>0.94332939787485237</v>
      </c>
      <c r="K27" s="153">
        <f>IF('AW Schüler'!$K129=0,"x",(IF('AW Schüler'!$K147=0,"-",F27/'AW Schüler'!$K147)))</f>
        <v>0.9031818181818182</v>
      </c>
      <c r="L27" s="154">
        <f>IF('AW Schüler'!$N129=0,"x",(IF('AW Schüler'!$N147=0,"-",G27/'AW Schüler'!$N147)))</f>
        <v>0.89990154250082044</v>
      </c>
    </row>
    <row r="28" spans="1:12" ht="9" customHeight="1">
      <c r="A28" s="21" t="s">
        <v>96</v>
      </c>
      <c r="B28" s="120"/>
      <c r="C28" s="42">
        <f t="shared" si="0"/>
        <v>10621</v>
      </c>
      <c r="D28" s="42">
        <f t="shared" si="0"/>
        <v>14512</v>
      </c>
      <c r="E28" s="42">
        <f t="shared" si="0"/>
        <v>19614</v>
      </c>
      <c r="F28" s="42">
        <f t="shared" ref="F28:G28" si="18">SUM(F46+F64)</f>
        <v>25072</v>
      </c>
      <c r="G28" s="44">
        <f t="shared" si="18"/>
        <v>27496</v>
      </c>
      <c r="H28" s="153">
        <f>IF('AW Schüler'!$B130=0,"x",(IF('AW Schüler'!$B148=0,"-",C28/'AW Schüler'!$B148)))</f>
        <v>0.60823502462489976</v>
      </c>
      <c r="I28" s="153">
        <f>IF('AW Schüler'!$E130=0,"x",(IF('AW Schüler'!$E148=0,"-",D28/'AW Schüler'!$E148)))</f>
        <v>0.45743104806934592</v>
      </c>
      <c r="J28" s="153">
        <f>IF('AW Schüler'!$H130=0,"x",(IF('AW Schüler'!$H148=0,"-",E28/'AW Schüler'!$H148)))</f>
        <v>0.41025748290070907</v>
      </c>
      <c r="K28" s="153">
        <f>IF('AW Schüler'!$K130=0,"x",(IF('AW Schüler'!$K148=0,"-",F28/'AW Schüler'!$K148)))</f>
        <v>0.4295872384901393</v>
      </c>
      <c r="L28" s="154">
        <f>IF('AW Schüler'!$N130=0,"x",(IF('AW Schüler'!$N148=0,"-",G28/'AW Schüler'!$N148)))</f>
        <v>0.42501623025319196</v>
      </c>
    </row>
    <row r="29" spans="1:12" ht="12.75" customHeight="1">
      <c r="A29" s="391" t="s">
        <v>105</v>
      </c>
      <c r="B29" s="392"/>
      <c r="C29" s="392"/>
      <c r="D29" s="392"/>
      <c r="E29" s="392"/>
      <c r="F29" s="392"/>
      <c r="G29" s="392"/>
      <c r="H29" s="392"/>
      <c r="I29" s="392"/>
      <c r="J29" s="392"/>
      <c r="K29" s="392"/>
      <c r="L29" s="393"/>
    </row>
    <row r="30" spans="1:12" ht="9" customHeight="1">
      <c r="A30" s="21" t="s">
        <v>172</v>
      </c>
      <c r="B30" s="120"/>
      <c r="C30" s="23">
        <f>[1]GtS!$E$31</f>
        <v>1282</v>
      </c>
      <c r="D30" s="23">
        <f>[2]GtS!$E$33</f>
        <v>1529</v>
      </c>
      <c r="E30" s="23">
        <f>[3]GtS!$E$33</f>
        <v>3573</v>
      </c>
      <c r="F30" s="23">
        <f>[4]GtS!$E$33</f>
        <v>4481</v>
      </c>
      <c r="G30" s="34">
        <f>[5]GtS!$E$33</f>
        <v>4986</v>
      </c>
      <c r="H30" s="155">
        <f>IF('AW Schüler'!$B114=0,"x",(IF('AW Schüler'!$B132=0,"-",C30/'AW Schüler'!$B132)))</f>
        <v>0.1973218408496229</v>
      </c>
      <c r="I30" s="155">
        <f>IF('AW Schüler'!$E114=0,"x",(IF('AW Schüler'!$E132=0,"-",D30/'AW Schüler'!$E132)))</f>
        <v>7.5547210830574626E-2</v>
      </c>
      <c r="J30" s="155">
        <f>IF('AW Schüler'!$H114=0,"x",(IF('AW Schüler'!$H132=0,"-",E30/'AW Schüler'!$H132)))</f>
        <v>0.10118373357498867</v>
      </c>
      <c r="K30" s="155">
        <f>IF('AW Schüler'!$K114=0,"x",(IF('AW Schüler'!$K132=0,"-",F30/'AW Schüler'!$K132)))</f>
        <v>0.10134111314652736</v>
      </c>
      <c r="L30" s="156">
        <f>IF('AW Schüler'!$N114=0,"x",(IF('AW Schüler'!$N132=0,"-",G30/'AW Schüler'!$N132)))</f>
        <v>0.10277657535093686</v>
      </c>
    </row>
    <row r="31" spans="1:12" ht="9" customHeight="1">
      <c r="A31" s="21" t="s">
        <v>81</v>
      </c>
      <c r="B31" s="120"/>
      <c r="C31" s="23">
        <f>[6]GtS!$E$31</f>
        <v>0</v>
      </c>
      <c r="D31" s="23">
        <f>[7]GtS!$E$33</f>
        <v>0</v>
      </c>
      <c r="E31" s="23">
        <f>[8]GtS!$E$33</f>
        <v>0</v>
      </c>
      <c r="F31" s="23" t="str">
        <f>[9]GtS!$E$33</f>
        <v xml:space="preserve">                                      -   </v>
      </c>
      <c r="G31" s="34">
        <f>[10]GtS!$E$33</f>
        <v>0</v>
      </c>
      <c r="H31" s="155" t="str">
        <f>IF('AW Schüler'!$B115=0,"x",(IF('AW Schüler'!$B133=0,"-",C31/'AW Schüler'!$B133)))</f>
        <v>-</v>
      </c>
      <c r="I31" s="155" t="str">
        <f>IF('AW Schüler'!$E115=0,"x",(IF('AW Schüler'!$E133=0,"-",D31/'AW Schüler'!$E133)))</f>
        <v>-</v>
      </c>
      <c r="J31" s="155" t="str">
        <f>IF('AW Schüler'!$H115=0,"x",(IF('AW Schüler'!$H133=0,"-",E31/'AW Schüler'!$H133)))</f>
        <v>-</v>
      </c>
      <c r="K31" s="155" t="str">
        <f>IF('AW Schüler'!$K115=0,"x",(IF('AW Schüler'!$K133=0,"-",F31/'AW Schüler'!$K133)))</f>
        <v>-</v>
      </c>
      <c r="L31" s="156" t="str">
        <f>IF('AW Schüler'!$N115=0,"x",(IF('AW Schüler'!$N133=0,"-",G31/'AW Schüler'!$N133)))</f>
        <v>-</v>
      </c>
    </row>
    <row r="32" spans="1:12" ht="9" customHeight="1">
      <c r="A32" s="21" t="s">
        <v>82</v>
      </c>
      <c r="B32" s="120"/>
      <c r="C32" s="23">
        <f>[11]GtS!$E$31</f>
        <v>1299</v>
      </c>
      <c r="D32" s="23">
        <f>[12]GtS!$E$33</f>
        <v>1924</v>
      </c>
      <c r="E32" s="23">
        <f>[13]GtS!$E$33</f>
        <v>1829</v>
      </c>
      <c r="F32" s="23">
        <f>[14]GtS!$E$33</f>
        <v>2387</v>
      </c>
      <c r="G32" s="34">
        <f>[15]GtS!$E$33</f>
        <v>2166</v>
      </c>
      <c r="H32" s="155">
        <f>IF('AW Schüler'!$B116=0,"x",(IF('AW Schüler'!$B134=0,"-",C32/'AW Schüler'!$B134)))</f>
        <v>0.31506184816880911</v>
      </c>
      <c r="I32" s="155">
        <f>IF('AW Schüler'!$E116=0,"x",(IF('AW Schüler'!$E134=0,"-",D32/'AW Schüler'!$E134)))</f>
        <v>0.47741935483870968</v>
      </c>
      <c r="J32" s="155">
        <f>IF('AW Schüler'!$H116=0,"x",(IF('AW Schüler'!$H134=0,"-",E32/'AW Schüler'!$H134)))</f>
        <v>0.42673821745216983</v>
      </c>
      <c r="K32" s="155">
        <f>IF('AW Schüler'!$K116=0,"x",(IF('AW Schüler'!$K134=0,"-",F32/'AW Schüler'!$K134)))</f>
        <v>0.48241713823767179</v>
      </c>
      <c r="L32" s="156">
        <f>IF('AW Schüler'!$N116=0,"x",(IF('AW Schüler'!$N134=0,"-",G32/'AW Schüler'!$N134)))</f>
        <v>0.40554203332709232</v>
      </c>
    </row>
    <row r="33" spans="1:12" ht="9" customHeight="1">
      <c r="A33" s="21" t="s">
        <v>83</v>
      </c>
      <c r="B33" s="120"/>
      <c r="C33" s="23">
        <f>[16]GtS!$E$31</f>
        <v>0</v>
      </c>
      <c r="D33" s="23">
        <f>[17]GtS!$E$33</f>
        <v>0</v>
      </c>
      <c r="E33" s="23">
        <f>[18]GtS!$E$33</f>
        <v>0</v>
      </c>
      <c r="F33" s="23">
        <f>[19]GtS!$E$33</f>
        <v>0</v>
      </c>
      <c r="G33" s="34">
        <f>[20]GtS!$E$33</f>
        <v>0</v>
      </c>
      <c r="H33" s="155">
        <f>IF('AW Schüler'!$B117=0,"x",(IF('AW Schüler'!$B135=0,"-",C33/'AW Schüler'!$B135)))</f>
        <v>0</v>
      </c>
      <c r="I33" s="155">
        <f>IF('AW Schüler'!$E117=0,"x",(IF('AW Schüler'!$E135=0,"-",D33/'AW Schüler'!$E135)))</f>
        <v>0</v>
      </c>
      <c r="J33" s="155">
        <f>IF('AW Schüler'!$H117=0,"x",(IF('AW Schüler'!$H135=0,"-",E33/'AW Schüler'!$H135)))</f>
        <v>0</v>
      </c>
      <c r="K33" s="155">
        <f>IF('AW Schüler'!$K117=0,"x",(IF('AW Schüler'!$K135=0,"-",F33/'AW Schüler'!$K135)))</f>
        <v>0</v>
      </c>
      <c r="L33" s="156">
        <f>IF('AW Schüler'!$N117=0,"x",(IF('AW Schüler'!$N135=0,"-",G33/'AW Schüler'!$N135)))</f>
        <v>0</v>
      </c>
    </row>
    <row r="34" spans="1:12" ht="9" customHeight="1">
      <c r="A34" s="21" t="s">
        <v>84</v>
      </c>
      <c r="B34" s="120"/>
      <c r="C34" s="23">
        <f>[21]GtS!$E$31</f>
        <v>0</v>
      </c>
      <c r="D34" s="23">
        <f>[22]GtS!$E$33</f>
        <v>0</v>
      </c>
      <c r="E34" s="23">
        <f>[23]GtS!$E$33</f>
        <v>0</v>
      </c>
      <c r="F34" s="23">
        <f>[24]GtS!$E$33</f>
        <v>0</v>
      </c>
      <c r="G34" s="34">
        <f>[25]GtS!$E$33</f>
        <v>0</v>
      </c>
      <c r="H34" s="155" t="str">
        <f>IF('AW Schüler'!$B118=0,"x",(IF('AW Schüler'!$B136=0,"-",C34/'AW Schüler'!$B136)))</f>
        <v>-</v>
      </c>
      <c r="I34" s="155" t="str">
        <f>IF('AW Schüler'!$E118=0,"x",(IF('AW Schüler'!$E136=0,"-",D34/'AW Schüler'!$E136)))</f>
        <v>-</v>
      </c>
      <c r="J34" s="155" t="str">
        <f>IF('AW Schüler'!$H118=0,"x",(IF('AW Schüler'!$H136=0,"-",E34/'AW Schüler'!$H136)))</f>
        <v>-</v>
      </c>
      <c r="K34" s="155" t="str">
        <f>IF('AW Schüler'!$K118=0,"x",(IF('AW Schüler'!$K136=0,"-",F34/'AW Schüler'!$K136)))</f>
        <v>-</v>
      </c>
      <c r="L34" s="156" t="str">
        <f>IF('AW Schüler'!$N118=0,"x",(IF('AW Schüler'!$N136=0,"-",G34/'AW Schüler'!$N136)))</f>
        <v>-</v>
      </c>
    </row>
    <row r="35" spans="1:12" ht="9" customHeight="1">
      <c r="A35" s="21" t="s">
        <v>85</v>
      </c>
      <c r="B35" s="120"/>
      <c r="C35" s="23">
        <f>[26]GtS!$E$31</f>
        <v>1228</v>
      </c>
      <c r="D35" s="23">
        <f>[27]GtS!$E$33</f>
        <v>2182</v>
      </c>
      <c r="E35" s="23">
        <f>[28]GtS!$E$33</f>
        <v>1957</v>
      </c>
      <c r="F35" s="23">
        <f>[29]GtS!$E$33</f>
        <v>1932</v>
      </c>
      <c r="G35" s="34">
        <f>[30]GtS!$E$33</f>
        <v>1981</v>
      </c>
      <c r="H35" s="155">
        <f>IF('AW Schüler'!$B119=0,"x",(IF('AW Schüler'!$B137=0,"-",C35/'AW Schüler'!$B137)))</f>
        <v>0.44932308818148553</v>
      </c>
      <c r="I35" s="155">
        <f>IF('AW Schüler'!$E119=0,"x",(IF('AW Schüler'!$E137=0,"-",D35/'AW Schüler'!$E137)))</f>
        <v>0.70048154093097914</v>
      </c>
      <c r="J35" s="155">
        <f>IF('AW Schüler'!$H119=0,"x",(IF('AW Schüler'!$H137=0,"-",E35/'AW Schüler'!$H137)))</f>
        <v>0.63067998710924911</v>
      </c>
      <c r="K35" s="155">
        <f>IF('AW Schüler'!$K119=0,"x",(IF('AW Schüler'!$K137=0,"-",F35/'AW Schüler'!$K137)))</f>
        <v>0.62102217936354864</v>
      </c>
      <c r="L35" s="156">
        <f>IF('AW Schüler'!$N119=0,"x",(IF('AW Schüler'!$N137=0,"-",G35/'AW Schüler'!$N137)))</f>
        <v>0.63209955328653478</v>
      </c>
    </row>
    <row r="36" spans="1:12" ht="9" customHeight="1">
      <c r="A36" s="21" t="s">
        <v>86</v>
      </c>
      <c r="B36" s="120"/>
      <c r="C36" s="23">
        <f>[66]GtS!$E$31</f>
        <v>420</v>
      </c>
      <c r="D36" s="23">
        <f>[67]GtS!$E$33</f>
        <v>407</v>
      </c>
      <c r="E36" s="23">
        <f>[68]GtS!$E$33</f>
        <v>191</v>
      </c>
      <c r="F36" s="23">
        <f>[69]GtS!$E$33</f>
        <v>192</v>
      </c>
      <c r="G36" s="34">
        <f>[70]GtS!$E$33</f>
        <v>190</v>
      </c>
      <c r="H36" s="155">
        <f>IF('AW Schüler'!$B120=0,"x",(IF('AW Schüler'!$B138=0,"-",C36/'AW Schüler'!$B138)))</f>
        <v>0.18970189701897019</v>
      </c>
      <c r="I36" s="155">
        <f>IF('AW Schüler'!$E120=0,"x",(IF('AW Schüler'!$E138=0,"-",D36/'AW Schüler'!$E138)))</f>
        <v>0.18508412914961347</v>
      </c>
      <c r="J36" s="155">
        <f>IF('AW Schüler'!$H120=0,"x",(IF('AW Schüler'!$H138=0,"-",E36/'AW Schüler'!$H138)))</f>
        <v>7.971619365609349E-2</v>
      </c>
      <c r="K36" s="155">
        <f>IF('AW Schüler'!$K120=0,"x",(IF('AW Schüler'!$K138=0,"-",F36/'AW Schüler'!$K138)))</f>
        <v>7.4970714564623189E-2</v>
      </c>
      <c r="L36" s="156">
        <f>IF('AW Schüler'!$N120=0,"x",(IF('AW Schüler'!$N138=0,"-",G36/'AW Schüler'!$N138)))</f>
        <v>6.5972222222222224E-2</v>
      </c>
    </row>
    <row r="37" spans="1:12" ht="9" customHeight="1">
      <c r="A37" s="21" t="s">
        <v>87</v>
      </c>
      <c r="B37" s="120"/>
      <c r="C37" s="23">
        <f>[31]GtS!$E$31</f>
        <v>0</v>
      </c>
      <c r="D37" s="23">
        <f>[32]GtS!$E$33</f>
        <v>0</v>
      </c>
      <c r="E37" s="23">
        <f>[33]GtS!$E$33</f>
        <v>0</v>
      </c>
      <c r="F37" s="23">
        <f>[34]GtS!$E$33</f>
        <v>0</v>
      </c>
      <c r="G37" s="34">
        <f>[35]GtS!$E$33</f>
        <v>0</v>
      </c>
      <c r="H37" s="155" t="str">
        <f>IF('AW Schüler'!$B121=0,"x",(IF('AW Schüler'!$B139=0,"-",C37/'AW Schüler'!$B139)))</f>
        <v>-</v>
      </c>
      <c r="I37" s="155" t="str">
        <f>IF('AW Schüler'!$E121=0,"x",(IF('AW Schüler'!$E139=0,"-",D37/'AW Schüler'!$E139)))</f>
        <v>-</v>
      </c>
      <c r="J37" s="155" t="str">
        <f>IF('AW Schüler'!$H121=0,"x",(IF('AW Schüler'!$H139=0,"-",E37/'AW Schüler'!$H139)))</f>
        <v>-</v>
      </c>
      <c r="K37" s="155" t="str">
        <f>IF('AW Schüler'!$K121=0,"x",(IF('AW Schüler'!$K139=0,"-",F37/'AW Schüler'!$K139)))</f>
        <v>-</v>
      </c>
      <c r="L37" s="156" t="str">
        <f>IF('AW Schüler'!$N121=0,"x",(IF('AW Schüler'!$N139=0,"-",G37/'AW Schüler'!$N139)))</f>
        <v>-</v>
      </c>
    </row>
    <row r="38" spans="1:12" ht="9" customHeight="1">
      <c r="A38" s="21" t="s">
        <v>88</v>
      </c>
      <c r="B38" s="120"/>
      <c r="C38" s="23">
        <f>[71]GtS!$E$31</f>
        <v>388</v>
      </c>
      <c r="D38" s="23">
        <f>[72]GtS!$E$33</f>
        <v>367</v>
      </c>
      <c r="E38" s="23">
        <f>[73]GtS!$E$33</f>
        <v>394</v>
      </c>
      <c r="F38" s="23">
        <f>[74]GtS!$E$33</f>
        <v>395</v>
      </c>
      <c r="G38" s="34">
        <f>[75]GtS!$E$33</f>
        <v>363</v>
      </c>
      <c r="H38" s="155">
        <f>IF('AW Schüler'!$B122=0,"x",(IF('AW Schüler'!$B140=0,"-",C38/'AW Schüler'!$B140)))</f>
        <v>0.88990825688073394</v>
      </c>
      <c r="I38" s="155">
        <f>IF('AW Schüler'!$E122=0,"x",(IF('AW Schüler'!$E140=0,"-",D38/'AW Schüler'!$E140)))</f>
        <v>0.88433734939759034</v>
      </c>
      <c r="J38" s="155">
        <f>IF('AW Schüler'!$H122=0,"x",(IF('AW Schüler'!$H140=0,"-",E38/'AW Schüler'!$H140)))</f>
        <v>1</v>
      </c>
      <c r="K38" s="155">
        <f>IF('AW Schüler'!$K122=0,"x",(IF('AW Schüler'!$K140=0,"-",F38/'AW Schüler'!$K140)))</f>
        <v>1</v>
      </c>
      <c r="L38" s="156">
        <f>IF('AW Schüler'!$N122=0,"x",(IF('AW Schüler'!$N140=0,"-",G38/'AW Schüler'!$N140)))</f>
        <v>1</v>
      </c>
    </row>
    <row r="39" spans="1:12" ht="9" customHeight="1">
      <c r="A39" s="21" t="s">
        <v>89</v>
      </c>
      <c r="B39" s="120"/>
      <c r="C39" s="23">
        <f>[36]GtS!$E$31</f>
        <v>0</v>
      </c>
      <c r="D39" s="23">
        <f>[37]GtS!$E$33</f>
        <v>0</v>
      </c>
      <c r="E39" s="23">
        <f>[38]GtS!$E$33</f>
        <v>1</v>
      </c>
      <c r="F39" s="23">
        <f>[39]GtS!$E$33</f>
        <v>110</v>
      </c>
      <c r="G39" s="34">
        <f>[40]GtS!$E$33</f>
        <v>229</v>
      </c>
      <c r="H39" s="155" t="str">
        <f>IF('AW Schüler'!$B123=0,"x",(IF('AW Schüler'!$B141=0,"-",C39/'AW Schüler'!$B141)))</f>
        <v>-</v>
      </c>
      <c r="I39" s="155">
        <f>IF('AW Schüler'!$E123=0,"x",(IF('AW Schüler'!$E141=0,"-",D39/'AW Schüler'!$E141)))</f>
        <v>0</v>
      </c>
      <c r="J39" s="155">
        <f>IF('AW Schüler'!$H123=0,"x",(IF('AW Schüler'!$H141=0,"-",E39/'AW Schüler'!$H141)))</f>
        <v>2.7472527472527475E-3</v>
      </c>
      <c r="K39" s="155">
        <f>IF('AW Schüler'!$K123=0,"x",(IF('AW Schüler'!$K141=0,"-",F39/'AW Schüler'!$K141)))</f>
        <v>0.16541353383458646</v>
      </c>
      <c r="L39" s="156">
        <f>IF('AW Schüler'!$N123=0,"x",(IF('AW Schüler'!$N141=0,"-",G39/'AW Schüler'!$N141)))</f>
        <v>0.23632610939112486</v>
      </c>
    </row>
    <row r="40" spans="1:12" ht="9" customHeight="1">
      <c r="A40" s="21" t="s">
        <v>90</v>
      </c>
      <c r="B40" s="120"/>
      <c r="C40" s="23">
        <f>[41]GtS!$E$31</f>
        <v>0</v>
      </c>
      <c r="D40" s="23">
        <f>[42]GtS!$E$33</f>
        <v>0</v>
      </c>
      <c r="E40" s="23">
        <f>[43]GtS!$E$33</f>
        <v>0</v>
      </c>
      <c r="F40" s="23">
        <f>[44]GtS!$E$33</f>
        <v>0</v>
      </c>
      <c r="G40" s="34">
        <f>[45]GtS!$E$33</f>
        <v>0</v>
      </c>
      <c r="H40" s="155" t="str">
        <f>IF('AW Schüler'!$B124=0,"x",(IF('AW Schüler'!$B142=0,"-",C40/'AW Schüler'!$B142)))</f>
        <v>-</v>
      </c>
      <c r="I40" s="155" t="str">
        <f>IF('AW Schüler'!$E124=0,"x",(IF('AW Schüler'!$E142=0,"-",D40/'AW Schüler'!$E142)))</f>
        <v>-</v>
      </c>
      <c r="J40" s="155" t="str">
        <f>IF('AW Schüler'!$H124=0,"x",(IF('AW Schüler'!$H142=0,"-",E40/'AW Schüler'!$H142)))</f>
        <v>-</v>
      </c>
      <c r="K40" s="155" t="str">
        <f>IF('AW Schüler'!$K124=0,"x",(IF('AW Schüler'!$K142=0,"-",F40/'AW Schüler'!$K142)))</f>
        <v>-</v>
      </c>
      <c r="L40" s="156" t="str">
        <f>IF('AW Schüler'!$N124=0,"x",(IF('AW Schüler'!$N142=0,"-",G40/'AW Schüler'!$N142)))</f>
        <v>-</v>
      </c>
    </row>
    <row r="41" spans="1:12" ht="9" customHeight="1">
      <c r="A41" s="21" t="s">
        <v>91</v>
      </c>
      <c r="B41" s="120"/>
      <c r="C41" s="23">
        <f>[46]GtS!$E$31</f>
        <v>0</v>
      </c>
      <c r="D41" s="23">
        <f>[47]GtS!$E$33</f>
        <v>0</v>
      </c>
      <c r="E41" s="23">
        <f>[48]GtS!$E$33</f>
        <v>0</v>
      </c>
      <c r="F41" s="23">
        <f>[49]GtS!$E$33</f>
        <v>0</v>
      </c>
      <c r="G41" s="34">
        <f>[50]GtS!$E$33</f>
        <v>0</v>
      </c>
      <c r="H41" s="155" t="str">
        <f>IF('AW Schüler'!$B125=0,"x",(IF('AW Schüler'!$B143=0,"-",C41/'AW Schüler'!$B143)))</f>
        <v>-</v>
      </c>
      <c r="I41" s="155" t="str">
        <f>IF('AW Schüler'!$E125=0,"x",(IF('AW Schüler'!$E143=0,"-",D41/'AW Schüler'!$E143)))</f>
        <v>-</v>
      </c>
      <c r="J41" s="155" t="str">
        <f>IF('AW Schüler'!$H125=0,"x",(IF('AW Schüler'!$H143=0,"-",E41/'AW Schüler'!$H143)))</f>
        <v>-</v>
      </c>
      <c r="K41" s="155" t="str">
        <f>IF('AW Schüler'!$K125=0,"x",(IF('AW Schüler'!$K143=0,"-",F41/'AW Schüler'!$K143)))</f>
        <v>-</v>
      </c>
      <c r="L41" s="156" t="str">
        <f>IF('AW Schüler'!$N125=0,"x",(IF('AW Schüler'!$N143=0,"-",G41/'AW Schüler'!$N143)))</f>
        <v>-</v>
      </c>
    </row>
    <row r="42" spans="1:12" ht="9" customHeight="1">
      <c r="A42" s="21" t="s">
        <v>92</v>
      </c>
      <c r="B42" s="120"/>
      <c r="C42" s="151">
        <f>[51]GtS!$E$31</f>
        <v>0</v>
      </c>
      <c r="D42" s="151">
        <f>[52]GtS!$E$33</f>
        <v>0</v>
      </c>
      <c r="E42" s="151">
        <f>[53]GtS!$E$33</f>
        <v>0</v>
      </c>
      <c r="F42" s="151">
        <f>[54]GtS!$E$33</f>
        <v>0</v>
      </c>
      <c r="G42" s="152">
        <f>[55]GtS!$E$33</f>
        <v>0</v>
      </c>
      <c r="H42" s="155" t="str">
        <f>IF('AW Schüler'!$B126=0,"x",(IF('AW Schüler'!$B144=0,"-",C42/'AW Schüler'!$B144)))</f>
        <v>x</v>
      </c>
      <c r="I42" s="155" t="str">
        <f>IF('AW Schüler'!$E126=0,"x",(IF('AW Schüler'!$E144=0,"-",D42/'AW Schüler'!$E144)))</f>
        <v>x</v>
      </c>
      <c r="J42" s="155" t="str">
        <f>IF('AW Schüler'!$H126=0,"x",(IF('AW Schüler'!$H144=0,"-",E42/'AW Schüler'!$H144)))</f>
        <v>x</v>
      </c>
      <c r="K42" s="155" t="str">
        <f>IF('AW Schüler'!$K126=0,"x",(IF('AW Schüler'!$K144=0,"-",F42/'AW Schüler'!$K144)))</f>
        <v>x</v>
      </c>
      <c r="L42" s="156" t="str">
        <f>IF('AW Schüler'!$N126=0,"x",(IF('AW Schüler'!$N144=0,"-",G42/'AW Schüler'!$N144)))</f>
        <v>x</v>
      </c>
    </row>
    <row r="43" spans="1:12" ht="9" customHeight="1">
      <c r="A43" s="21" t="s">
        <v>93</v>
      </c>
      <c r="B43" s="120"/>
      <c r="C43" s="23">
        <f>[76]GtS!$E$31</f>
        <v>0</v>
      </c>
      <c r="D43" s="23">
        <f>[77]GtS!$E$33</f>
        <v>0</v>
      </c>
      <c r="E43" s="23">
        <f>[78]GtS!$E$33</f>
        <v>0</v>
      </c>
      <c r="F43" s="23">
        <f>[79]GtS!$E$33</f>
        <v>0</v>
      </c>
      <c r="G43" s="34">
        <f>[80]GtS!$E$33</f>
        <v>0</v>
      </c>
      <c r="H43" s="155" t="str">
        <f>IF('AW Schüler'!$B127=0,"x",(IF('AW Schüler'!$B145=0,"-",C43/'AW Schüler'!$B145)))</f>
        <v>-</v>
      </c>
      <c r="I43" s="155" t="str">
        <f>IF('AW Schüler'!$E127=0,"x",(IF('AW Schüler'!$E145=0,"-",D43/'AW Schüler'!$E145)))</f>
        <v>-</v>
      </c>
      <c r="J43" s="155" t="str">
        <f>IF('AW Schüler'!$H127=0,"x",(IF('AW Schüler'!$H145=0,"-",E43/'AW Schüler'!$H145)))</f>
        <v>-</v>
      </c>
      <c r="K43" s="155" t="str">
        <f>IF('AW Schüler'!$K127=0,"x",(IF('AW Schüler'!$K145=0,"-",F43/'AW Schüler'!$K145)))</f>
        <v>-</v>
      </c>
      <c r="L43" s="156" t="str">
        <f>IF('AW Schüler'!$N127=0,"x",(IF('AW Schüler'!$N145=0,"-",G43/'AW Schüler'!$N145)))</f>
        <v>-</v>
      </c>
    </row>
    <row r="44" spans="1:12" ht="9" customHeight="1">
      <c r="A44" s="21" t="s">
        <v>143</v>
      </c>
      <c r="B44" s="120"/>
      <c r="C44" s="23">
        <f>[56]GtS!$E$31</f>
        <v>0</v>
      </c>
      <c r="D44" s="23">
        <f>[57]GtS!$E$33</f>
        <v>0</v>
      </c>
      <c r="E44" s="23">
        <f>[58]GtS!$E$33</f>
        <v>0</v>
      </c>
      <c r="F44" s="23">
        <f>[59]GtS!$E$33</f>
        <v>0</v>
      </c>
      <c r="G44" s="34">
        <f>[60]GtS!$E$33</f>
        <v>0</v>
      </c>
      <c r="H44" s="155" t="str">
        <f>IF('AW Schüler'!$B128=0,"x",(IF('AW Schüler'!$B146=0,"-",C44/'AW Schüler'!$B146)))</f>
        <v>-</v>
      </c>
      <c r="I44" s="155" t="str">
        <f>IF('AW Schüler'!$E128=0,"x",(IF('AW Schüler'!$E146=0,"-",D44/'AW Schüler'!$E146)))</f>
        <v>-</v>
      </c>
      <c r="J44" s="155" t="str">
        <f>IF('AW Schüler'!$H128=0,"x",(IF('AW Schüler'!$H146=0,"-",E44/'AW Schüler'!$H146)))</f>
        <v>-</v>
      </c>
      <c r="K44" s="155" t="str">
        <f>IF('AW Schüler'!$K128=0,"x",(IF('AW Schüler'!$K146=0,"-",F44/'AW Schüler'!$K146)))</f>
        <v>-</v>
      </c>
      <c r="L44" s="156" t="str">
        <f>IF('AW Schüler'!$N128=0,"x",(IF('AW Schüler'!$N146=0,"-",G44/'AW Schüler'!$N146)))</f>
        <v>-</v>
      </c>
    </row>
    <row r="45" spans="1:12" ht="9" customHeight="1">
      <c r="A45" s="21" t="s">
        <v>95</v>
      </c>
      <c r="B45" s="120"/>
      <c r="C45" s="23">
        <f>[61]GtS!$E$31</f>
        <v>424</v>
      </c>
      <c r="D45" s="23">
        <f>[62]GtS!$E$33</f>
        <v>490</v>
      </c>
      <c r="E45" s="23">
        <f>[63]GtS!$E$33</f>
        <v>544</v>
      </c>
      <c r="F45" s="23">
        <f>[64]GtS!$E$33</f>
        <v>941</v>
      </c>
      <c r="G45" s="34">
        <f>[65]GtS!$E$33</f>
        <v>927</v>
      </c>
      <c r="H45" s="155">
        <f>IF('AW Schüler'!$B129=0,"x",(IF('AW Schüler'!$B147=0,"-",C45/'AW Schüler'!$B147)))</f>
        <v>0.34640522875816993</v>
      </c>
      <c r="I45" s="155">
        <f>IF('AW Schüler'!$E129=0,"x",(IF('AW Schüler'!$E147=0,"-",D45/'AW Schüler'!$E147)))</f>
        <v>0.3453136011275546</v>
      </c>
      <c r="J45" s="155">
        <f>IF('AW Schüler'!$H129=0,"x",(IF('AW Schüler'!$H147=0,"-",E45/'AW Schüler'!$H147)))</f>
        <v>0.32113341204250295</v>
      </c>
      <c r="K45" s="155">
        <f>IF('AW Schüler'!$K129=0,"x",(IF('AW Schüler'!$K147=0,"-",F45/'AW Schüler'!$K147)))</f>
        <v>0.42772727272727273</v>
      </c>
      <c r="L45" s="156">
        <f>IF('AW Schüler'!$N129=0,"x",(IF('AW Schüler'!$N147=0,"-",G45/'AW Schüler'!$N147)))</f>
        <v>0.30423367246471938</v>
      </c>
    </row>
    <row r="46" spans="1:12" ht="9" customHeight="1">
      <c r="A46" s="21" t="s">
        <v>96</v>
      </c>
      <c r="B46" s="120"/>
      <c r="C46" s="23">
        <f>SUM(C30:C45)</f>
        <v>5041</v>
      </c>
      <c r="D46" s="23">
        <f>SUM(D30:D45)</f>
        <v>6899</v>
      </c>
      <c r="E46" s="23">
        <f>SUM(E30:E45)</f>
        <v>8489</v>
      </c>
      <c r="F46" s="23">
        <f>SUM(F30:F45)</f>
        <v>10438</v>
      </c>
      <c r="G46" s="34">
        <f>SUM(G30:G45)</f>
        <v>10842</v>
      </c>
      <c r="H46" s="155">
        <f>IF('AW Schüler'!$B130=0,"x",(IF('AW Schüler'!$B148=0,"-",C46/'AW Schüler'!$B148)))</f>
        <v>0.28868399954186236</v>
      </c>
      <c r="I46" s="155">
        <f>IF('AW Schüler'!$E130=0,"x",(IF('AW Schüler'!$E148=0,"-",D46/'AW Schüler'!$E148)))</f>
        <v>0.21746256895193064</v>
      </c>
      <c r="J46" s="155">
        <f>IF('AW Schüler'!$H130=0,"x",(IF('AW Schüler'!$H148=0,"-",E46/'AW Schüler'!$H148)))</f>
        <v>0.17756071032650755</v>
      </c>
      <c r="K46" s="155">
        <f>IF('AW Schüler'!$K130=0,"x",(IF('AW Schüler'!$K148=0,"-",F46/'AW Schüler'!$K148)))</f>
        <v>0.17884618679642925</v>
      </c>
      <c r="L46" s="156">
        <f>IF('AW Schüler'!$N130=0,"x",(IF('AW Schüler'!$N148=0,"-",G46/'AW Schüler'!$N148)))</f>
        <v>0.16758895724487588</v>
      </c>
    </row>
    <row r="47" spans="1:12" ht="12.75" customHeight="1">
      <c r="A47" s="391" t="s">
        <v>100</v>
      </c>
      <c r="B47" s="392"/>
      <c r="C47" s="392"/>
      <c r="D47" s="392"/>
      <c r="E47" s="392"/>
      <c r="F47" s="392"/>
      <c r="G47" s="392"/>
      <c r="H47" s="392"/>
      <c r="I47" s="392"/>
      <c r="J47" s="392"/>
      <c r="K47" s="392"/>
      <c r="L47" s="393"/>
    </row>
    <row r="48" spans="1:12" ht="9" customHeight="1">
      <c r="A48" s="21" t="s">
        <v>172</v>
      </c>
      <c r="B48" s="120"/>
      <c r="C48" s="23">
        <f>[1]GtS!$H$31</f>
        <v>749</v>
      </c>
      <c r="D48" s="23">
        <f>[2]GtS!$H$33</f>
        <v>3435</v>
      </c>
      <c r="E48" s="23">
        <f>[3]GtS!$H$33</f>
        <v>5680</v>
      </c>
      <c r="F48" s="23">
        <f>[4]GtS!$H$33</f>
        <v>8224</v>
      </c>
      <c r="G48" s="34">
        <f>[5]GtS!$H$33</f>
        <v>8885</v>
      </c>
      <c r="H48" s="155">
        <f>IF('AW Schüler'!$B114=0,"x",(IF('AW Schüler'!$B132=0,"-",C48/'AW Schüler'!$B132)))</f>
        <v>0.1152839772202555</v>
      </c>
      <c r="I48" s="155">
        <f>IF('AW Schüler'!$E114=0,"x",(IF('AW Schüler'!$E132=0,"-",D48/'AW Schüler'!$E132)))</f>
        <v>0.16972182420080043</v>
      </c>
      <c r="J48" s="155">
        <f>IF('AW Schüler'!$H114=0,"x",(IF('AW Schüler'!$H132=0,"-",E48/'AW Schüler'!$H132)))</f>
        <v>0.16085183507023107</v>
      </c>
      <c r="K48" s="155">
        <f>IF('AW Schüler'!$K114=0,"x",(IF('AW Schüler'!$K132=0,"-",F48/'AW Schüler'!$K132)))</f>
        <v>0.18599181310355745</v>
      </c>
      <c r="L48" s="156">
        <f>IF('AW Schüler'!$N114=0,"x",(IF('AW Schüler'!$N132=0,"-",G48/'AW Schüler'!$N132)))</f>
        <v>0.18314678539772844</v>
      </c>
    </row>
    <row r="49" spans="1:12" ht="9" customHeight="1">
      <c r="A49" s="21" t="s">
        <v>81</v>
      </c>
      <c r="B49" s="120"/>
      <c r="C49" s="23">
        <f>[6]GtS!$H$31</f>
        <v>0</v>
      </c>
      <c r="D49" s="23">
        <f>[7]GtS!$H$33</f>
        <v>0</v>
      </c>
      <c r="E49" s="23">
        <f>[8]GtS!$H$33</f>
        <v>0</v>
      </c>
      <c r="F49" s="23" t="str">
        <f>[9]GtS!$H$33</f>
        <v xml:space="preserve">                                      -   </v>
      </c>
      <c r="G49" s="34">
        <f>[10]GtS!$H$33</f>
        <v>0</v>
      </c>
      <c r="H49" s="155" t="str">
        <f>IF('AW Schüler'!$B115=0,"x",(IF('AW Schüler'!$B133=0,"-",C49/'AW Schüler'!$B133)))</f>
        <v>-</v>
      </c>
      <c r="I49" s="155" t="str">
        <f>IF('AW Schüler'!$E115=0,"x",(IF('AW Schüler'!$E133=0,"-",D49/'AW Schüler'!$E133)))</f>
        <v>-</v>
      </c>
      <c r="J49" s="155" t="str">
        <f>IF('AW Schüler'!$H115=0,"x",(IF('AW Schüler'!$H133=0,"-",E49/'AW Schüler'!$H133)))</f>
        <v>-</v>
      </c>
      <c r="K49" s="155" t="str">
        <f>IF('AW Schüler'!$K115=0,"x",(IF('AW Schüler'!$K133=0,"-",F49/'AW Schüler'!$K133)))</f>
        <v>-</v>
      </c>
      <c r="L49" s="156" t="str">
        <f>IF('AW Schüler'!$N115=0,"x",(IF('AW Schüler'!$N133=0,"-",G49/'AW Schüler'!$N133)))</f>
        <v>-</v>
      </c>
    </row>
    <row r="50" spans="1:12" ht="9" customHeight="1">
      <c r="A50" s="21" t="s">
        <v>82</v>
      </c>
      <c r="B50" s="120"/>
      <c r="C50" s="23">
        <f>[11]GtS!$H$31</f>
        <v>2131</v>
      </c>
      <c r="D50" s="23">
        <f>[12]GtS!$H$33</f>
        <v>1632</v>
      </c>
      <c r="E50" s="23">
        <f>[13]GtS!$H$33</f>
        <v>1967</v>
      </c>
      <c r="F50" s="23">
        <f>[14]GtS!$H$33</f>
        <v>2284</v>
      </c>
      <c r="G50" s="34">
        <f>[15]GtS!$H$33</f>
        <v>2458</v>
      </c>
      <c r="H50" s="155">
        <f>IF('AW Schüler'!$B116=0,"x",(IF('AW Schüler'!$B134=0,"-",C50/'AW Schüler'!$B134)))</f>
        <v>0.5168566577734659</v>
      </c>
      <c r="I50" s="155">
        <f>IF('AW Schüler'!$E116=0,"x",(IF('AW Schüler'!$E134=0,"-",D50/'AW Schüler'!$E134)))</f>
        <v>0.40496277915632756</v>
      </c>
      <c r="J50" s="155">
        <f>IF('AW Schüler'!$H116=0,"x",(IF('AW Schüler'!$H134=0,"-",E50/'AW Schüler'!$H134)))</f>
        <v>0.45893607092860478</v>
      </c>
      <c r="K50" s="155">
        <f>IF('AW Schüler'!$K116=0,"x",(IF('AW Schüler'!$K134=0,"-",F50/'AW Schüler'!$K134)))</f>
        <v>0.46160064672594986</v>
      </c>
      <c r="L50" s="156">
        <f>IF('AW Schüler'!$N116=0,"x",(IF('AW Schüler'!$N134=0,"-",G50/'AW Schüler'!$N134)))</f>
        <v>0.46021344317543533</v>
      </c>
    </row>
    <row r="51" spans="1:12" ht="9" customHeight="1">
      <c r="A51" s="21" t="s">
        <v>83</v>
      </c>
      <c r="B51" s="120"/>
      <c r="C51" s="23">
        <f>[16]GtS!$H$31</f>
        <v>103</v>
      </c>
      <c r="D51" s="23">
        <f>[17]GtS!$H$33</f>
        <v>108</v>
      </c>
      <c r="E51" s="23">
        <f>[18]GtS!$H$33</f>
        <v>122</v>
      </c>
      <c r="F51" s="23">
        <f>[19]GtS!$H$33</f>
        <v>129</v>
      </c>
      <c r="G51" s="34">
        <f>[20]GtS!$H$33</f>
        <v>265</v>
      </c>
      <c r="H51" s="155">
        <f>IF('AW Schüler'!$B117=0,"x",(IF('AW Schüler'!$B135=0,"-",C51/'AW Schüler'!$B135)))</f>
        <v>0.43829787234042555</v>
      </c>
      <c r="I51" s="155">
        <f>IF('AW Schüler'!$E117=0,"x",(IF('AW Schüler'!$E135=0,"-",D51/'AW Schüler'!$E135)))</f>
        <v>0.45</v>
      </c>
      <c r="J51" s="155">
        <f>IF('AW Schüler'!$H117=0,"x",(IF('AW Schüler'!$H135=0,"-",E51/'AW Schüler'!$H135)))</f>
        <v>0.46923076923076923</v>
      </c>
      <c r="K51" s="155">
        <f>IF('AW Schüler'!$K117=0,"x",(IF('AW Schüler'!$K135=0,"-",F51/'AW Schüler'!$K135)))</f>
        <v>0.48496240601503759</v>
      </c>
      <c r="L51" s="156">
        <f>IF('AW Schüler'!$N117=0,"x",(IF('AW Schüler'!$N135=0,"-",G51/'AW Schüler'!$N135)))</f>
        <v>0.59284116331096193</v>
      </c>
    </row>
    <row r="52" spans="1:12" ht="9" customHeight="1">
      <c r="A52" s="21" t="s">
        <v>84</v>
      </c>
      <c r="B52" s="120"/>
      <c r="C52" s="23">
        <f>[21]GtS!$H$31</f>
        <v>0</v>
      </c>
      <c r="D52" s="23">
        <f>[22]GtS!$H$33</f>
        <v>0</v>
      </c>
      <c r="E52" s="23">
        <f>[23]GtS!$H$33</f>
        <v>0</v>
      </c>
      <c r="F52" s="23">
        <f>[24]GtS!$H$33</f>
        <v>0</v>
      </c>
      <c r="G52" s="34">
        <f>[25]GtS!$H$33</f>
        <v>0</v>
      </c>
      <c r="H52" s="155" t="str">
        <f>IF('AW Schüler'!$B118=0,"x",(IF('AW Schüler'!$B136=0,"-",C52/'AW Schüler'!$B136)))</f>
        <v>-</v>
      </c>
      <c r="I52" s="155" t="str">
        <f>IF('AW Schüler'!$E118=0,"x",(IF('AW Schüler'!$E136=0,"-",D52/'AW Schüler'!$E136)))</f>
        <v>-</v>
      </c>
      <c r="J52" s="155" t="str">
        <f>IF('AW Schüler'!$H118=0,"x",(IF('AW Schüler'!$H136=0,"-",E52/'AW Schüler'!$H136)))</f>
        <v>-</v>
      </c>
      <c r="K52" s="155" t="str">
        <f>IF('AW Schüler'!$K118=0,"x",(IF('AW Schüler'!$K136=0,"-",F52/'AW Schüler'!$K136)))</f>
        <v>-</v>
      </c>
      <c r="L52" s="156" t="str">
        <f>IF('AW Schüler'!$N118=0,"x",(IF('AW Schüler'!$N136=0,"-",G52/'AW Schüler'!$N136)))</f>
        <v>-</v>
      </c>
    </row>
    <row r="53" spans="1:12" ht="9" customHeight="1">
      <c r="A53" s="21" t="s">
        <v>85</v>
      </c>
      <c r="B53" s="120"/>
      <c r="C53" s="23">
        <f>[26]GtS!$H$31</f>
        <v>725</v>
      </c>
      <c r="D53" s="23">
        <f>[27]GtS!$H$33</f>
        <v>582</v>
      </c>
      <c r="E53" s="23">
        <f>[28]GtS!$H$33</f>
        <v>759</v>
      </c>
      <c r="F53" s="23">
        <f>[29]GtS!$H$33</f>
        <v>1179</v>
      </c>
      <c r="G53" s="34">
        <f>[30]GtS!$H$33</f>
        <v>1153</v>
      </c>
      <c r="H53" s="155">
        <f>IF('AW Schüler'!$B119=0,"x",(IF('AW Schüler'!$B137=0,"-",C53/'AW Schüler'!$B137)))</f>
        <v>0.26527625320160997</v>
      </c>
      <c r="I53" s="155">
        <f>IF('AW Schüler'!$E119=0,"x",(IF('AW Schüler'!$E137=0,"-",D53/'AW Schüler'!$E137)))</f>
        <v>0.18683788121990369</v>
      </c>
      <c r="J53" s="155">
        <f>IF('AW Schüler'!$H119=0,"x",(IF('AW Schüler'!$H137=0,"-",E53/'AW Schüler'!$H137)))</f>
        <v>0.24460199806638735</v>
      </c>
      <c r="K53" s="155">
        <f>IF('AW Schüler'!$K119=0,"x",(IF('AW Schüler'!$K137=0,"-",F53/'AW Schüler'!$K137)))</f>
        <v>0.3789778206364513</v>
      </c>
      <c r="L53" s="156">
        <f>IF('AW Schüler'!$N119=0,"x",(IF('AW Schüler'!$N137=0,"-",G53/'AW Schüler'!$N137)))</f>
        <v>0.36790044671346522</v>
      </c>
    </row>
    <row r="54" spans="1:12" ht="9" customHeight="1">
      <c r="A54" s="21" t="s">
        <v>114</v>
      </c>
      <c r="B54" s="120"/>
      <c r="C54" s="23">
        <f>[66]GtS!$H$31</f>
        <v>1131</v>
      </c>
      <c r="D54" s="23">
        <f>[67]GtS!$H$33</f>
        <v>922</v>
      </c>
      <c r="E54" s="23">
        <f>[68]GtS!$H$33</f>
        <v>1254</v>
      </c>
      <c r="F54" s="23">
        <f>[69]GtS!$H$33</f>
        <v>1359</v>
      </c>
      <c r="G54" s="34">
        <f>[70]GtS!$H$33</f>
        <v>1544</v>
      </c>
      <c r="H54" s="155">
        <f>IF('AW Schüler'!$B120=0,"x",(IF('AW Schüler'!$B138=0,"-",C54/'AW Schüler'!$B138)))</f>
        <v>0.51084010840108396</v>
      </c>
      <c r="I54" s="155">
        <f>IF('AW Schüler'!$E120=0,"x",(IF('AW Schüler'!$E138=0,"-",D54/'AW Schüler'!$E138)))</f>
        <v>0.41928149158708505</v>
      </c>
      <c r="J54" s="155">
        <f>IF('AW Schüler'!$H120=0,"x",(IF('AW Schüler'!$H138=0,"-",E54/'AW Schüler'!$H138)))</f>
        <v>0.52337228714524209</v>
      </c>
      <c r="K54" s="155">
        <f>IF('AW Schüler'!$K120=0,"x",(IF('AW Schüler'!$K138=0,"-",F54/'AW Schüler'!$K138)))</f>
        <v>0.53065208902772354</v>
      </c>
      <c r="L54" s="156">
        <f>IF('AW Schüler'!$N120=0,"x",(IF('AW Schüler'!$N138=0,"-",G54/'AW Schüler'!$N138)))</f>
        <v>0.53611111111111109</v>
      </c>
    </row>
    <row r="55" spans="1:12" ht="9" customHeight="1">
      <c r="A55" s="21" t="s">
        <v>87</v>
      </c>
      <c r="B55" s="120"/>
      <c r="C55" s="23">
        <f>[31]GtS!$H$31</f>
        <v>0</v>
      </c>
      <c r="D55" s="23">
        <f>[32]GtS!$H$33</f>
        <v>0</v>
      </c>
      <c r="E55" s="23">
        <f>[33]GtS!$H$33</f>
        <v>0</v>
      </c>
      <c r="F55" s="23">
        <f>[34]GtS!$H$33</f>
        <v>0</v>
      </c>
      <c r="G55" s="34">
        <f>[35]GtS!$H$33</f>
        <v>0</v>
      </c>
      <c r="H55" s="155" t="str">
        <f>IF('AW Schüler'!$B121=0,"x",(IF('AW Schüler'!$B139=0,"-",C55/'AW Schüler'!$B139)))</f>
        <v>-</v>
      </c>
      <c r="I55" s="155" t="str">
        <f>IF('AW Schüler'!$E121=0,"x",(IF('AW Schüler'!$E139=0,"-",D55/'AW Schüler'!$E139)))</f>
        <v>-</v>
      </c>
      <c r="J55" s="155" t="str">
        <f>IF('AW Schüler'!$H121=0,"x",(IF('AW Schüler'!$H139=0,"-",E55/'AW Schüler'!$H139)))</f>
        <v>-</v>
      </c>
      <c r="K55" s="155" t="str">
        <f>IF('AW Schüler'!$K121=0,"x",(IF('AW Schüler'!$K139=0,"-",F55/'AW Schüler'!$K139)))</f>
        <v>-</v>
      </c>
      <c r="L55" s="156" t="str">
        <f>IF('AW Schüler'!$N121=0,"x",(IF('AW Schüler'!$N139=0,"-",G55/'AW Schüler'!$N139)))</f>
        <v>-</v>
      </c>
    </row>
    <row r="56" spans="1:12" ht="9" customHeight="1">
      <c r="A56" s="21" t="s">
        <v>88</v>
      </c>
      <c r="B56" s="120"/>
      <c r="C56" s="23">
        <f>[71]GtS!$H$31</f>
        <v>0</v>
      </c>
      <c r="D56" s="23">
        <f>[72]GtS!$H$33</f>
        <v>0</v>
      </c>
      <c r="E56" s="23">
        <f>[73]GtS!$H$33</f>
        <v>0</v>
      </c>
      <c r="F56" s="23">
        <f>[74]GtS!$H$33</f>
        <v>0</v>
      </c>
      <c r="G56" s="34">
        <f>[75]GtS!$H$33</f>
        <v>0</v>
      </c>
      <c r="H56" s="155">
        <f>IF('AW Schüler'!$B122=0,"x",(IF('AW Schüler'!$B140=0,"-",C56/'AW Schüler'!$B140)))</f>
        <v>0</v>
      </c>
      <c r="I56" s="155">
        <f>IF('AW Schüler'!$E122=0,"x",(IF('AW Schüler'!$E140=0,"-",D56/'AW Schüler'!$E140)))</f>
        <v>0</v>
      </c>
      <c r="J56" s="155">
        <f>IF('AW Schüler'!$H122=0,"x",(IF('AW Schüler'!$H140=0,"-",E56/'AW Schüler'!$H140)))</f>
        <v>0</v>
      </c>
      <c r="K56" s="155">
        <f>IF('AW Schüler'!$K122=0,"x",(IF('AW Schüler'!$K140=0,"-",F56/'AW Schüler'!$K140)))</f>
        <v>0</v>
      </c>
      <c r="L56" s="156">
        <f>IF('AW Schüler'!$N122=0,"x",(IF('AW Schüler'!$N140=0,"-",G56/'AW Schüler'!$N140)))</f>
        <v>0</v>
      </c>
    </row>
    <row r="57" spans="1:12" ht="9" customHeight="1">
      <c r="A57" s="21" t="s">
        <v>89</v>
      </c>
      <c r="B57" s="120"/>
      <c r="C57" s="23">
        <f>[36]GtS!$H$31</f>
        <v>0</v>
      </c>
      <c r="D57" s="23">
        <f>[37]GtS!$H$33</f>
        <v>68</v>
      </c>
      <c r="E57" s="23">
        <f>[38]GtS!$H$33</f>
        <v>289</v>
      </c>
      <c r="F57" s="23">
        <f>[39]GtS!$H$33</f>
        <v>413</v>
      </c>
      <c r="G57" s="34">
        <f>[40]GtS!$H$33</f>
        <v>534</v>
      </c>
      <c r="H57" s="155" t="str">
        <f>IF('AW Schüler'!$B123=0,"x",(IF('AW Schüler'!$B141=0,"-",C57/'AW Schüler'!$B141)))</f>
        <v>-</v>
      </c>
      <c r="I57" s="155">
        <f>IF('AW Schüler'!$E123=0,"x",(IF('AW Schüler'!$E141=0,"-",D57/'AW Schüler'!$E141)))</f>
        <v>1</v>
      </c>
      <c r="J57" s="155">
        <f>IF('AW Schüler'!$H123=0,"x",(IF('AW Schüler'!$H141=0,"-",E57/'AW Schüler'!$H141)))</f>
        <v>0.79395604395604391</v>
      </c>
      <c r="K57" s="155">
        <f>IF('AW Schüler'!$K123=0,"x",(IF('AW Schüler'!$K141=0,"-",F57/'AW Schüler'!$K141)))</f>
        <v>0.62105263157894741</v>
      </c>
      <c r="L57" s="156">
        <f>IF('AW Schüler'!$N123=0,"x",(IF('AW Schüler'!$N141=0,"-",G57/'AW Schüler'!$N141)))</f>
        <v>0.55108359133126938</v>
      </c>
    </row>
    <row r="58" spans="1:12" ht="9" customHeight="1">
      <c r="A58" s="21" t="s">
        <v>90</v>
      </c>
      <c r="B58" s="120"/>
      <c r="C58" s="23">
        <f>[41]GtS!$H$31</f>
        <v>0</v>
      </c>
      <c r="D58" s="23">
        <f>[42]GtS!$H$33</f>
        <v>0</v>
      </c>
      <c r="E58" s="23">
        <f>[43]GtS!$H$33</f>
        <v>0</v>
      </c>
      <c r="F58" s="23">
        <f>[44]GtS!$H$33</f>
        <v>0</v>
      </c>
      <c r="G58" s="34">
        <f>[45]GtS!$H$33</f>
        <v>0</v>
      </c>
      <c r="H58" s="155" t="str">
        <f>IF('AW Schüler'!$B124=0,"x",(IF('AW Schüler'!$B142=0,"-",C58/'AW Schüler'!$B142)))</f>
        <v>-</v>
      </c>
      <c r="I58" s="155" t="str">
        <f>IF('AW Schüler'!$E124=0,"x",(IF('AW Schüler'!$E142=0,"-",D58/'AW Schüler'!$E142)))</f>
        <v>-</v>
      </c>
      <c r="J58" s="155" t="str">
        <f>IF('AW Schüler'!$H124=0,"x",(IF('AW Schüler'!$H142=0,"-",E58/'AW Schüler'!$H142)))</f>
        <v>-</v>
      </c>
      <c r="K58" s="155" t="str">
        <f>IF('AW Schüler'!$K124=0,"x",(IF('AW Schüler'!$K142=0,"-",F58/'AW Schüler'!$K142)))</f>
        <v>-</v>
      </c>
      <c r="L58" s="156" t="str">
        <f>IF('AW Schüler'!$N124=0,"x",(IF('AW Schüler'!$N142=0,"-",G58/'AW Schüler'!$N142)))</f>
        <v>-</v>
      </c>
    </row>
    <row r="59" spans="1:12" ht="9" customHeight="1">
      <c r="A59" s="21" t="s">
        <v>91</v>
      </c>
      <c r="B59" s="120"/>
      <c r="C59" s="23">
        <f>[46]GtS!$H$31</f>
        <v>0</v>
      </c>
      <c r="D59" s="23">
        <f>[47]GtS!$H$33</f>
        <v>0</v>
      </c>
      <c r="E59" s="23">
        <f>[48]GtS!$H$33</f>
        <v>0</v>
      </c>
      <c r="F59" s="23">
        <f>[49]GtS!$H$33</f>
        <v>0</v>
      </c>
      <c r="G59" s="34">
        <f>[50]GtS!$H$33</f>
        <v>0</v>
      </c>
      <c r="H59" s="155" t="str">
        <f>IF('AW Schüler'!$B125=0,"x",(IF('AW Schüler'!$B143=0,"-",C59/'AW Schüler'!$B143)))</f>
        <v>-</v>
      </c>
      <c r="I59" s="155" t="str">
        <f>IF('AW Schüler'!$E125=0,"x",(IF('AW Schüler'!$E143=0,"-",D59/'AW Schüler'!$E143)))</f>
        <v>-</v>
      </c>
      <c r="J59" s="155" t="str">
        <f>IF('AW Schüler'!$H125=0,"x",(IF('AW Schüler'!$H143=0,"-",E59/'AW Schüler'!$H143)))</f>
        <v>-</v>
      </c>
      <c r="K59" s="155" t="str">
        <f>IF('AW Schüler'!$K125=0,"x",(IF('AW Schüler'!$K143=0,"-",F59/'AW Schüler'!$K143)))</f>
        <v>-</v>
      </c>
      <c r="L59" s="156" t="str">
        <f>IF('AW Schüler'!$N125=0,"x",(IF('AW Schüler'!$N143=0,"-",G59/'AW Schüler'!$N143)))</f>
        <v>-</v>
      </c>
    </row>
    <row r="60" spans="1:12" ht="9" customHeight="1">
      <c r="A60" s="21" t="s">
        <v>92</v>
      </c>
      <c r="B60" s="120"/>
      <c r="C60" s="151">
        <f>[51]GtS!$H$31</f>
        <v>0</v>
      </c>
      <c r="D60" s="151">
        <f>[52]GtS!$H$33</f>
        <v>0</v>
      </c>
      <c r="E60" s="151">
        <f>[53]GtS!$H$33</f>
        <v>0</v>
      </c>
      <c r="F60" s="151">
        <f>[54]GtS!$H$33</f>
        <v>0</v>
      </c>
      <c r="G60" s="152">
        <f>[55]GtS!$H$33</f>
        <v>0</v>
      </c>
      <c r="H60" s="155" t="str">
        <f>IF('AW Schüler'!$B126=0,"x",(IF('AW Schüler'!$B144=0,"-",C60/'AW Schüler'!$B144)))</f>
        <v>x</v>
      </c>
      <c r="I60" s="155" t="str">
        <f>IF('AW Schüler'!$E126=0,"x",(IF('AW Schüler'!$E144=0,"-",D60/'AW Schüler'!$E144)))</f>
        <v>x</v>
      </c>
      <c r="J60" s="155" t="str">
        <f>IF('AW Schüler'!$H126=0,"x",(IF('AW Schüler'!$H144=0,"-",E60/'AW Schüler'!$H144)))</f>
        <v>x</v>
      </c>
      <c r="K60" s="155" t="str">
        <f>IF('AW Schüler'!$K126=0,"x",(IF('AW Schüler'!$K144=0,"-",F60/'AW Schüler'!$K144)))</f>
        <v>x</v>
      </c>
      <c r="L60" s="156" t="str">
        <f>IF('AW Schüler'!$N126=0,"x",(IF('AW Schüler'!$N144=0,"-",G60/'AW Schüler'!$N144)))</f>
        <v>x</v>
      </c>
    </row>
    <row r="61" spans="1:12" ht="9" customHeight="1">
      <c r="A61" s="21" t="s">
        <v>93</v>
      </c>
      <c r="B61" s="120"/>
      <c r="C61" s="23">
        <f>[76]GtS!$H$31</f>
        <v>0</v>
      </c>
      <c r="D61" s="23">
        <f>[77]GtS!$H$33</f>
        <v>0</v>
      </c>
      <c r="E61" s="23">
        <f>[78]GtS!$H$33</f>
        <v>0</v>
      </c>
      <c r="F61" s="23">
        <f>[79]GtS!$H$33</f>
        <v>0</v>
      </c>
      <c r="G61" s="34">
        <f>[80]GtS!$H$33</f>
        <v>0</v>
      </c>
      <c r="H61" s="155" t="str">
        <f>IF('AW Schüler'!$B127=0,"x",(IF('AW Schüler'!$B145=0,"-",C61/'AW Schüler'!$B145)))</f>
        <v>-</v>
      </c>
      <c r="I61" s="155" t="str">
        <f>IF('AW Schüler'!$E127=0,"x",(IF('AW Schüler'!$E145=0,"-",D61/'AW Schüler'!$E145)))</f>
        <v>-</v>
      </c>
      <c r="J61" s="155" t="str">
        <f>IF('AW Schüler'!$H127=0,"x",(IF('AW Schüler'!$H145=0,"-",E61/'AW Schüler'!$H145)))</f>
        <v>-</v>
      </c>
      <c r="K61" s="155" t="str">
        <f>IF('AW Schüler'!$K127=0,"x",(IF('AW Schüler'!$K145=0,"-",F61/'AW Schüler'!$K145)))</f>
        <v>-</v>
      </c>
      <c r="L61" s="156" t="str">
        <f>IF('AW Schüler'!$N127=0,"x",(IF('AW Schüler'!$N145=0,"-",G61/'AW Schüler'!$N145)))</f>
        <v>-</v>
      </c>
    </row>
    <row r="62" spans="1:12" ht="9" customHeight="1">
      <c r="A62" s="21" t="s">
        <v>143</v>
      </c>
      <c r="B62" s="120"/>
      <c r="C62" s="23">
        <f>[56]GtS!$H$31</f>
        <v>0</v>
      </c>
      <c r="D62" s="23">
        <f>[57]GtS!$H$33</f>
        <v>0</v>
      </c>
      <c r="E62" s="23">
        <f>[58]GtS!$H$33</f>
        <v>0</v>
      </c>
      <c r="F62" s="23">
        <f>[59]GtS!$H$33</f>
        <v>0</v>
      </c>
      <c r="G62" s="34">
        <f>[60]GtS!$H$33</f>
        <v>0</v>
      </c>
      <c r="H62" s="155" t="str">
        <f>IF('AW Schüler'!$B128=0,"x",(IF('AW Schüler'!$B146=0,"-",C62/'AW Schüler'!$B146)))</f>
        <v>-</v>
      </c>
      <c r="I62" s="155" t="str">
        <f>IF('AW Schüler'!$E128=0,"x",(IF('AW Schüler'!$E146=0,"-",D62/'AW Schüler'!$E146)))</f>
        <v>-</v>
      </c>
      <c r="J62" s="155" t="str">
        <f>IF('AW Schüler'!$H128=0,"x",(IF('AW Schüler'!$H146=0,"-",E62/'AW Schüler'!$H146)))</f>
        <v>-</v>
      </c>
      <c r="K62" s="155" t="str">
        <f>IF('AW Schüler'!$K128=0,"x",(IF('AW Schüler'!$K146=0,"-",F62/'AW Schüler'!$K146)))</f>
        <v>-</v>
      </c>
      <c r="L62" s="156" t="str">
        <f>IF('AW Schüler'!$N128=0,"x",(IF('AW Schüler'!$N146=0,"-",G62/'AW Schüler'!$N146)))</f>
        <v>-</v>
      </c>
    </row>
    <row r="63" spans="1:12" ht="9" customHeight="1">
      <c r="A63" s="21" t="s">
        <v>95</v>
      </c>
      <c r="B63" s="120"/>
      <c r="C63" s="23">
        <f>[61]GtS!$H$31</f>
        <v>741</v>
      </c>
      <c r="D63" s="23">
        <f>[62]GtS!$H$33</f>
        <v>866</v>
      </c>
      <c r="E63" s="23">
        <f>[63]GtS!$H$33</f>
        <v>1054</v>
      </c>
      <c r="F63" s="23">
        <f>[64]GtS!$H$33</f>
        <v>1046</v>
      </c>
      <c r="G63" s="34">
        <f>[65]GtS!$H$33</f>
        <v>1815</v>
      </c>
      <c r="H63" s="155">
        <f>IF('AW Schüler'!$B129=0,"x",(IF('AW Schüler'!$B147=0,"-",C63/'AW Schüler'!$B147)))</f>
        <v>0.60539215686274506</v>
      </c>
      <c r="I63" s="155">
        <f>IF('AW Schüler'!$E129=0,"x",(IF('AW Schüler'!$E147=0,"-",D63/'AW Schüler'!$E147)))</f>
        <v>0.61028893587033117</v>
      </c>
      <c r="J63" s="155">
        <f>IF('AW Schüler'!$H129=0,"x",(IF('AW Schüler'!$H147=0,"-",E63/'AW Schüler'!$H147)))</f>
        <v>0.62219598583234947</v>
      </c>
      <c r="K63" s="155">
        <f>IF('AW Schüler'!$K129=0,"x",(IF('AW Schüler'!$K147=0,"-",F63/'AW Schüler'!$K147)))</f>
        <v>0.47545454545454546</v>
      </c>
      <c r="L63" s="156">
        <f>IF('AW Schüler'!$N129=0,"x",(IF('AW Schüler'!$N147=0,"-",G63/'AW Schüler'!$N147)))</f>
        <v>0.59566787003610111</v>
      </c>
    </row>
    <row r="64" spans="1:12" ht="8.65" customHeight="1">
      <c r="A64" s="24" t="s">
        <v>96</v>
      </c>
      <c r="B64" s="121"/>
      <c r="C64" s="26">
        <f>SUM(C48:C63)</f>
        <v>5580</v>
      </c>
      <c r="D64" s="26">
        <f>SUM(D48:D63)</f>
        <v>7613</v>
      </c>
      <c r="E64" s="26">
        <f>SUM(E48:E63)</f>
        <v>11125</v>
      </c>
      <c r="F64" s="26">
        <f>SUM(F48:F63)</f>
        <v>14634</v>
      </c>
      <c r="G64" s="47">
        <f>SUM(G48:G63)</f>
        <v>16654</v>
      </c>
      <c r="H64" s="157">
        <f>IF('AW Schüler'!$B130=0,"x",(IF('AW Schüler'!$B148=0,"-",C64/'AW Schüler'!$B148)))</f>
        <v>0.31955102508303745</v>
      </c>
      <c r="I64" s="157">
        <f>IF('AW Schüler'!$E130=0,"x",(IF('AW Schüler'!$E148=0,"-",D64/'AW Schüler'!$E148)))</f>
        <v>0.23996847911741528</v>
      </c>
      <c r="J64" s="157">
        <f>IF('AW Schüler'!$H130=0,"x",(IF('AW Schüler'!$H148=0,"-",E64/'AW Schüler'!$H148)))</f>
        <v>0.23269677257420152</v>
      </c>
      <c r="K64" s="157">
        <f>IF('AW Schüler'!$K130=0,"x",(IF('AW Schüler'!$K148=0,"-",F64/'AW Schüler'!$K148)))</f>
        <v>0.25074105169371008</v>
      </c>
      <c r="L64" s="158">
        <f>IF('AW Schüler'!$N130=0,"x",(IF('AW Schüler'!$N148=0,"-",G64/'AW Schüler'!$N148)))</f>
        <v>0.25742727300831608</v>
      </c>
    </row>
    <row r="65" spans="1:12" ht="18.75" customHeight="1">
      <c r="A65" s="396" t="s">
        <v>312</v>
      </c>
      <c r="B65" s="396"/>
      <c r="C65" s="396"/>
      <c r="D65" s="396"/>
      <c r="E65" s="396"/>
      <c r="F65" s="396"/>
      <c r="G65" s="396"/>
      <c r="H65" s="396"/>
      <c r="I65" s="396"/>
      <c r="J65" s="396"/>
      <c r="K65" s="396"/>
      <c r="L65" s="396"/>
    </row>
    <row r="66" spans="1:12" ht="10.15" customHeight="1">
      <c r="A66" s="399" t="s">
        <v>286</v>
      </c>
      <c r="B66" s="399"/>
      <c r="C66" s="399"/>
      <c r="D66" s="399"/>
      <c r="E66" s="399"/>
      <c r="F66" s="399"/>
      <c r="G66" s="399"/>
      <c r="H66" s="399"/>
      <c r="I66" s="399"/>
      <c r="J66" s="407"/>
      <c r="K66" s="325"/>
      <c r="L66" s="350"/>
    </row>
    <row r="67" spans="1:12" ht="18.399999999999999" customHeight="1">
      <c r="A67" s="387" t="s">
        <v>296</v>
      </c>
      <c r="B67" s="387"/>
      <c r="C67" s="387"/>
      <c r="D67" s="387"/>
      <c r="E67" s="387"/>
      <c r="F67" s="387"/>
      <c r="G67" s="387"/>
      <c r="H67" s="387"/>
      <c r="I67" s="387"/>
      <c r="J67" s="395"/>
      <c r="K67" s="395"/>
      <c r="L67" s="395"/>
    </row>
    <row r="68" spans="1:12" ht="10.15" customHeight="1">
      <c r="A68" s="305" t="s">
        <v>203</v>
      </c>
    </row>
    <row r="69" spans="1:12" ht="10.15" customHeight="1">
      <c r="A69" s="306" t="s">
        <v>101</v>
      </c>
    </row>
    <row r="83" spans="1:1" ht="10.5" customHeight="1"/>
    <row r="84" spans="1:1" ht="10.15" customHeight="1">
      <c r="A84" s="274"/>
    </row>
  </sheetData>
  <mergeCells count="9">
    <mergeCell ref="A1:L1"/>
    <mergeCell ref="A47:L47"/>
    <mergeCell ref="A67:L67"/>
    <mergeCell ref="A66:J66"/>
    <mergeCell ref="C9:G9"/>
    <mergeCell ref="H9:L9"/>
    <mergeCell ref="A11:L11"/>
    <mergeCell ref="A29:L29"/>
    <mergeCell ref="A65:L65"/>
  </mergeCells>
  <conditionalFormatting sqref="N25">
    <cfRule type="cellIs" dxfId="15"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M85"/>
  <sheetViews>
    <sheetView view="pageBreakPreview" topLeftCell="A46" zoomScale="175" zoomScaleNormal="130" zoomScaleSheetLayoutView="175" workbookViewId="0">
      <selection activeCell="N23" sqref="N23:N24"/>
    </sheetView>
  </sheetViews>
  <sheetFormatPr baseColWidth="10" defaultColWidth="11.42578125" defaultRowHeight="9"/>
  <cols>
    <col min="1" max="1" width="8.7109375" style="2" customWidth="1"/>
    <col min="2" max="2" width="0.5703125" style="2" customWidth="1"/>
    <col min="3" max="12" width="6.7109375" style="2" customWidth="1"/>
    <col min="13" max="16384" width="11.42578125" style="2"/>
  </cols>
  <sheetData>
    <row r="1" spans="1:13" ht="12.75" customHeight="1">
      <c r="A1" s="383">
        <f>'3.2.8.1'!A1:J1+1</f>
        <v>56</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c r="H3" s="14"/>
      <c r="I3" s="14"/>
      <c r="J3" s="14"/>
      <c r="K3" s="14"/>
      <c r="L3" s="14"/>
    </row>
    <row r="4" spans="1:13" s="1" customFormat="1" ht="12.6" customHeight="1">
      <c r="A4" s="13" t="s">
        <v>49</v>
      </c>
      <c r="B4" s="12" t="s">
        <v>116</v>
      </c>
      <c r="C4" s="14"/>
      <c r="D4" s="14"/>
      <c r="E4" s="14"/>
      <c r="F4" s="14"/>
      <c r="G4" s="14"/>
      <c r="H4" s="14"/>
      <c r="I4" s="14"/>
      <c r="J4" s="14"/>
      <c r="K4" s="14"/>
      <c r="L4" s="14"/>
    </row>
    <row r="5" spans="1:13" s="1" customFormat="1" ht="12.6" customHeight="1">
      <c r="A5" s="13" t="s">
        <v>58</v>
      </c>
      <c r="B5" s="39" t="s">
        <v>106</v>
      </c>
      <c r="C5" s="14"/>
      <c r="D5" s="14"/>
      <c r="E5" s="14"/>
      <c r="F5" s="14"/>
      <c r="G5" s="14"/>
      <c r="H5" s="14"/>
      <c r="I5" s="14"/>
      <c r="J5" s="14"/>
      <c r="K5" s="14"/>
      <c r="L5" s="14"/>
    </row>
    <row r="6" spans="1:13" s="3" customFormat="1" ht="5.25" customHeight="1">
      <c r="A6" s="40"/>
      <c r="B6" s="39"/>
      <c r="C6" s="41"/>
      <c r="D6" s="41"/>
      <c r="E6" s="41"/>
      <c r="F6" s="41"/>
      <c r="G6" s="41"/>
      <c r="H6" s="41"/>
      <c r="I6" s="41"/>
      <c r="J6" s="41"/>
      <c r="K6" s="41"/>
      <c r="L6" s="41"/>
    </row>
    <row r="7" spans="1:13" s="3" customFormat="1" ht="5.25" customHeight="1">
      <c r="A7" s="40"/>
      <c r="B7" s="39"/>
      <c r="C7" s="41"/>
      <c r="D7" s="41"/>
      <c r="E7" s="41"/>
      <c r="F7" s="41"/>
      <c r="G7" s="41"/>
      <c r="H7" s="41"/>
      <c r="I7" s="41"/>
      <c r="J7" s="41"/>
      <c r="K7" s="41"/>
      <c r="L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354">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175</v>
      </c>
      <c r="B12" s="120"/>
      <c r="C12" s="42">
        <f>SUM(C30+C48)</f>
        <v>15318</v>
      </c>
      <c r="D12" s="42">
        <f>SUM(D30+D48)</f>
        <v>15307</v>
      </c>
      <c r="E12" s="42">
        <f>SUM(E30+E48)</f>
        <v>16185</v>
      </c>
      <c r="F12" s="42">
        <f>SUM(F30+F48)</f>
        <v>15058</v>
      </c>
      <c r="G12" s="44">
        <f>SUM(G30+G48)</f>
        <v>15974</v>
      </c>
      <c r="H12" s="153">
        <f>IF('AW Schüler'!$B186=0,"x",C12/'AW Schüler'!$B186)</f>
        <v>0.41561753852832645</v>
      </c>
      <c r="I12" s="153">
        <f>IF('AW Schüler'!$E186=0,"x",D12/'AW Schüler'!$E186)</f>
        <v>0.41810980606391696</v>
      </c>
      <c r="J12" s="153">
        <f>IF('AW Schüler'!$H186=0,"x",E12/'AW Schüler'!$H186)</f>
        <v>0.44048007838014369</v>
      </c>
      <c r="K12" s="153">
        <f>IF('AW Schüler'!$K186=0,"x",F12/'AW Schüler'!$K186)</f>
        <v>0.45228726759378851</v>
      </c>
      <c r="L12" s="154">
        <f>IF('AW Schüler'!$N186=0,"x",G12/'AW Schüler'!$N186)</f>
        <v>0.46500931532370748</v>
      </c>
    </row>
    <row r="13" spans="1:13" ht="9" customHeight="1">
      <c r="A13" s="21" t="s">
        <v>81</v>
      </c>
      <c r="B13" s="120"/>
      <c r="C13" s="42">
        <f t="shared" ref="C13:C28" si="0">SUM(C31+C49)</f>
        <v>6489</v>
      </c>
      <c r="D13" s="42">
        <f t="shared" ref="D13:E13" si="1">SUM(D31+D49)</f>
        <v>7263</v>
      </c>
      <c r="E13" s="42">
        <f t="shared" si="1"/>
        <v>8168</v>
      </c>
      <c r="F13" s="42">
        <f t="shared" ref="F13:G13" si="2">SUM(F31+F49)</f>
        <v>8723</v>
      </c>
      <c r="G13" s="44">
        <f t="shared" si="2"/>
        <v>10121</v>
      </c>
      <c r="H13" s="153">
        <f>IF('AW Schüler'!$B187=0,"x",C13/'AW Schüler'!$B187)</f>
        <v>0.21920075668006622</v>
      </c>
      <c r="I13" s="153">
        <f>IF('AW Schüler'!$E187=0,"x",D13/'AW Schüler'!$E187)</f>
        <v>0.24891188868706945</v>
      </c>
      <c r="J13" s="153">
        <f>IF('AW Schüler'!$H187=0,"x",E13/'AW Schüler'!$H187)</f>
        <v>0.27978351716106048</v>
      </c>
      <c r="K13" s="153">
        <f>IF('AW Schüler'!$K187=0,"x",F13/'AW Schüler'!$K187)</f>
        <v>0.30053402239448751</v>
      </c>
      <c r="L13" s="154">
        <f>IF('AW Schüler'!$N187=0,"x",G13/'AW Schüler'!$N187)</f>
        <v>0.33463382377252437</v>
      </c>
    </row>
    <row r="14" spans="1:13" ht="9" customHeight="1">
      <c r="A14" s="21" t="s">
        <v>82</v>
      </c>
      <c r="B14" s="120"/>
      <c r="C14" s="42">
        <f t="shared" si="0"/>
        <v>2466</v>
      </c>
      <c r="D14" s="42">
        <f t="shared" ref="D14:E14" si="3">SUM(D32+D50)</f>
        <v>4134</v>
      </c>
      <c r="E14" s="42">
        <f t="shared" si="3"/>
        <v>4228</v>
      </c>
      <c r="F14" s="42">
        <f t="shared" ref="F14:G14" si="4">SUM(F32+F50)</f>
        <v>4202</v>
      </c>
      <c r="G14" s="44">
        <f t="shared" si="4"/>
        <v>3222</v>
      </c>
      <c r="H14" s="153">
        <f>IF('AW Schüler'!$B188=0,"x",C14/'AW Schüler'!$B188)</f>
        <v>0.25963360707517374</v>
      </c>
      <c r="I14" s="153">
        <f>IF('AW Schüler'!$E188=0,"x",D14/'AW Schüler'!$E188)</f>
        <v>0.47381088825214901</v>
      </c>
      <c r="J14" s="153">
        <f>IF('AW Schüler'!$H188=0,"x",E14/'AW Schüler'!$H188)</f>
        <v>0.51136913401064343</v>
      </c>
      <c r="K14" s="153">
        <f>IF('AW Schüler'!$K188=0,"x",F14/'AW Schüler'!$K188)</f>
        <v>0.53934026440764982</v>
      </c>
      <c r="L14" s="154">
        <f>IF('AW Schüler'!$N188=0,"x",G14/'AW Schüler'!$N188)</f>
        <v>0.42051683633516052</v>
      </c>
    </row>
    <row r="15" spans="1:13" ht="9" customHeight="1">
      <c r="A15" s="21" t="s">
        <v>83</v>
      </c>
      <c r="B15" s="120"/>
      <c r="C15" s="42">
        <f t="shared" si="0"/>
        <v>3388</v>
      </c>
      <c r="D15" s="42">
        <f t="shared" ref="D15:E15" si="5">SUM(D33+D51)</f>
        <v>3452</v>
      </c>
      <c r="E15" s="42">
        <f t="shared" si="5"/>
        <v>3434</v>
      </c>
      <c r="F15" s="42">
        <f t="shared" ref="F15:G15" si="6">SUM(F33+F51)</f>
        <v>3456</v>
      </c>
      <c r="G15" s="44">
        <f t="shared" si="6"/>
        <v>3525</v>
      </c>
      <c r="H15" s="153">
        <f>IF('AW Schüler'!$B189=0,"x",C15/'AW Schüler'!$B189)</f>
        <v>0.40618630859609162</v>
      </c>
      <c r="I15" s="153">
        <f>IF('AW Schüler'!$E189=0,"x",D15/'AW Schüler'!$E189)</f>
        <v>0.43366834170854274</v>
      </c>
      <c r="J15" s="153">
        <f>IF('AW Schüler'!$H189=0,"x",E15/'AW Schüler'!$H189)</f>
        <v>0.45208004212743547</v>
      </c>
      <c r="K15" s="153">
        <f>IF('AW Schüler'!$K189=0,"x",F15/'AW Schüler'!$K189)</f>
        <v>0.4651413189771198</v>
      </c>
      <c r="L15" s="154">
        <f>IF('AW Schüler'!$N189=0,"x",G15/'AW Schüler'!$N189)</f>
        <v>0.4755159854309996</v>
      </c>
    </row>
    <row r="16" spans="1:13" ht="9" customHeight="1">
      <c r="A16" s="21" t="s">
        <v>84</v>
      </c>
      <c r="B16" s="120"/>
      <c r="C16" s="42">
        <f t="shared" si="0"/>
        <v>0</v>
      </c>
      <c r="D16" s="42">
        <f t="shared" ref="D16:E16" si="7">SUM(D34+D52)</f>
        <v>0</v>
      </c>
      <c r="E16" s="42">
        <f t="shared" si="7"/>
        <v>0</v>
      </c>
      <c r="F16" s="42">
        <f t="shared" ref="F16:G16" si="8">SUM(F34+F52)</f>
        <v>0</v>
      </c>
      <c r="G16" s="44">
        <f t="shared" si="8"/>
        <v>0</v>
      </c>
      <c r="H16" s="153">
        <f>IF('AW Schüler'!$B190=0,"x",C16/'AW Schüler'!$B190)</f>
        <v>0</v>
      </c>
      <c r="I16" s="153">
        <f>IF('AW Schüler'!$E190=0,"x",D16/'AW Schüler'!$E190)</f>
        <v>0</v>
      </c>
      <c r="J16" s="153">
        <f>IF('AW Schüler'!$H190=0,"x",E16/'AW Schüler'!$H190)</f>
        <v>0</v>
      </c>
      <c r="K16" s="153">
        <f>IF('AW Schüler'!$K190=0,"x",F16/'AW Schüler'!$K190)</f>
        <v>0</v>
      </c>
      <c r="L16" s="154">
        <f>IF('AW Schüler'!$N190=0,"x",G16/'AW Schüler'!$N190)</f>
        <v>0</v>
      </c>
    </row>
    <row r="17" spans="1:12" ht="9" customHeight="1">
      <c r="A17" s="21" t="s">
        <v>85</v>
      </c>
      <c r="B17" s="120"/>
      <c r="C17" s="42">
        <f t="shared" si="0"/>
        <v>3130</v>
      </c>
      <c r="D17" s="42">
        <f t="shared" ref="D17:E17" si="9">SUM(D35+D53)</f>
        <v>4123</v>
      </c>
      <c r="E17" s="42">
        <f t="shared" si="9"/>
        <v>3876</v>
      </c>
      <c r="F17" s="42">
        <f t="shared" ref="F17:G17" si="10">SUM(F35+F53)</f>
        <v>3768</v>
      </c>
      <c r="G17" s="44">
        <f t="shared" si="10"/>
        <v>3574</v>
      </c>
      <c r="H17" s="153">
        <f>IF('AW Schüler'!$B191=0,"x",C17/'AW Schüler'!$B191)</f>
        <v>0.63501724487725708</v>
      </c>
      <c r="I17" s="153">
        <f>IF('AW Schüler'!$E191=0,"x",D17/'AW Schüler'!$E191)</f>
        <v>0.88743004735256137</v>
      </c>
      <c r="J17" s="153">
        <f>IF('AW Schüler'!$H191=0,"x",E17/'AW Schüler'!$H191)</f>
        <v>0.89042039972432807</v>
      </c>
      <c r="K17" s="153">
        <f>IF('AW Schüler'!$K191=0,"x",F17/'AW Schüler'!$K191)</f>
        <v>0.90489913544668588</v>
      </c>
      <c r="L17" s="154">
        <f>IF('AW Schüler'!$N191=0,"x",G17/'AW Schüler'!$N191)</f>
        <v>0.8807294233612617</v>
      </c>
    </row>
    <row r="18" spans="1:12" ht="9" customHeight="1">
      <c r="A18" s="21" t="s">
        <v>86</v>
      </c>
      <c r="B18" s="120"/>
      <c r="C18" s="42">
        <f t="shared" si="0"/>
        <v>10102</v>
      </c>
      <c r="D18" s="42">
        <f t="shared" ref="D18:E18" si="11">SUM(D36+D54)</f>
        <v>10443</v>
      </c>
      <c r="E18" s="42">
        <f t="shared" si="11"/>
        <v>10753</v>
      </c>
      <c r="F18" s="42">
        <f t="shared" ref="F18:G18" si="12">SUM(F36+F54)</f>
        <v>10609</v>
      </c>
      <c r="G18" s="44">
        <f t="shared" si="12"/>
        <v>10623</v>
      </c>
      <c r="H18" s="153">
        <f>IF('AW Schüler'!$B192=0,"x",C18/'AW Schüler'!$B192)</f>
        <v>0.48846767564431121</v>
      </c>
      <c r="I18" s="153">
        <f>IF('AW Schüler'!$E192=0,"x",D18/'AW Schüler'!$E192)</f>
        <v>0.5117863268806665</v>
      </c>
      <c r="J18" s="153">
        <f>IF('AW Schüler'!$H192=0,"x",E18/'AW Schüler'!$H192)</f>
        <v>0.54032460680367822</v>
      </c>
      <c r="K18" s="153">
        <f>IF('AW Schüler'!$K192=0,"x",F18/'AW Schüler'!$K192)</f>
        <v>0.55151798710750677</v>
      </c>
      <c r="L18" s="154">
        <f>IF('AW Schüler'!$N192=0,"x",G18/'AW Schüler'!$N192)</f>
        <v>0.57449570061110811</v>
      </c>
    </row>
    <row r="19" spans="1:12" ht="9" customHeight="1">
      <c r="A19" s="21" t="s">
        <v>87</v>
      </c>
      <c r="B19" s="120"/>
      <c r="C19" s="42">
        <f t="shared" si="0"/>
        <v>1893</v>
      </c>
      <c r="D19" s="42">
        <f t="shared" ref="D19:E19" si="13">SUM(D37+D55)</f>
        <v>2048</v>
      </c>
      <c r="E19" s="42">
        <f t="shared" si="13"/>
        <v>1862</v>
      </c>
      <c r="F19" s="42">
        <f t="shared" ref="F19:G19" si="14">SUM(F37+F55)</f>
        <v>1899</v>
      </c>
      <c r="G19" s="44">
        <f t="shared" si="14"/>
        <v>1866</v>
      </c>
      <c r="H19" s="153">
        <f>IF('AW Schüler'!$B193=0,"x",C19/'AW Schüler'!$B193)</f>
        <v>0.23683222819967473</v>
      </c>
      <c r="I19" s="153">
        <f>IF('AW Schüler'!$E193=0,"x",D19/'AW Schüler'!$E193)</f>
        <v>0.27111464124966905</v>
      </c>
      <c r="J19" s="153">
        <f>IF('AW Schüler'!$H193=0,"x",E19/'AW Schüler'!$H193)</f>
        <v>0.23973220033474957</v>
      </c>
      <c r="K19" s="153">
        <f>IF('AW Schüler'!$K193=0,"x",F19/'AW Schüler'!$K193)</f>
        <v>0.25431900361590998</v>
      </c>
      <c r="L19" s="154">
        <f>IF('AW Schüler'!$N193=0,"x",G19/'AW Schüler'!$N193)</f>
        <v>0.25277702519642375</v>
      </c>
    </row>
    <row r="20" spans="1:12" ht="9" customHeight="1">
      <c r="A20" s="21" t="s">
        <v>88</v>
      </c>
      <c r="B20" s="120"/>
      <c r="C20" s="42">
        <f t="shared" si="0"/>
        <v>10931</v>
      </c>
      <c r="D20" s="42">
        <f t="shared" ref="D20:E20" si="15">SUM(D38+D56)</f>
        <v>10721</v>
      </c>
      <c r="E20" s="42">
        <f t="shared" si="15"/>
        <v>10608</v>
      </c>
      <c r="F20" s="42">
        <f t="shared" ref="F20:G20" si="16">SUM(F38+F56)</f>
        <v>10054</v>
      </c>
      <c r="G20" s="44">
        <f t="shared" si="16"/>
        <v>9977</v>
      </c>
      <c r="H20" s="153">
        <f>IF('AW Schüler'!$B194=0,"x",C20/'AW Schüler'!$B194)</f>
        <v>0.38725333900166509</v>
      </c>
      <c r="I20" s="153">
        <f>IF('AW Schüler'!$E194=0,"x",D20/'AW Schüler'!$E194)</f>
        <v>0.40823242708095347</v>
      </c>
      <c r="J20" s="153">
        <f>IF('AW Schüler'!$H194=0,"x",E20/'AW Schüler'!$H194)</f>
        <v>0.43863711544823025</v>
      </c>
      <c r="K20" s="153">
        <f>IF('AW Schüler'!$K194=0,"x",F20/'AW Schüler'!$K194)</f>
        <v>0.45860511791269443</v>
      </c>
      <c r="L20" s="154">
        <f>IF('AW Schüler'!$N194=0,"x",G20/'AW Schüler'!$N194)</f>
        <v>0.49252110381596487</v>
      </c>
    </row>
    <row r="21" spans="1:12" ht="9" customHeight="1">
      <c r="A21" s="21" t="s">
        <v>89</v>
      </c>
      <c r="B21" s="120"/>
      <c r="C21" s="42">
        <f t="shared" si="0"/>
        <v>33972</v>
      </c>
      <c r="D21" s="42">
        <f t="shared" ref="D21:E21" si="17">SUM(D39+D57)</f>
        <v>33477</v>
      </c>
      <c r="E21" s="42">
        <f t="shared" si="17"/>
        <v>33652</v>
      </c>
      <c r="F21" s="42">
        <f t="shared" ref="F21:G21" si="18">SUM(F39+F57)</f>
        <v>33752</v>
      </c>
      <c r="G21" s="44">
        <f t="shared" si="18"/>
        <v>35742</v>
      </c>
      <c r="H21" s="153">
        <f>IF('AW Schüler'!$B195=0,"x",C21/'AW Schüler'!$B195)</f>
        <v>0.42362799745613705</v>
      </c>
      <c r="I21" s="153">
        <f>IF('AW Schüler'!$E195=0,"x",D21/'AW Schüler'!$E195)</f>
        <v>0.44006414890959999</v>
      </c>
      <c r="J21" s="153">
        <f>IF('AW Schüler'!$H195=0,"x",E21/'AW Schüler'!$H195)</f>
        <v>0.46696732116838963</v>
      </c>
      <c r="K21" s="153">
        <f>IF('AW Schüler'!$K195=0,"x",F21/'AW Schüler'!$K195)</f>
        <v>0.49418723827930539</v>
      </c>
      <c r="L21" s="154">
        <f>IF('AW Schüler'!$N195=0,"x",G21/'AW Schüler'!$N195)</f>
        <v>0.5321363169413551</v>
      </c>
    </row>
    <row r="22" spans="1:12" ht="9" customHeight="1">
      <c r="A22" s="21" t="s">
        <v>90</v>
      </c>
      <c r="B22" s="120"/>
      <c r="C22" s="42">
        <f t="shared" si="0"/>
        <v>9753</v>
      </c>
      <c r="D22" s="42">
        <f t="shared" ref="D22:E22" si="19">SUM(D40+D58)</f>
        <v>9636</v>
      </c>
      <c r="E22" s="42">
        <f t="shared" si="19"/>
        <v>9555</v>
      </c>
      <c r="F22" s="42">
        <f t="shared" ref="F22:G22" si="20">SUM(F40+F58)</f>
        <v>9513</v>
      </c>
      <c r="G22" s="44">
        <f t="shared" si="20"/>
        <v>9534</v>
      </c>
      <c r="H22" s="153">
        <f>IF('AW Schüler'!$B196=0,"x",C22/'AW Schüler'!$B196)</f>
        <v>0.80324493493658378</v>
      </c>
      <c r="I22" s="153">
        <f>IF('AW Schüler'!$E196=0,"x",D22/'AW Schüler'!$E196)</f>
        <v>0.80387086009844</v>
      </c>
      <c r="J22" s="153">
        <f>IF('AW Schüler'!$H196=0,"x",E22/'AW Schüler'!$H196)</f>
        <v>0.80166121318902595</v>
      </c>
      <c r="K22" s="153">
        <f>IF('AW Schüler'!$K196=0,"x",F22/'AW Schüler'!$K196)</f>
        <v>0.80339498353179628</v>
      </c>
      <c r="L22" s="154">
        <f>IF('AW Schüler'!$N196=0,"x",G22/'AW Schüler'!$N196)</f>
        <v>0.80913180005092078</v>
      </c>
    </row>
    <row r="23" spans="1:12" ht="9" customHeight="1">
      <c r="A23" s="21" t="s">
        <v>91</v>
      </c>
      <c r="B23" s="120"/>
      <c r="C23" s="42">
        <f t="shared" si="0"/>
        <v>1191</v>
      </c>
      <c r="D23" s="42">
        <f t="shared" ref="D23:E23" si="21">SUM(D41+D59)</f>
        <v>1232</v>
      </c>
      <c r="E23" s="42">
        <f t="shared" si="21"/>
        <v>1151</v>
      </c>
      <c r="F23" s="42">
        <f t="shared" ref="F23:G23" si="22">SUM(F41+F59)</f>
        <v>1124</v>
      </c>
      <c r="G23" s="44">
        <f t="shared" si="22"/>
        <v>986</v>
      </c>
      <c r="H23" s="153">
        <f>IF('AW Schüler'!$B197=0,"x",C23/'AW Schüler'!$B197)</f>
        <v>0.35404280618311534</v>
      </c>
      <c r="I23" s="153">
        <f>IF('AW Schüler'!$E197=0,"x",D23/'AW Schüler'!$E197)</f>
        <v>0.37977805178791613</v>
      </c>
      <c r="J23" s="153">
        <f>IF('AW Schüler'!$H197=0,"x",E23/'AW Schüler'!$H197)</f>
        <v>0.36160854539742382</v>
      </c>
      <c r="K23" s="153">
        <f>IF('AW Schüler'!$K197=0,"x",F23/'AW Schüler'!$K197)</f>
        <v>0.35435056746532156</v>
      </c>
      <c r="L23" s="154">
        <f>IF('AW Schüler'!$N197=0,"x",G23/'AW Schüler'!$N197)</f>
        <v>0.32423544886550476</v>
      </c>
    </row>
    <row r="24" spans="1:12" ht="9" customHeight="1">
      <c r="A24" s="21" t="s">
        <v>92</v>
      </c>
      <c r="B24" s="120"/>
      <c r="C24" s="42">
        <f t="shared" si="0"/>
        <v>17778</v>
      </c>
      <c r="D24" s="42">
        <f t="shared" ref="D24:E24" si="23">SUM(D42+D60)</f>
        <v>17351</v>
      </c>
      <c r="E24" s="42">
        <f t="shared" si="23"/>
        <v>17443</v>
      </c>
      <c r="F24" s="42">
        <f t="shared" ref="F24:G24" si="24">SUM(F42+F60)</f>
        <v>17482</v>
      </c>
      <c r="G24" s="44">
        <f t="shared" si="24"/>
        <v>17399</v>
      </c>
      <c r="H24" s="153">
        <f>IF('AW Schüler'!$B198=0,"x",C24/'AW Schüler'!$B198)</f>
        <v>1</v>
      </c>
      <c r="I24" s="153">
        <f>IF('AW Schüler'!$E198=0,"x",D24/'AW Schüler'!$E198)</f>
        <v>1</v>
      </c>
      <c r="J24" s="153">
        <f>IF('AW Schüler'!$H198=0,"x",E24/'AW Schüler'!$H198)</f>
        <v>1</v>
      </c>
      <c r="K24" s="153">
        <f>IF('AW Schüler'!$K198=0,"x",F24/'AW Schüler'!$K198)</f>
        <v>1</v>
      </c>
      <c r="L24" s="154">
        <f>IF('AW Schüler'!$N198=0,"x",G24/'AW Schüler'!$N198)</f>
        <v>1</v>
      </c>
    </row>
    <row r="25" spans="1:12" ht="9" customHeight="1">
      <c r="A25" s="21" t="s">
        <v>93</v>
      </c>
      <c r="B25" s="120"/>
      <c r="C25" s="42">
        <f t="shared" si="0"/>
        <v>7512</v>
      </c>
      <c r="D25" s="42">
        <f t="shared" ref="D25:E25" si="25">SUM(D43+D61)</f>
        <v>7157</v>
      </c>
      <c r="E25" s="42">
        <f t="shared" si="25"/>
        <v>6783</v>
      </c>
      <c r="F25" s="42">
        <f t="shared" ref="F25:G25" si="26">SUM(F43+F61)</f>
        <v>6595</v>
      </c>
      <c r="G25" s="44">
        <f t="shared" si="26"/>
        <v>6440</v>
      </c>
      <c r="H25" s="153">
        <f>IF('AW Schüler'!$B199=0,"x",C25/'AW Schüler'!$B199)</f>
        <v>0.66666666666666663</v>
      </c>
      <c r="I25" s="153">
        <f>IF('AW Schüler'!$E199=0,"x",D25/'AW Schüler'!$E199)</f>
        <v>0.66669771774569164</v>
      </c>
      <c r="J25" s="153">
        <f>IF('AW Schüler'!$H199=0,"x",E25/'AW Schüler'!$H199)</f>
        <v>0.66669942991940245</v>
      </c>
      <c r="K25" s="153">
        <f>IF('AW Schüler'!$K199=0,"x",F25/'AW Schüler'!$K199)</f>
        <v>0.66663297280905687</v>
      </c>
      <c r="L25" s="154">
        <f>IF('AW Schüler'!$N199=0,"x",G25/'AW Schüler'!$N199)</f>
        <v>0.66770347330222912</v>
      </c>
    </row>
    <row r="26" spans="1:12" ht="9" customHeight="1">
      <c r="A26" s="21" t="s">
        <v>94</v>
      </c>
      <c r="B26" s="120"/>
      <c r="C26" s="42">
        <f t="shared" si="0"/>
        <v>1554</v>
      </c>
      <c r="D26" s="42">
        <f t="shared" ref="D26:E26" si="27">SUM(D44+D62)</f>
        <v>1466</v>
      </c>
      <c r="E26" s="42">
        <f t="shared" si="27"/>
        <v>1368</v>
      </c>
      <c r="F26" s="42">
        <f t="shared" ref="F26:G26" si="28">SUM(F44+F62)</f>
        <v>1291</v>
      </c>
      <c r="G26" s="44">
        <f t="shared" si="28"/>
        <v>1274</v>
      </c>
      <c r="H26" s="153">
        <f>IF('AW Schüler'!$B200=0,"x",C26/'AW Schüler'!$B200)</f>
        <v>0.24372647427854455</v>
      </c>
      <c r="I26" s="153">
        <f>IF('AW Schüler'!$E200=0,"x",D26/'AW Schüler'!$E200)</f>
        <v>0.25245393490614776</v>
      </c>
      <c r="J26" s="153">
        <f>IF('AW Schüler'!$H200=0,"x",E26/'AW Schüler'!$H200)</f>
        <v>0.2544642857142857</v>
      </c>
      <c r="K26" s="153">
        <f>IF('AW Schüler'!$K200=0,"x",F26/'AW Schüler'!$K200)</f>
        <v>0.25343541421279936</v>
      </c>
      <c r="L26" s="154">
        <f>IF('AW Schüler'!$N200=0,"x",G26/'AW Schüler'!$N200)</f>
        <v>0.25732175318117551</v>
      </c>
    </row>
    <row r="27" spans="1:12" ht="9" customHeight="1">
      <c r="A27" s="21" t="s">
        <v>95</v>
      </c>
      <c r="B27" s="120"/>
      <c r="C27" s="42">
        <f t="shared" si="0"/>
        <v>5847</v>
      </c>
      <c r="D27" s="42">
        <f t="shared" ref="D27:E27" si="29">SUM(D45+D63)</f>
        <v>5371</v>
      </c>
      <c r="E27" s="42">
        <f t="shared" si="29"/>
        <v>5082</v>
      </c>
      <c r="F27" s="42">
        <f t="shared" ref="F27:G27" si="30">SUM(F45+F63)</f>
        <v>4804</v>
      </c>
      <c r="G27" s="44">
        <f t="shared" si="30"/>
        <v>4533</v>
      </c>
      <c r="H27" s="153">
        <f>IF('AW Schüler'!$B201=0,"x",C27/'AW Schüler'!$B201)</f>
        <v>1</v>
      </c>
      <c r="I27" s="153">
        <f>IF('AW Schüler'!$E201=0,"x",D27/'AW Schüler'!$E201)</f>
        <v>1</v>
      </c>
      <c r="J27" s="153">
        <f>IF('AW Schüler'!$H201=0,"x",E27/'AW Schüler'!$H201)</f>
        <v>1</v>
      </c>
      <c r="K27" s="153">
        <f>IF('AW Schüler'!$K201=0,"x",F27/'AW Schüler'!$K201)</f>
        <v>1</v>
      </c>
      <c r="L27" s="154">
        <f>IF('AW Schüler'!$N201=0,"x",G27/'AW Schüler'!$N201)</f>
        <v>1</v>
      </c>
    </row>
    <row r="28" spans="1:12" ht="9" customHeight="1">
      <c r="A28" s="21" t="s">
        <v>96</v>
      </c>
      <c r="B28" s="120"/>
      <c r="C28" s="42">
        <f t="shared" si="0"/>
        <v>131324</v>
      </c>
      <c r="D28" s="42">
        <f t="shared" ref="D28:E28" si="31">SUM(D46+D64)</f>
        <v>133181</v>
      </c>
      <c r="E28" s="42">
        <f t="shared" si="31"/>
        <v>134148</v>
      </c>
      <c r="F28" s="42">
        <f t="shared" ref="F28:G28" si="32">SUM(F46+F64)</f>
        <v>132330</v>
      </c>
      <c r="G28" s="44">
        <f t="shared" si="32"/>
        <v>134790</v>
      </c>
      <c r="H28" s="153">
        <f>IF('AW Schüler'!$B202=0,"x",C28/'AW Schüler'!$B202)</f>
        <v>0.46208629195138601</v>
      </c>
      <c r="I28" s="153">
        <f>IF('AW Schüler'!$E202=0,"x",D28/'AW Schüler'!$E202)</f>
        <v>0.48823057155321264</v>
      </c>
      <c r="J28" s="153">
        <f>IF('AW Schüler'!$H202=0,"x",E28/'AW Schüler'!$H202)</f>
        <v>0.50830194684632113</v>
      </c>
      <c r="K28" s="153">
        <f>IF('AW Schüler'!$K202=0,"x",F28/'AW Schüler'!$K202)</f>
        <v>0.52636603381821223</v>
      </c>
      <c r="L28" s="154">
        <f>IF('AW Schüler'!$N202=0,"x",G28/'AW Schüler'!$N202)</f>
        <v>0.54146447279622067</v>
      </c>
    </row>
    <row r="29" spans="1:12" ht="12.75" customHeight="1">
      <c r="A29" s="391" t="s">
        <v>105</v>
      </c>
      <c r="B29" s="392"/>
      <c r="C29" s="392"/>
      <c r="D29" s="392"/>
      <c r="E29" s="392"/>
      <c r="F29" s="392"/>
      <c r="G29" s="392"/>
      <c r="H29" s="392"/>
      <c r="I29" s="392"/>
      <c r="J29" s="392"/>
      <c r="K29" s="392"/>
      <c r="L29" s="393"/>
    </row>
    <row r="30" spans="1:12" ht="9" customHeight="1">
      <c r="A30" s="21" t="s">
        <v>175</v>
      </c>
      <c r="B30" s="120"/>
      <c r="C30" s="23">
        <f>[1]GtS!$E$34</f>
        <v>14877</v>
      </c>
      <c r="D30" s="23">
        <f>[2]GtS!$E$36</f>
        <v>14764</v>
      </c>
      <c r="E30" s="23">
        <f>[3]GtS!$E$36</f>
        <v>15466</v>
      </c>
      <c r="F30" s="23">
        <f>[4]GtS!$E$36</f>
        <v>14379</v>
      </c>
      <c r="G30" s="34">
        <f>[5]GtS!$E$36</f>
        <v>15073</v>
      </c>
      <c r="H30" s="155">
        <f>IF('AW Schüler'!$B186=0,"x",C30/'AW Schüler'!$B186)</f>
        <v>0.40365205122639464</v>
      </c>
      <c r="I30" s="155">
        <f>IF('AW Schüler'!$E186=0,"x",D30/'AW Schüler'!$E186)</f>
        <v>0.40327779295274513</v>
      </c>
      <c r="J30" s="155">
        <f>IF('AW Schüler'!$H186=0,"x",E30/'AW Schüler'!$H186)</f>
        <v>0.42091225778358371</v>
      </c>
      <c r="K30" s="155">
        <f>IF('AW Schüler'!$K186=0,"x",F30/'AW Schüler'!$K186)</f>
        <v>0.43189259003394109</v>
      </c>
      <c r="L30" s="156">
        <f>IF('AW Schüler'!$N186=0,"x",G30/'AW Schüler'!$N186)</f>
        <v>0.43878085700978109</v>
      </c>
    </row>
    <row r="31" spans="1:12" ht="9" customHeight="1">
      <c r="A31" s="21" t="s">
        <v>81</v>
      </c>
      <c r="B31" s="120"/>
      <c r="C31" s="23">
        <f>[6]GtS!$E$34</f>
        <v>3035</v>
      </c>
      <c r="D31" s="23">
        <f>[7]GtS!$E$36</f>
        <v>3786</v>
      </c>
      <c r="E31" s="23">
        <f>[8]GtS!$E$36</f>
        <v>4380</v>
      </c>
      <c r="F31" s="23">
        <f>[9]GtS!$E$36</f>
        <v>4573</v>
      </c>
      <c r="G31" s="34">
        <f>[10]GtS!$E$36</f>
        <v>4823</v>
      </c>
      <c r="H31" s="155">
        <f>IF('AW Schüler'!$B187=0,"x",C31/'AW Schüler'!$B187)</f>
        <v>0.10252339289936831</v>
      </c>
      <c r="I31" s="155">
        <f>IF('AW Schüler'!$E187=0,"x",D31/'AW Schüler'!$E187)</f>
        <v>0.12975084821275576</v>
      </c>
      <c r="J31" s="155">
        <f>IF('AW Schüler'!$H187=0,"x",E31/'AW Schüler'!$H187)</f>
        <v>0.15003082825238062</v>
      </c>
      <c r="K31" s="155">
        <f>IF('AW Schüler'!$K187=0,"x",F31/'AW Schüler'!$K187)</f>
        <v>0.15755383290267011</v>
      </c>
      <c r="L31" s="156">
        <f>IF('AW Schüler'!$N187=0,"x",G31/'AW Schüler'!$N187)</f>
        <v>0.15946437427673996</v>
      </c>
    </row>
    <row r="32" spans="1:12" ht="9" customHeight="1">
      <c r="A32" s="21" t="s">
        <v>82</v>
      </c>
      <c r="B32" s="120"/>
      <c r="C32" s="23">
        <f>[11]GtS!$E$34</f>
        <v>1080</v>
      </c>
      <c r="D32" s="23">
        <f>[12]GtS!$E$36</f>
        <v>3075</v>
      </c>
      <c r="E32" s="23">
        <f>[13]GtS!$E$36</f>
        <v>3394</v>
      </c>
      <c r="F32" s="23">
        <f>[14]GtS!$E$36</f>
        <v>3045</v>
      </c>
      <c r="G32" s="34">
        <f>[15]GtS!$E$36</f>
        <v>2557</v>
      </c>
      <c r="H32" s="155">
        <f>IF('AW Schüler'!$B188=0,"x",C32/'AW Schüler'!$B188)</f>
        <v>0.11370814908401769</v>
      </c>
      <c r="I32" s="155">
        <f>IF('AW Schüler'!$E188=0,"x",D32/'AW Schüler'!$E188)</f>
        <v>0.3524355300859599</v>
      </c>
      <c r="J32" s="155">
        <f>IF('AW Schüler'!$H188=0,"x",E32/'AW Schüler'!$H188)</f>
        <v>0.41049830672472182</v>
      </c>
      <c r="K32" s="155">
        <f>IF('AW Schüler'!$K188=0,"x",F32/'AW Schüler'!$K188)</f>
        <v>0.39083557951482478</v>
      </c>
      <c r="L32" s="156">
        <f>IF('AW Schüler'!$N188=0,"x",G32/'AW Schüler'!$N188)</f>
        <v>0.33372487601148526</v>
      </c>
    </row>
    <row r="33" spans="1:12" ht="9" customHeight="1">
      <c r="A33" s="21" t="s">
        <v>83</v>
      </c>
      <c r="B33" s="120"/>
      <c r="C33" s="23">
        <f>[16]GtS!$E$34</f>
        <v>3216</v>
      </c>
      <c r="D33" s="23">
        <f>[17]GtS!$E$36</f>
        <v>3195</v>
      </c>
      <c r="E33" s="23">
        <f>[18]GtS!$E$36</f>
        <v>3193</v>
      </c>
      <c r="F33" s="23">
        <f>[19]GtS!$E$36</f>
        <v>3231</v>
      </c>
      <c r="G33" s="34">
        <f>[20]GtS!$E$36</f>
        <v>3289</v>
      </c>
      <c r="H33" s="155">
        <f>IF('AW Schüler'!$B189=0,"x",C33/'AW Schüler'!$B189)</f>
        <v>0.38556527994245293</v>
      </c>
      <c r="I33" s="155">
        <f>IF('AW Schüler'!$E189=0,"x",D33/'AW Schüler'!$E189)</f>
        <v>0.40138190954773867</v>
      </c>
      <c r="J33" s="155">
        <f>IF('AW Schüler'!$H189=0,"x",E33/'AW Schüler'!$H189)</f>
        <v>0.42035281727224855</v>
      </c>
      <c r="K33" s="155">
        <f>IF('AW Schüler'!$K189=0,"x",F33/'AW Schüler'!$K189)</f>
        <v>0.43485868102288022</v>
      </c>
      <c r="L33" s="156">
        <f>IF('AW Schüler'!$N189=0,"x",G33/'AW Schüler'!$N189)</f>
        <v>0.44368002158370429</v>
      </c>
    </row>
    <row r="34" spans="1:12" ht="9" customHeight="1">
      <c r="A34" s="21" t="s">
        <v>84</v>
      </c>
      <c r="B34" s="120"/>
      <c r="C34" s="23">
        <f>[21]GtS!$E$34</f>
        <v>0</v>
      </c>
      <c r="D34" s="23">
        <f>[22]GtS!$E$36</f>
        <v>0</v>
      </c>
      <c r="E34" s="23">
        <f>[23]GtS!$E$36</f>
        <v>0</v>
      </c>
      <c r="F34" s="23">
        <f>[24]GtS!$E$36</f>
        <v>0</v>
      </c>
      <c r="G34" s="34">
        <f>[25]GtS!$E$36</f>
        <v>0</v>
      </c>
      <c r="H34" s="155">
        <f>IF('AW Schüler'!$B190=0,"x",C34/'AW Schüler'!$B190)</f>
        <v>0</v>
      </c>
      <c r="I34" s="155">
        <f>IF('AW Schüler'!$E190=0,"x",D34/'AW Schüler'!$E190)</f>
        <v>0</v>
      </c>
      <c r="J34" s="155">
        <f>IF('AW Schüler'!$H190=0,"x",E34/'AW Schüler'!$H190)</f>
        <v>0</v>
      </c>
      <c r="K34" s="155">
        <f>IF('AW Schüler'!$K190=0,"x",F34/'AW Schüler'!$K190)</f>
        <v>0</v>
      </c>
      <c r="L34" s="156">
        <f>IF('AW Schüler'!$N190=0,"x",G34/'AW Schüler'!$N190)</f>
        <v>0</v>
      </c>
    </row>
    <row r="35" spans="1:12" ht="9" customHeight="1">
      <c r="A35" s="21" t="s">
        <v>85</v>
      </c>
      <c r="B35" s="120"/>
      <c r="C35" s="23">
        <f>[26]GtS!$E$34</f>
        <v>2885</v>
      </c>
      <c r="D35" s="23">
        <f>[27]GtS!$E$36</f>
        <v>2924</v>
      </c>
      <c r="E35" s="23">
        <f>[28]GtS!$E$36</f>
        <v>2753</v>
      </c>
      <c r="F35" s="23">
        <f>[29]GtS!$E$36</f>
        <v>2629</v>
      </c>
      <c r="G35" s="34">
        <f>[30]GtS!$E$36</f>
        <v>2914</v>
      </c>
      <c r="H35" s="155">
        <f>IF('AW Schüler'!$B191=0,"x",C35/'AW Schüler'!$B191)</f>
        <v>0.5853114221951714</v>
      </c>
      <c r="I35" s="155">
        <f>IF('AW Schüler'!$E191=0,"x",D35/'AW Schüler'!$E191)</f>
        <v>0.62935858803271627</v>
      </c>
      <c r="J35" s="155">
        <f>IF('AW Schüler'!$H191=0,"x",E35/'AW Schüler'!$H191)</f>
        <v>0.63243739949460143</v>
      </c>
      <c r="K35" s="155">
        <f>IF('AW Schüler'!$K191=0,"x",F35/'AW Schüler'!$K191)</f>
        <v>0.63136407300672426</v>
      </c>
      <c r="L35" s="156">
        <f>IF('AW Schüler'!$N191=0,"x",G35/'AW Schüler'!$N191)</f>
        <v>0.71808772794480036</v>
      </c>
    </row>
    <row r="36" spans="1:12" ht="9" customHeight="1">
      <c r="A36" s="21" t="s">
        <v>86</v>
      </c>
      <c r="B36" s="120"/>
      <c r="C36" s="23">
        <f>[66]GtS!$E$34</f>
        <v>6432</v>
      </c>
      <c r="D36" s="23">
        <f>[67]GtS!$E$36</f>
        <v>6559</v>
      </c>
      <c r="E36" s="23">
        <f>[68]GtS!$E$36</f>
        <v>6521</v>
      </c>
      <c r="F36" s="23">
        <f>[69]GtS!$E$36</f>
        <v>6491</v>
      </c>
      <c r="G36" s="34">
        <f>[70]GtS!$E$36</f>
        <v>6811</v>
      </c>
      <c r="H36" s="155">
        <f>IF('AW Schüler'!$B192=0,"x",C36/'AW Schüler'!$B192)</f>
        <v>0.31101010589429912</v>
      </c>
      <c r="I36" s="155">
        <f>IF('AW Schüler'!$E192=0,"x",D36/'AW Schüler'!$E192)</f>
        <v>0.32144082332761575</v>
      </c>
      <c r="J36" s="155">
        <f>IF('AW Schüler'!$H192=0,"x",E36/'AW Schüler'!$H192)</f>
        <v>0.32767197628259886</v>
      </c>
      <c r="K36" s="155">
        <f>IF('AW Schüler'!$K192=0,"x",F36/'AW Schüler'!$K192)</f>
        <v>0.33744021626117698</v>
      </c>
      <c r="L36" s="156">
        <f>IF('AW Schüler'!$N192=0,"x",G36/'AW Schüler'!$N192)</f>
        <v>0.36834135525390732</v>
      </c>
    </row>
    <row r="37" spans="1:12" ht="9" customHeight="1">
      <c r="A37" s="21" t="s">
        <v>87</v>
      </c>
      <c r="B37" s="120"/>
      <c r="C37" s="23">
        <f>[31]GtS!$E$34</f>
        <v>1432</v>
      </c>
      <c r="D37" s="23">
        <f>[32]GtS!$E$36</f>
        <v>1477</v>
      </c>
      <c r="E37" s="23">
        <f>[33]GtS!$E$36</f>
        <v>1304</v>
      </c>
      <c r="F37" s="23">
        <f>[34]GtS!$E$36</f>
        <v>1343</v>
      </c>
      <c r="G37" s="34">
        <f>[35]GtS!$E$36</f>
        <v>1665</v>
      </c>
      <c r="H37" s="155">
        <f>IF('AW Schüler'!$B193=0,"x",C37/'AW Schüler'!$B193)</f>
        <v>0.17915676216689602</v>
      </c>
      <c r="I37" s="155">
        <f>IF('AW Schüler'!$E193=0,"x",D37/'AW Schüler'!$E193)</f>
        <v>0.19552554937781308</v>
      </c>
      <c r="J37" s="155">
        <f>IF('AW Schüler'!$H193=0,"x",E37/'AW Schüler'!$H193)</f>
        <v>0.16788979013776234</v>
      </c>
      <c r="K37" s="155">
        <f>IF('AW Schüler'!$K193=0,"x",F37/'AW Schüler'!$K193)</f>
        <v>0.17985804205169412</v>
      </c>
      <c r="L37" s="156">
        <f>IF('AW Schüler'!$N193=0,"x",G37/'AW Schüler'!$N193)</f>
        <v>0.22554863180709836</v>
      </c>
    </row>
    <row r="38" spans="1:12" ht="9" customHeight="1">
      <c r="A38" s="21" t="s">
        <v>88</v>
      </c>
      <c r="B38" s="120"/>
      <c r="C38" s="23">
        <f>[71]GtS!$E$34</f>
        <v>5201</v>
      </c>
      <c r="D38" s="23">
        <f>[72]GtS!$E$36</f>
        <v>5297</v>
      </c>
      <c r="E38" s="23">
        <f>[73]GtS!$E$36</f>
        <v>5636</v>
      </c>
      <c r="F38" s="23">
        <f>[74]GtS!$E$36</f>
        <v>6328</v>
      </c>
      <c r="G38" s="34">
        <f>[75]GtS!$E$36</f>
        <v>6410</v>
      </c>
      <c r="H38" s="155">
        <f>IF('AW Schüler'!$B194=0,"x",C38/'AW Schüler'!$B194)</f>
        <v>0.18425620859460801</v>
      </c>
      <c r="I38" s="155">
        <f>IF('AW Schüler'!$E194=0,"x",D38/'AW Schüler'!$E194)</f>
        <v>0.20169827126646866</v>
      </c>
      <c r="J38" s="155">
        <f>IF('AW Schüler'!$H194=0,"x",E38/'AW Schüler'!$H194)</f>
        <v>0.23304664240820377</v>
      </c>
      <c r="K38" s="155">
        <f>IF('AW Schüler'!$K194=0,"x",F38/'AW Schüler'!$K194)</f>
        <v>0.28864662683026959</v>
      </c>
      <c r="L38" s="156">
        <f>IF('AW Schüler'!$N194=0,"x",G38/'AW Schüler'!$N194)</f>
        <v>0.3164338253443254</v>
      </c>
    </row>
    <row r="39" spans="1:12" ht="9" customHeight="1">
      <c r="A39" s="21" t="s">
        <v>89</v>
      </c>
      <c r="B39" s="120"/>
      <c r="C39" s="23">
        <f>[36]GtS!$E$34</f>
        <v>26086</v>
      </c>
      <c r="D39" s="23">
        <f>[37]GtS!$E$36</f>
        <v>26021</v>
      </c>
      <c r="E39" s="23">
        <f>[38]GtS!$E$36</f>
        <v>26501</v>
      </c>
      <c r="F39" s="23">
        <f>[39]GtS!$E$36</f>
        <v>27048</v>
      </c>
      <c r="G39" s="34">
        <f>[40]GtS!$E$36</f>
        <v>28887</v>
      </c>
      <c r="H39" s="155">
        <f>IF('AW Schüler'!$B195=0,"x",C39/'AW Schüler'!$B195)</f>
        <v>0.32529023730250772</v>
      </c>
      <c r="I39" s="155">
        <f>IF('AW Schüler'!$E195=0,"x",D39/'AW Schüler'!$E195)</f>
        <v>0.34205302801256687</v>
      </c>
      <c r="J39" s="155">
        <f>IF('AW Schüler'!$H195=0,"x",E39/'AW Schüler'!$H195)</f>
        <v>0.36773745923818774</v>
      </c>
      <c r="K39" s="155">
        <f>IF('AW Schüler'!$K195=0,"x",F39/'AW Schüler'!$K195)</f>
        <v>0.39602916630062374</v>
      </c>
      <c r="L39" s="156">
        <f>IF('AW Schüler'!$N195=0,"x",G39/'AW Schüler'!$N195)</f>
        <v>0.43007727008798963</v>
      </c>
    </row>
    <row r="40" spans="1:12" ht="9" customHeight="1">
      <c r="A40" s="21" t="s">
        <v>90</v>
      </c>
      <c r="B40" s="120"/>
      <c r="C40" s="23">
        <f>[41]GtS!$E$34</f>
        <v>9753</v>
      </c>
      <c r="D40" s="23">
        <f>[42]GtS!$E$36</f>
        <v>9636</v>
      </c>
      <c r="E40" s="23">
        <f>[43]GtS!$E$36</f>
        <v>9555</v>
      </c>
      <c r="F40" s="23">
        <f>[44]GtS!$E$36</f>
        <v>9513</v>
      </c>
      <c r="G40" s="34">
        <f>[45]GtS!$E$36</f>
        <v>9534</v>
      </c>
      <c r="H40" s="155">
        <f>IF('AW Schüler'!$B196=0,"x",C40/'AW Schüler'!$B196)</f>
        <v>0.80324493493658378</v>
      </c>
      <c r="I40" s="155">
        <f>IF('AW Schüler'!$E196=0,"x",D40/'AW Schüler'!$E196)</f>
        <v>0.80387086009844</v>
      </c>
      <c r="J40" s="155">
        <f>IF('AW Schüler'!$H196=0,"x",E40/'AW Schüler'!$H196)</f>
        <v>0.80166121318902595</v>
      </c>
      <c r="K40" s="155">
        <f>IF('AW Schüler'!$K196=0,"x",F40/'AW Schüler'!$K196)</f>
        <v>0.80339498353179628</v>
      </c>
      <c r="L40" s="156">
        <f>IF('AW Schüler'!$N196=0,"x",G40/'AW Schüler'!$N196)</f>
        <v>0.80913180005092078</v>
      </c>
    </row>
    <row r="41" spans="1:12" ht="9" customHeight="1">
      <c r="A41" s="21" t="s">
        <v>91</v>
      </c>
      <c r="B41" s="120"/>
      <c r="C41" s="23">
        <f>[46]GtS!$E$34</f>
        <v>887</v>
      </c>
      <c r="D41" s="23">
        <f>[47]GtS!$E$36</f>
        <v>940</v>
      </c>
      <c r="E41" s="23">
        <f>[48]GtS!$E$36</f>
        <v>827</v>
      </c>
      <c r="F41" s="23">
        <f>[49]GtS!$E$36</f>
        <v>814</v>
      </c>
      <c r="G41" s="34">
        <f>[50]GtS!$E$36</f>
        <v>740</v>
      </c>
      <c r="H41" s="155">
        <f>IF('AW Schüler'!$B197=0,"x",C41/'AW Schüler'!$B197)</f>
        <v>0.26367419738406661</v>
      </c>
      <c r="I41" s="155">
        <f>IF('AW Schüler'!$E197=0,"x",D41/'AW Schüler'!$E197)</f>
        <v>0.28976572133168926</v>
      </c>
      <c r="J41" s="155">
        <f>IF('AW Schüler'!$H197=0,"x",E41/'AW Schüler'!$H197)</f>
        <v>0.25981778196669808</v>
      </c>
      <c r="K41" s="155">
        <f>IF('AW Schüler'!$K197=0,"x",F41/'AW Schüler'!$K197)</f>
        <v>0.25662042875157631</v>
      </c>
      <c r="L41" s="156">
        <f>IF('AW Schüler'!$N197=0,"x",G41/'AW Schüler'!$N197)</f>
        <v>0.24334100624794475</v>
      </c>
    </row>
    <row r="42" spans="1:12" ht="9" customHeight="1">
      <c r="A42" s="21" t="s">
        <v>92</v>
      </c>
      <c r="B42" s="120"/>
      <c r="C42" s="23">
        <f>[51]GtS!$E$34</f>
        <v>6337</v>
      </c>
      <c r="D42" s="23">
        <f>[52]GtS!$E$36</f>
        <v>5320</v>
      </c>
      <c r="E42" s="23">
        <f>[53]GtS!$E$36</f>
        <v>6565</v>
      </c>
      <c r="F42" s="23">
        <f>[54]GtS!$E$36</f>
        <v>6483</v>
      </c>
      <c r="G42" s="34">
        <f>[55]GtS!$E$36</f>
        <v>6795</v>
      </c>
      <c r="H42" s="155">
        <f>IF('AW Schüler'!$B198=0,"x",C42/'AW Schüler'!$B198)</f>
        <v>0.35645179435257057</v>
      </c>
      <c r="I42" s="155">
        <f>IF('AW Schüler'!$E198=0,"x",D42/'AW Schüler'!$E198)</f>
        <v>0.30661056999596564</v>
      </c>
      <c r="J42" s="155">
        <f>IF('AW Schüler'!$H198=0,"x",E42/'AW Schüler'!$H198)</f>
        <v>0.37636874390873132</v>
      </c>
      <c r="K42" s="155">
        <f>IF('AW Schüler'!$K198=0,"x",F42/'AW Schüler'!$K198)</f>
        <v>0.37083857682187393</v>
      </c>
      <c r="L42" s="156">
        <f>IF('AW Schüler'!$N198=0,"x",G42/'AW Schüler'!$N198)</f>
        <v>0.39053968618886142</v>
      </c>
    </row>
    <row r="43" spans="1:12" ht="9" customHeight="1">
      <c r="A43" s="21" t="s">
        <v>93</v>
      </c>
      <c r="B43" s="120"/>
      <c r="C43" s="23">
        <f>[76]GtS!$E$34</f>
        <v>0</v>
      </c>
      <c r="D43" s="23">
        <f>[77]GtS!$E$36</f>
        <v>0</v>
      </c>
      <c r="E43" s="23">
        <f>[78]GtS!$E$36</f>
        <v>0</v>
      </c>
      <c r="F43" s="23">
        <f>[79]GtS!$E$36</f>
        <v>0</v>
      </c>
      <c r="G43" s="34">
        <f>[80]GtS!$E$36</f>
        <v>0</v>
      </c>
      <c r="H43" s="155">
        <f>IF('AW Schüler'!$B199=0,"x",C43/'AW Schüler'!$B199)</f>
        <v>0</v>
      </c>
      <c r="I43" s="155">
        <f>IF('AW Schüler'!$E199=0,"x",D43/'AW Schüler'!$E199)</f>
        <v>0</v>
      </c>
      <c r="J43" s="155">
        <f>IF('AW Schüler'!$H199=0,"x",E43/'AW Schüler'!$H199)</f>
        <v>0</v>
      </c>
      <c r="K43" s="155">
        <f>IF('AW Schüler'!$K199=0,"x",F43/'AW Schüler'!$K199)</f>
        <v>0</v>
      </c>
      <c r="L43" s="156">
        <f>IF('AW Schüler'!$N199=0,"x",G43/'AW Schüler'!$N199)</f>
        <v>0</v>
      </c>
    </row>
    <row r="44" spans="1:12" ht="9" customHeight="1">
      <c r="A44" s="21" t="s">
        <v>94</v>
      </c>
      <c r="B44" s="120"/>
      <c r="C44" s="23">
        <f>[56]GtS!$E$34</f>
        <v>0</v>
      </c>
      <c r="D44" s="23">
        <f>[57]GtS!$E$36</f>
        <v>0</v>
      </c>
      <c r="E44" s="23">
        <f>[58]GtS!$E$36</f>
        <v>0</v>
      </c>
      <c r="F44" s="23">
        <f>[59]GtS!$E$36</f>
        <v>0</v>
      </c>
      <c r="G44" s="34">
        <f>[60]GtS!$E$36</f>
        <v>0</v>
      </c>
      <c r="H44" s="155">
        <f>IF('AW Schüler'!$B200=0,"x",C44/'AW Schüler'!$B200)</f>
        <v>0</v>
      </c>
      <c r="I44" s="155">
        <f>IF('AW Schüler'!$E200=0,"x",D44/'AW Schüler'!$E200)</f>
        <v>0</v>
      </c>
      <c r="J44" s="155">
        <f>IF('AW Schüler'!$H200=0,"x",E44/'AW Schüler'!$H200)</f>
        <v>0</v>
      </c>
      <c r="K44" s="155">
        <f>IF('AW Schüler'!$K200=0,"x",F44/'AW Schüler'!$K200)</f>
        <v>0</v>
      </c>
      <c r="L44" s="156">
        <f>IF('AW Schüler'!$N200=0,"x",G44/'AW Schüler'!$N200)</f>
        <v>0</v>
      </c>
    </row>
    <row r="45" spans="1:12" ht="9" customHeight="1">
      <c r="A45" s="21" t="s">
        <v>95</v>
      </c>
      <c r="B45" s="120"/>
      <c r="C45" s="23">
        <f>[61]GtS!$E$34</f>
        <v>5847</v>
      </c>
      <c r="D45" s="23">
        <f>[62]GtS!$E$36</f>
        <v>5371</v>
      </c>
      <c r="E45" s="23">
        <f>[63]GtS!$E$36</f>
        <v>5082</v>
      </c>
      <c r="F45" s="23">
        <f>[64]GtS!$E$36</f>
        <v>4804</v>
      </c>
      <c r="G45" s="34">
        <f>[65]GtS!$E$36</f>
        <v>4533</v>
      </c>
      <c r="H45" s="155">
        <f>IF('AW Schüler'!$B201=0,"x",C45/'AW Schüler'!$B201)</f>
        <v>1</v>
      </c>
      <c r="I45" s="155">
        <f>IF('AW Schüler'!$E201=0,"x",D45/'AW Schüler'!$E201)</f>
        <v>1</v>
      </c>
      <c r="J45" s="155">
        <f>IF('AW Schüler'!$H201=0,"x",E45/'AW Schüler'!$H201)</f>
        <v>1</v>
      </c>
      <c r="K45" s="155">
        <f>IF('AW Schüler'!$K201=0,"x",F45/'AW Schüler'!$K201)</f>
        <v>1</v>
      </c>
      <c r="L45" s="156">
        <f>IF('AW Schüler'!$N201=0,"x",G45/'AW Schüler'!$N201)</f>
        <v>1</v>
      </c>
    </row>
    <row r="46" spans="1:12" ht="9" customHeight="1">
      <c r="A46" s="21" t="s">
        <v>96</v>
      </c>
      <c r="B46" s="120"/>
      <c r="C46" s="23">
        <f>SUM(C30:C45)</f>
        <v>87068</v>
      </c>
      <c r="D46" s="23">
        <f>SUM(D30:D45)</f>
        <v>88365</v>
      </c>
      <c r="E46" s="23">
        <f>SUM(E30:E45)</f>
        <v>91177</v>
      </c>
      <c r="F46" s="23">
        <f>SUM(F30:F45)</f>
        <v>90681</v>
      </c>
      <c r="G46" s="34">
        <f>SUM(G30:G45)</f>
        <v>94031</v>
      </c>
      <c r="H46" s="155">
        <f>IF('AW Schüler'!$B202=0,"x",C46/'AW Schüler'!$B202)</f>
        <v>0.30636387307440588</v>
      </c>
      <c r="I46" s="155">
        <f>IF('AW Schüler'!$E202=0,"x",D46/'AW Schüler'!$E202)</f>
        <v>0.32393880850346246</v>
      </c>
      <c r="J46" s="155">
        <f>IF('AW Schüler'!$H202=0,"x",E46/'AW Schüler'!$H202)</f>
        <v>0.34547996695893357</v>
      </c>
      <c r="K46" s="155">
        <f>IF('AW Schüler'!$K202=0,"x",F46/'AW Schüler'!$K202)</f>
        <v>0.36069975298624124</v>
      </c>
      <c r="L46" s="156">
        <f>IF('AW Schüler'!$N202=0,"x",G46/'AW Schüler'!$N202)</f>
        <v>0.37773162579940228</v>
      </c>
    </row>
    <row r="47" spans="1:12" ht="12.75" customHeight="1">
      <c r="A47" s="391" t="s">
        <v>100</v>
      </c>
      <c r="B47" s="392"/>
      <c r="C47" s="392"/>
      <c r="D47" s="392"/>
      <c r="E47" s="392"/>
      <c r="F47" s="392"/>
      <c r="G47" s="392"/>
      <c r="H47" s="392"/>
      <c r="I47" s="392"/>
      <c r="J47" s="392"/>
      <c r="K47" s="392"/>
      <c r="L47" s="393"/>
    </row>
    <row r="48" spans="1:12" ht="9" customHeight="1">
      <c r="A48" s="21" t="s">
        <v>175</v>
      </c>
      <c r="B48" s="120"/>
      <c r="C48" s="23">
        <f>[1]GtS!$H$34</f>
        <v>441</v>
      </c>
      <c r="D48" s="23">
        <f>[2]GtS!$H$36</f>
        <v>543</v>
      </c>
      <c r="E48" s="23">
        <f>[3]GtS!$H$36</f>
        <v>719</v>
      </c>
      <c r="F48" s="23">
        <f>[4]GtS!$H$36</f>
        <v>679</v>
      </c>
      <c r="G48" s="34">
        <f>[5]GtS!$H$36</f>
        <v>901</v>
      </c>
      <c r="H48" s="155">
        <f>IF('AW Schüler'!$B186=0,"x",C48/'AW Schüler'!$B186)</f>
        <v>1.1965487301931843E-2</v>
      </c>
      <c r="I48" s="155">
        <f>IF('AW Schüler'!$E186=0,"x",D48/'AW Schüler'!$E186)</f>
        <v>1.4832013111171811E-2</v>
      </c>
      <c r="J48" s="155">
        <f>IF('AW Schüler'!$H186=0,"x",E48/'AW Schüler'!$H186)</f>
        <v>1.9567820596559982E-2</v>
      </c>
      <c r="K48" s="155">
        <f>IF('AW Schüler'!$K186=0,"x",F48/'AW Schüler'!$K186)</f>
        <v>2.0394677559847415E-2</v>
      </c>
      <c r="L48" s="156">
        <f>IF('AW Schüler'!$N186=0,"x",G48/'AW Schüler'!$N186)</f>
        <v>2.6228458313926409E-2</v>
      </c>
    </row>
    <row r="49" spans="1:12" ht="9" customHeight="1">
      <c r="A49" s="21" t="s">
        <v>81</v>
      </c>
      <c r="B49" s="120"/>
      <c r="C49" s="23">
        <f>[6]GtS!$H$34</f>
        <v>3454</v>
      </c>
      <c r="D49" s="23">
        <f>[7]GtS!$H$36</f>
        <v>3477</v>
      </c>
      <c r="E49" s="23">
        <f>[8]GtS!$H$36</f>
        <v>3788</v>
      </c>
      <c r="F49" s="23">
        <f>[9]GtS!$H$36</f>
        <v>4150</v>
      </c>
      <c r="G49" s="34">
        <f>[10]GtS!$H$36</f>
        <v>5298</v>
      </c>
      <c r="H49" s="155">
        <f>IF('AW Schüler'!$B187=0,"x",C49/'AW Schüler'!$B187)</f>
        <v>0.1166773637806979</v>
      </c>
      <c r="I49" s="155">
        <f>IF('AW Schüler'!$E187=0,"x",D49/'AW Schüler'!$E187)</f>
        <v>0.11916104047431372</v>
      </c>
      <c r="J49" s="155">
        <f>IF('AW Schüler'!$H187=0,"x",E49/'AW Schüler'!$H187)</f>
        <v>0.12975268890867986</v>
      </c>
      <c r="K49" s="155">
        <f>IF('AW Schüler'!$K187=0,"x",F49/'AW Schüler'!$K187)</f>
        <v>0.1429801894918174</v>
      </c>
      <c r="L49" s="156">
        <f>IF('AW Schüler'!$N187=0,"x",G49/'AW Schüler'!$N187)</f>
        <v>0.17516944949578442</v>
      </c>
    </row>
    <row r="50" spans="1:12" ht="9" customHeight="1">
      <c r="A50" s="21" t="s">
        <v>82</v>
      </c>
      <c r="B50" s="120"/>
      <c r="C50" s="23">
        <f>[11]GtS!$H$34</f>
        <v>1386</v>
      </c>
      <c r="D50" s="23">
        <f>[12]GtS!$H$36</f>
        <v>1059</v>
      </c>
      <c r="E50" s="23">
        <f>[13]GtS!$H$36</f>
        <v>834</v>
      </c>
      <c r="F50" s="23">
        <f>[14]GtS!$H$36</f>
        <v>1157</v>
      </c>
      <c r="G50" s="34">
        <f>[15]GtS!$H$36</f>
        <v>665</v>
      </c>
      <c r="H50" s="155">
        <f>IF('AW Schüler'!$B188=0,"x",C50/'AW Schüler'!$B188)</f>
        <v>0.14592545799115603</v>
      </c>
      <c r="I50" s="155">
        <f>IF('AW Schüler'!$E188=0,"x",D50/'AW Schüler'!$E188)</f>
        <v>0.12137535816618911</v>
      </c>
      <c r="J50" s="155">
        <f>IF('AW Schüler'!$H188=0,"x",E50/'AW Schüler'!$H188)</f>
        <v>0.10087082728592163</v>
      </c>
      <c r="K50" s="155">
        <f>IF('AW Schüler'!$K188=0,"x",F50/'AW Schüler'!$K188)</f>
        <v>0.14850468489282506</v>
      </c>
      <c r="L50" s="156">
        <f>IF('AW Schüler'!$N188=0,"x",G50/'AW Schüler'!$N188)</f>
        <v>8.6791960323675282E-2</v>
      </c>
    </row>
    <row r="51" spans="1:12" ht="9" customHeight="1">
      <c r="A51" s="21" t="s">
        <v>83</v>
      </c>
      <c r="B51" s="120"/>
      <c r="C51" s="23">
        <f>[16]GtS!$H$34</f>
        <v>172</v>
      </c>
      <c r="D51" s="23">
        <f>[17]GtS!$H$36</f>
        <v>257</v>
      </c>
      <c r="E51" s="23">
        <f>[18]GtS!$H$36</f>
        <v>241</v>
      </c>
      <c r="F51" s="23">
        <f>[19]GtS!$H$36</f>
        <v>225</v>
      </c>
      <c r="G51" s="34">
        <f>[20]GtS!$H$36</f>
        <v>236</v>
      </c>
      <c r="H51" s="155">
        <f>IF('AW Schüler'!$B189=0,"x",C51/'AW Schüler'!$B189)</f>
        <v>2.0621028653638653E-2</v>
      </c>
      <c r="I51" s="155">
        <f>IF('AW Schüler'!$E189=0,"x",D51/'AW Schüler'!$E189)</f>
        <v>3.228643216080402E-2</v>
      </c>
      <c r="J51" s="155">
        <f>IF('AW Schüler'!$H189=0,"x",E51/'AW Schüler'!$H189)</f>
        <v>3.172722485518694E-2</v>
      </c>
      <c r="K51" s="155">
        <f>IF('AW Schüler'!$K189=0,"x",F51/'AW Schüler'!$K189)</f>
        <v>3.028263795423957E-2</v>
      </c>
      <c r="L51" s="156">
        <f>IF('AW Schüler'!$N189=0,"x",G51/'AW Schüler'!$N189)</f>
        <v>3.1835963847295291E-2</v>
      </c>
    </row>
    <row r="52" spans="1:12" ht="9" customHeight="1">
      <c r="A52" s="21" t="s">
        <v>84</v>
      </c>
      <c r="B52" s="120"/>
      <c r="C52" s="23">
        <f>[21]GtS!$H$34</f>
        <v>0</v>
      </c>
      <c r="D52" s="23">
        <f>[22]GtS!$H$36</f>
        <v>0</v>
      </c>
      <c r="E52" s="23">
        <f>[23]GtS!$H$36</f>
        <v>0</v>
      </c>
      <c r="F52" s="23">
        <f>[24]GtS!$H$36</f>
        <v>0</v>
      </c>
      <c r="G52" s="34">
        <f>[25]GtS!$H$36</f>
        <v>0</v>
      </c>
      <c r="H52" s="155">
        <f>IF('AW Schüler'!$B190=0,"x",C52/'AW Schüler'!$B190)</f>
        <v>0</v>
      </c>
      <c r="I52" s="155">
        <f>IF('AW Schüler'!$E190=0,"x",D52/'AW Schüler'!$E190)</f>
        <v>0</v>
      </c>
      <c r="J52" s="155">
        <f>IF('AW Schüler'!$H190=0,"x",E52/'AW Schüler'!$H190)</f>
        <v>0</v>
      </c>
      <c r="K52" s="155">
        <f>IF('AW Schüler'!$K190=0,"x",F52/'AW Schüler'!$K190)</f>
        <v>0</v>
      </c>
      <c r="L52" s="156">
        <f>IF('AW Schüler'!$N190=0,"x",G52/'AW Schüler'!$N190)</f>
        <v>0</v>
      </c>
    </row>
    <row r="53" spans="1:12" ht="9" customHeight="1">
      <c r="A53" s="21" t="s">
        <v>85</v>
      </c>
      <c r="B53" s="120"/>
      <c r="C53" s="23">
        <f>[26]GtS!$H$34</f>
        <v>245</v>
      </c>
      <c r="D53" s="23">
        <f>[27]GtS!$H$36</f>
        <v>1199</v>
      </c>
      <c r="E53" s="23">
        <f>[28]GtS!$H$36</f>
        <v>1123</v>
      </c>
      <c r="F53" s="23">
        <f>[29]GtS!$H$36</f>
        <v>1139</v>
      </c>
      <c r="G53" s="34">
        <f>[30]GtS!$H$36</f>
        <v>660</v>
      </c>
      <c r="H53" s="155">
        <f>IF('AW Schüler'!$B191=0,"x",C53/'AW Schüler'!$B191)</f>
        <v>4.9705822682085614E-2</v>
      </c>
      <c r="I53" s="155">
        <f>IF('AW Schüler'!$E191=0,"x",D53/'AW Schüler'!$E191)</f>
        <v>0.25807145931984504</v>
      </c>
      <c r="J53" s="155">
        <f>IF('AW Schüler'!$H191=0,"x",E53/'AW Schüler'!$H191)</f>
        <v>0.25798300022972664</v>
      </c>
      <c r="K53" s="155">
        <f>IF('AW Schüler'!$K191=0,"x",F53/'AW Schüler'!$K191)</f>
        <v>0.27353506243996156</v>
      </c>
      <c r="L53" s="156">
        <f>IF('AW Schüler'!$N191=0,"x",G53/'AW Schüler'!$N191)</f>
        <v>0.16264169541646131</v>
      </c>
    </row>
    <row r="54" spans="1:12" ht="9" customHeight="1">
      <c r="A54" s="21" t="s">
        <v>114</v>
      </c>
      <c r="B54" s="120"/>
      <c r="C54" s="23">
        <f>[66]GtS!$H$34</f>
        <v>3670</v>
      </c>
      <c r="D54" s="23">
        <f>[67]GtS!$H$36</f>
        <v>3884</v>
      </c>
      <c r="E54" s="23">
        <f>[68]GtS!$H$36</f>
        <v>4232</v>
      </c>
      <c r="F54" s="23">
        <f>[69]GtS!$H$36</f>
        <v>4118</v>
      </c>
      <c r="G54" s="34">
        <f>[70]GtS!$H$36</f>
        <v>3812</v>
      </c>
      <c r="H54" s="155">
        <f>IF('AW Schüler'!$B192=0,"x",C54/'AW Schüler'!$B192)</f>
        <v>0.17745756975001209</v>
      </c>
      <c r="I54" s="155">
        <f>IF('AW Schüler'!$E192=0,"x",D54/'AW Schüler'!$E192)</f>
        <v>0.19034550355305072</v>
      </c>
      <c r="J54" s="155">
        <f>IF('AW Schüler'!$H192=0,"x",E54/'AW Schüler'!$H192)</f>
        <v>0.21265263052107936</v>
      </c>
      <c r="K54" s="155">
        <f>IF('AW Schüler'!$K192=0,"x",F54/'AW Schüler'!$K192)</f>
        <v>0.21407777084632978</v>
      </c>
      <c r="L54" s="156">
        <f>IF('AW Schüler'!$N192=0,"x",G54/'AW Schüler'!$N192)</f>
        <v>0.20615434535720081</v>
      </c>
    </row>
    <row r="55" spans="1:12" ht="9" customHeight="1">
      <c r="A55" s="21" t="s">
        <v>87</v>
      </c>
      <c r="B55" s="120"/>
      <c r="C55" s="23">
        <f>[31]GtS!$H$34</f>
        <v>461</v>
      </c>
      <c r="D55" s="23">
        <f>[32]GtS!$H$36</f>
        <v>571</v>
      </c>
      <c r="E55" s="23">
        <f>[33]GtS!$H$36</f>
        <v>558</v>
      </c>
      <c r="F55" s="23">
        <f>[34]GtS!$H$36</f>
        <v>556</v>
      </c>
      <c r="G55" s="34">
        <f>[35]GtS!$H$36</f>
        <v>201</v>
      </c>
      <c r="H55" s="155">
        <f>IF('AW Schüler'!$B193=0,"x",C55/'AW Schüler'!$B193)</f>
        <v>5.7675466032778684E-2</v>
      </c>
      <c r="I55" s="155">
        <f>IF('AW Schüler'!$E193=0,"x",D55/'AW Schüler'!$E193)</f>
        <v>7.5589091871855973E-2</v>
      </c>
      <c r="J55" s="155">
        <f>IF('AW Schüler'!$H193=0,"x",E55/'AW Schüler'!$H193)</f>
        <v>7.1842410196987255E-2</v>
      </c>
      <c r="K55" s="155">
        <f>IF('AW Schüler'!$K193=0,"x",F55/'AW Schüler'!$K193)</f>
        <v>7.4460961564215888E-2</v>
      </c>
      <c r="L55" s="156">
        <f>IF('AW Schüler'!$N193=0,"x",G55/'AW Schüler'!$N193)</f>
        <v>2.7228393389325384E-2</v>
      </c>
    </row>
    <row r="56" spans="1:12" ht="9" customHeight="1">
      <c r="A56" s="21" t="s">
        <v>88</v>
      </c>
      <c r="B56" s="120"/>
      <c r="C56" s="23">
        <f>[71]GtS!$H$34</f>
        <v>5730</v>
      </c>
      <c r="D56" s="23">
        <f>[72]GtS!$H$36</f>
        <v>5424</v>
      </c>
      <c r="E56" s="23">
        <f>[73]GtS!$H$36</f>
        <v>4972</v>
      </c>
      <c r="F56" s="23">
        <f>[74]GtS!$H$36</f>
        <v>3726</v>
      </c>
      <c r="G56" s="34">
        <f>[75]GtS!$H$36</f>
        <v>3567</v>
      </c>
      <c r="H56" s="155">
        <f>IF('AW Schüler'!$B194=0,"x",C56/'AW Schüler'!$B194)</f>
        <v>0.20299713040705708</v>
      </c>
      <c r="I56" s="155">
        <f>IF('AW Schüler'!$E194=0,"x",D56/'AW Schüler'!$E194)</f>
        <v>0.20653415581448481</v>
      </c>
      <c r="J56" s="155">
        <f>IF('AW Schüler'!$H194=0,"x",E56/'AW Schüler'!$H194)</f>
        <v>0.20559047304002645</v>
      </c>
      <c r="K56" s="155">
        <f>IF('AW Schüler'!$K194=0,"x",F56/'AW Schüler'!$K194)</f>
        <v>0.16995849108242486</v>
      </c>
      <c r="L56" s="156">
        <f>IF('AW Schüler'!$N194=0,"x",G56/'AW Schüler'!$N194)</f>
        <v>0.17608727847163944</v>
      </c>
    </row>
    <row r="57" spans="1:12" ht="9" customHeight="1">
      <c r="A57" s="21" t="s">
        <v>89</v>
      </c>
      <c r="B57" s="120"/>
      <c r="C57" s="23">
        <f>[36]GtS!$H$34</f>
        <v>7886</v>
      </c>
      <c r="D57" s="23">
        <f>[37]GtS!$H$36</f>
        <v>7456</v>
      </c>
      <c r="E57" s="23">
        <f>[38]GtS!$H$36</f>
        <v>7151</v>
      </c>
      <c r="F57" s="23">
        <f>[39]GtS!$H$36</f>
        <v>6704</v>
      </c>
      <c r="G57" s="34">
        <f>[40]GtS!$H$36</f>
        <v>6855</v>
      </c>
      <c r="H57" s="155">
        <f>IF('AW Schüler'!$B195=0,"x",C57/'AW Schüler'!$B195)</f>
        <v>9.8337760153629369E-2</v>
      </c>
      <c r="I57" s="155">
        <f>IF('AW Schüler'!$E195=0,"x",D57/'AW Schüler'!$E195)</f>
        <v>9.8011120897033108E-2</v>
      </c>
      <c r="J57" s="155">
        <f>IF('AW Schüler'!$H195=0,"x",E57/'AW Schüler'!$H195)</f>
        <v>9.9229861930201904E-2</v>
      </c>
      <c r="K57" s="155">
        <f>IF('AW Schüler'!$K195=0,"x",F57/'AW Schüler'!$K195)</f>
        <v>9.8158071978681663E-2</v>
      </c>
      <c r="L57" s="156">
        <f>IF('AW Schüler'!$N195=0,"x",G57/'AW Schüler'!$N195)</f>
        <v>0.10205904685336549</v>
      </c>
    </row>
    <row r="58" spans="1:12" ht="9" customHeight="1">
      <c r="A58" s="21" t="s">
        <v>90</v>
      </c>
      <c r="B58" s="120"/>
      <c r="C58" s="23">
        <f>[41]GtS!$H$34</f>
        <v>0</v>
      </c>
      <c r="D58" s="23">
        <f>[42]GtS!$H$36</f>
        <v>0</v>
      </c>
      <c r="E58" s="23">
        <f>[43]GtS!$H$36</f>
        <v>0</v>
      </c>
      <c r="F58" s="23">
        <f>[44]GtS!$H$36</f>
        <v>0</v>
      </c>
      <c r="G58" s="34">
        <f>[45]GtS!$H$36</f>
        <v>0</v>
      </c>
      <c r="H58" s="155">
        <f>IF('AW Schüler'!$B196=0,"x",C58/'AW Schüler'!$B196)</f>
        <v>0</v>
      </c>
      <c r="I58" s="155">
        <f>IF('AW Schüler'!$E196=0,"x",D58/'AW Schüler'!$E196)</f>
        <v>0</v>
      </c>
      <c r="J58" s="155">
        <f>IF('AW Schüler'!$H196=0,"x",E58/'AW Schüler'!$H196)</f>
        <v>0</v>
      </c>
      <c r="K58" s="155">
        <f>IF('AW Schüler'!$K196=0,"x",F58/'AW Schüler'!$K196)</f>
        <v>0</v>
      </c>
      <c r="L58" s="156">
        <f>IF('AW Schüler'!$N196=0,"x",G58/'AW Schüler'!$N196)</f>
        <v>0</v>
      </c>
    </row>
    <row r="59" spans="1:12" ht="9" customHeight="1">
      <c r="A59" s="21" t="s">
        <v>91</v>
      </c>
      <c r="B59" s="120"/>
      <c r="C59" s="23">
        <f>[46]GtS!$H$34</f>
        <v>304</v>
      </c>
      <c r="D59" s="23">
        <f>[47]GtS!$H$36</f>
        <v>292</v>
      </c>
      <c r="E59" s="23">
        <f>[48]GtS!$H$36</f>
        <v>324</v>
      </c>
      <c r="F59" s="23">
        <f>[49]GtS!$H$36</f>
        <v>310</v>
      </c>
      <c r="G59" s="34">
        <f>[50]GtS!$H$36</f>
        <v>246</v>
      </c>
      <c r="H59" s="155">
        <f>IF('AW Schüler'!$B197=0,"x",C59/'AW Schüler'!$B197)</f>
        <v>9.0368608799048747E-2</v>
      </c>
      <c r="I59" s="155">
        <f>IF('AW Schüler'!$E197=0,"x",D59/'AW Schüler'!$E197)</f>
        <v>9.0012330456226877E-2</v>
      </c>
      <c r="J59" s="155">
        <f>IF('AW Schüler'!$H197=0,"x",E59/'AW Schüler'!$H197)</f>
        <v>0.10179076343072573</v>
      </c>
      <c r="K59" s="155">
        <f>IF('AW Schüler'!$K197=0,"x",F59/'AW Schüler'!$K197)</f>
        <v>9.7730138713745265E-2</v>
      </c>
      <c r="L59" s="156">
        <f>IF('AW Schüler'!$N197=0,"x",G59/'AW Schüler'!$N197)</f>
        <v>8.0894442617560014E-2</v>
      </c>
    </row>
    <row r="60" spans="1:12" ht="9" customHeight="1">
      <c r="A60" s="21" t="s">
        <v>92</v>
      </c>
      <c r="B60" s="120"/>
      <c r="C60" s="23">
        <f>[51]GtS!$H$34</f>
        <v>11441</v>
      </c>
      <c r="D60" s="23">
        <f>[52]GtS!$H$36</f>
        <v>12031</v>
      </c>
      <c r="E60" s="23">
        <f>[53]GtS!$H$36</f>
        <v>10878</v>
      </c>
      <c r="F60" s="23">
        <f>[54]GtS!$H$36</f>
        <v>10999</v>
      </c>
      <c r="G60" s="34">
        <f>[55]GtS!$H$36</f>
        <v>10604</v>
      </c>
      <c r="H60" s="155">
        <f>IF('AW Schüler'!$B198=0,"x",C60/'AW Schüler'!$B198)</f>
        <v>0.64354820564742943</v>
      </c>
      <c r="I60" s="155">
        <f>IF('AW Schüler'!$E198=0,"x",D60/'AW Schüler'!$E198)</f>
        <v>0.6933894300040343</v>
      </c>
      <c r="J60" s="155">
        <f>IF('AW Schüler'!$H198=0,"x",E60/'AW Schüler'!$H198)</f>
        <v>0.62363125609126868</v>
      </c>
      <c r="K60" s="155">
        <f>IF('AW Schüler'!$K198=0,"x",F60/'AW Schüler'!$K198)</f>
        <v>0.62916142317812607</v>
      </c>
      <c r="L60" s="156">
        <f>IF('AW Schüler'!$N198=0,"x",G60/'AW Schüler'!$N198)</f>
        <v>0.60946031381113852</v>
      </c>
    </row>
    <row r="61" spans="1:12" ht="9" customHeight="1">
      <c r="A61" s="21" t="s">
        <v>93</v>
      </c>
      <c r="B61" s="120"/>
      <c r="C61" s="23">
        <f>[76]GtS!$H$34</f>
        <v>7512</v>
      </c>
      <c r="D61" s="23">
        <f>[77]GtS!$H$36</f>
        <v>7157</v>
      </c>
      <c r="E61" s="23">
        <f>[78]GtS!$H$36</f>
        <v>6783</v>
      </c>
      <c r="F61" s="23">
        <f>[79]GtS!$H$36</f>
        <v>6595</v>
      </c>
      <c r="G61" s="34">
        <f>[80]GtS!$H$36</f>
        <v>6440</v>
      </c>
      <c r="H61" s="155">
        <f>IF('AW Schüler'!$B199=0,"x",C61/'AW Schüler'!$B199)</f>
        <v>0.66666666666666663</v>
      </c>
      <c r="I61" s="155">
        <f>IF('AW Schüler'!$E199=0,"x",D61/'AW Schüler'!$E199)</f>
        <v>0.66669771774569164</v>
      </c>
      <c r="J61" s="155">
        <f>IF('AW Schüler'!$H199=0,"x",E61/'AW Schüler'!$H199)</f>
        <v>0.66669942991940245</v>
      </c>
      <c r="K61" s="155">
        <f>IF('AW Schüler'!$K199=0,"x",F61/'AW Schüler'!$K199)</f>
        <v>0.66663297280905687</v>
      </c>
      <c r="L61" s="156">
        <f>IF('AW Schüler'!$N199=0,"x",G61/'AW Schüler'!$N199)</f>
        <v>0.66770347330222912</v>
      </c>
    </row>
    <row r="62" spans="1:12" ht="9" customHeight="1">
      <c r="A62" s="21" t="s">
        <v>94</v>
      </c>
      <c r="B62" s="120"/>
      <c r="C62" s="23">
        <f>[56]GtS!$H$34</f>
        <v>1554</v>
      </c>
      <c r="D62" s="23">
        <f>[57]GtS!$H$36</f>
        <v>1466</v>
      </c>
      <c r="E62" s="23">
        <f>[58]GtS!$H$36</f>
        <v>1368</v>
      </c>
      <c r="F62" s="23">
        <f>[59]GtS!$H$36</f>
        <v>1291</v>
      </c>
      <c r="G62" s="34">
        <f>[60]GtS!$H$36</f>
        <v>1274</v>
      </c>
      <c r="H62" s="155">
        <f>IF('AW Schüler'!$B200=0,"x",C62/'AW Schüler'!$B200)</f>
        <v>0.24372647427854455</v>
      </c>
      <c r="I62" s="155">
        <f>IF('AW Schüler'!$E200=0,"x",D62/'AW Schüler'!$E200)</f>
        <v>0.25245393490614776</v>
      </c>
      <c r="J62" s="155">
        <f>IF('AW Schüler'!$H200=0,"x",E62/'AW Schüler'!$H200)</f>
        <v>0.2544642857142857</v>
      </c>
      <c r="K62" s="155">
        <f>IF('AW Schüler'!$K200=0,"x",F62/'AW Schüler'!$K200)</f>
        <v>0.25343541421279936</v>
      </c>
      <c r="L62" s="156">
        <f>IF('AW Schüler'!$N200=0,"x",G62/'AW Schüler'!$N200)</f>
        <v>0.25732175318117551</v>
      </c>
    </row>
    <row r="63" spans="1:12" ht="9" customHeight="1">
      <c r="A63" s="21" t="s">
        <v>95</v>
      </c>
      <c r="B63" s="120"/>
      <c r="C63" s="23">
        <f>[61]GtS!$H$34</f>
        <v>0</v>
      </c>
      <c r="D63" s="23">
        <f>[62]GtS!$H$36</f>
        <v>0</v>
      </c>
      <c r="E63" s="23">
        <f>[63]GtS!$H$36</f>
        <v>0</v>
      </c>
      <c r="F63" s="23">
        <f>[64]GtS!$H$36</f>
        <v>0</v>
      </c>
      <c r="G63" s="34">
        <f>[65]GtS!$H$36</f>
        <v>0</v>
      </c>
      <c r="H63" s="155">
        <f>IF('AW Schüler'!$B201=0,"x",C63/'AW Schüler'!$B201)</f>
        <v>0</v>
      </c>
      <c r="I63" s="155">
        <f>IF('AW Schüler'!$E201=0,"x",D63/'AW Schüler'!$E201)</f>
        <v>0</v>
      </c>
      <c r="J63" s="155">
        <f>IF('AW Schüler'!$H201=0,"x",E63/'AW Schüler'!$H201)</f>
        <v>0</v>
      </c>
      <c r="K63" s="155">
        <f>IF('AW Schüler'!$K201=0,"x",F63/'AW Schüler'!$K201)</f>
        <v>0</v>
      </c>
      <c r="L63" s="156">
        <f>IF('AW Schüler'!$N201=0,"x",G63/'AW Schüler'!$N201)</f>
        <v>0</v>
      </c>
    </row>
    <row r="64" spans="1:12" ht="8.65" customHeight="1">
      <c r="A64" s="24" t="s">
        <v>96</v>
      </c>
      <c r="B64" s="121"/>
      <c r="C64" s="26">
        <f>SUM(C48:C63)</f>
        <v>44256</v>
      </c>
      <c r="D64" s="26">
        <f>SUM(D48:D63)</f>
        <v>44816</v>
      </c>
      <c r="E64" s="26">
        <f>SUM(E48:E63)</f>
        <v>42971</v>
      </c>
      <c r="F64" s="26">
        <f>SUM(F48:F63)</f>
        <v>41649</v>
      </c>
      <c r="G64" s="47">
        <f>SUM(G48:G63)</f>
        <v>40759</v>
      </c>
      <c r="H64" s="157">
        <f>IF('AW Schüler'!$B202=0,"x",C64/'AW Schüler'!$B202)</f>
        <v>0.15572241887698013</v>
      </c>
      <c r="I64" s="157">
        <f>IF('AW Schüler'!$E202=0,"x",D64/'AW Schüler'!$E202)</f>
        <v>0.16429176304975016</v>
      </c>
      <c r="J64" s="157">
        <f>IF('AW Schüler'!$H202=0,"x",E64/'AW Schüler'!$H202)</f>
        <v>0.16282197988738756</v>
      </c>
      <c r="K64" s="157">
        <f>IF('AW Schüler'!$K202=0,"x",F64/'AW Schüler'!$K202)</f>
        <v>0.16566628083197099</v>
      </c>
      <c r="L64" s="158">
        <f>IF('AW Schüler'!$N202=0,"x",G64/'AW Schüler'!$N202)</f>
        <v>0.16373284699681845</v>
      </c>
    </row>
    <row r="65" spans="1:12" ht="18.75" customHeight="1">
      <c r="A65" s="396" t="s">
        <v>312</v>
      </c>
      <c r="B65" s="396"/>
      <c r="C65" s="396"/>
      <c r="D65" s="396"/>
      <c r="E65" s="396"/>
      <c r="F65" s="396"/>
      <c r="G65" s="396"/>
      <c r="H65" s="396"/>
      <c r="I65" s="396"/>
      <c r="J65" s="396"/>
      <c r="K65" s="396"/>
      <c r="L65" s="396"/>
    </row>
    <row r="66" spans="1:12" ht="10.15" customHeight="1">
      <c r="A66" s="399" t="s">
        <v>304</v>
      </c>
      <c r="B66" s="399"/>
      <c r="C66" s="399"/>
      <c r="D66" s="399"/>
      <c r="E66" s="399"/>
      <c r="F66" s="399"/>
      <c r="G66" s="399"/>
      <c r="H66" s="399"/>
      <c r="I66" s="399"/>
      <c r="J66" s="257"/>
      <c r="K66" s="325"/>
      <c r="L66" s="350"/>
    </row>
    <row r="67" spans="1:12" ht="10.15" customHeight="1">
      <c r="A67" s="405"/>
      <c r="B67" s="405"/>
      <c r="C67" s="405"/>
      <c r="D67" s="405"/>
      <c r="E67" s="405"/>
      <c r="F67" s="405"/>
      <c r="G67" s="405"/>
      <c r="H67" s="405"/>
      <c r="I67" s="405"/>
      <c r="J67" s="257"/>
      <c r="K67" s="325"/>
      <c r="L67" s="350"/>
    </row>
    <row r="68" spans="1:12" ht="10.15" customHeight="1">
      <c r="A68" s="214"/>
    </row>
    <row r="69" spans="1:12" ht="10.15" customHeight="1">
      <c r="A69" s="214"/>
    </row>
    <row r="84" spans="1:1" ht="10.5" customHeight="1"/>
    <row r="85" spans="1:1" ht="10.15" customHeight="1">
      <c r="A85" s="214"/>
    </row>
  </sheetData>
  <mergeCells count="9">
    <mergeCell ref="A1:L1"/>
    <mergeCell ref="A66:I66"/>
    <mergeCell ref="A67:I67"/>
    <mergeCell ref="C9:G9"/>
    <mergeCell ref="H9:L9"/>
    <mergeCell ref="A11:L11"/>
    <mergeCell ref="A29:L29"/>
    <mergeCell ref="A47:L47"/>
    <mergeCell ref="A65:L65"/>
  </mergeCells>
  <phoneticPr fontId="18" type="noConversion"/>
  <conditionalFormatting sqref="N25">
    <cfRule type="cellIs" dxfId="14"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M84"/>
  <sheetViews>
    <sheetView view="pageBreakPreview" zoomScale="175" zoomScaleNormal="100" zoomScaleSheetLayoutView="175" workbookViewId="0">
      <selection activeCell="N23" sqref="N23:N24"/>
    </sheetView>
  </sheetViews>
  <sheetFormatPr baseColWidth="10" defaultColWidth="11.42578125" defaultRowHeight="9"/>
  <cols>
    <col min="1" max="1" width="8.5703125" style="2" customWidth="1"/>
    <col min="2" max="2" width="0.28515625" style="2" customWidth="1"/>
    <col min="3" max="12" width="6.7109375" style="2" customWidth="1"/>
    <col min="13" max="16384" width="11.42578125" style="2"/>
  </cols>
  <sheetData>
    <row r="1" spans="1:13" ht="12.75" customHeight="1">
      <c r="A1" s="383">
        <f>'1_2 '!A1:J1+1</f>
        <v>3</v>
      </c>
      <c r="B1" s="383"/>
      <c r="C1" s="383"/>
      <c r="D1" s="383"/>
      <c r="E1" s="383"/>
      <c r="F1" s="383"/>
      <c r="G1" s="383"/>
      <c r="H1" s="383"/>
      <c r="I1" s="383"/>
      <c r="J1" s="383"/>
      <c r="K1" s="383"/>
      <c r="L1" s="383"/>
      <c r="M1" s="58" t="s">
        <v>108</v>
      </c>
    </row>
    <row r="2" spans="1:13" ht="12" customHeight="1"/>
    <row r="3" spans="1:13" s="1" customFormat="1" ht="12.6" customHeight="1">
      <c r="A3" s="11">
        <v>1</v>
      </c>
      <c r="B3" s="12" t="s">
        <v>263</v>
      </c>
      <c r="C3" s="14"/>
      <c r="D3" s="14"/>
      <c r="E3" s="14"/>
      <c r="F3" s="14"/>
      <c r="G3" s="14"/>
    </row>
    <row r="4" spans="1:13" s="1" customFormat="1" ht="12.6" customHeight="1">
      <c r="A4" s="13" t="s">
        <v>4</v>
      </c>
      <c r="B4" s="12" t="s">
        <v>186</v>
      </c>
      <c r="C4" s="14"/>
      <c r="D4" s="14"/>
      <c r="E4" s="14"/>
      <c r="F4" s="14"/>
      <c r="G4" s="14"/>
    </row>
    <row r="5" spans="1:13" s="1" customFormat="1" ht="12.6" customHeight="1">
      <c r="A5" s="13"/>
      <c r="B5" s="12"/>
      <c r="C5" s="14"/>
      <c r="D5" s="14"/>
      <c r="E5" s="14"/>
      <c r="F5" s="14"/>
      <c r="G5" s="14"/>
    </row>
    <row r="6" spans="1:13" ht="13.5">
      <c r="A6" s="15"/>
      <c r="B6" s="12"/>
    </row>
    <row r="9" spans="1:13" ht="10.15" customHeight="1">
      <c r="A9" s="16" t="s">
        <v>77</v>
      </c>
      <c r="B9" s="27"/>
      <c r="C9" s="384" t="s">
        <v>78</v>
      </c>
      <c r="D9" s="385"/>
      <c r="E9" s="385"/>
      <c r="F9" s="385"/>
      <c r="G9" s="386"/>
      <c r="H9" s="377" t="s">
        <v>138</v>
      </c>
      <c r="I9" s="375"/>
      <c r="J9" s="375"/>
      <c r="K9" s="375"/>
      <c r="L9" s="376"/>
    </row>
    <row r="10" spans="1:13" ht="10.15" customHeight="1">
      <c r="A10" s="17"/>
      <c r="B10" s="28"/>
      <c r="C10" s="19">
        <v>2012</v>
      </c>
      <c r="D10" s="19">
        <v>2013</v>
      </c>
      <c r="E10" s="19">
        <v>2014</v>
      </c>
      <c r="F10" s="19">
        <v>2015</v>
      </c>
      <c r="G10" s="20">
        <v>2016</v>
      </c>
      <c r="H10" s="18">
        <v>2012</v>
      </c>
      <c r="I10" s="18">
        <v>2013</v>
      </c>
      <c r="J10" s="19">
        <v>2014</v>
      </c>
      <c r="K10" s="19">
        <v>2015</v>
      </c>
      <c r="L10" s="20">
        <v>2016</v>
      </c>
    </row>
    <row r="11" spans="1:13" ht="10.15" customHeight="1">
      <c r="A11" s="378" t="s">
        <v>79</v>
      </c>
      <c r="B11" s="379"/>
      <c r="C11" s="379"/>
      <c r="D11" s="379"/>
      <c r="E11" s="379"/>
      <c r="F11" s="379"/>
      <c r="G11" s="379"/>
      <c r="H11" s="379"/>
      <c r="I11" s="379"/>
      <c r="J11" s="379"/>
      <c r="K11" s="379"/>
      <c r="L11" s="380"/>
    </row>
    <row r="12" spans="1:13" ht="10.15" customHeight="1">
      <c r="A12" s="21" t="s">
        <v>80</v>
      </c>
      <c r="B12" s="120"/>
      <c r="C12" s="23">
        <f>[1]GtS_VE!$E$7</f>
        <v>200</v>
      </c>
      <c r="D12" s="252">
        <f>[2]GtS_VE!$E$7</f>
        <v>198</v>
      </c>
      <c r="E12" s="252">
        <f>[3]GtS_VE!$E$7</f>
        <v>197</v>
      </c>
      <c r="F12" s="252">
        <f>[4]GtS_VE!$E$7</f>
        <v>202</v>
      </c>
      <c r="G12" s="239">
        <f>[5]GtS_VE!$E$7</f>
        <v>203</v>
      </c>
      <c r="H12" s="240">
        <f>[1]GtS_VE!$F$7/100</f>
        <v>0.50377833753148615</v>
      </c>
      <c r="I12" s="240">
        <f>[2]GtS_VE!$F$7/100</f>
        <v>0.49748743718592964</v>
      </c>
      <c r="J12" s="240">
        <f>[3]GtS_VE!$F$7/100</f>
        <v>0.49127182044887779</v>
      </c>
      <c r="K12" s="240">
        <f>[4]GtS_VE!$F$7/100</f>
        <v>0.5</v>
      </c>
      <c r="L12" s="212">
        <f>[5]GtS_VE!$F$7/100</f>
        <v>0.5</v>
      </c>
    </row>
    <row r="13" spans="1:13" ht="10.15" customHeight="1">
      <c r="A13" s="21" t="s">
        <v>81</v>
      </c>
      <c r="B13" s="120"/>
      <c r="C13" s="23">
        <f>[6]GtS_VE!$E$7</f>
        <v>351</v>
      </c>
      <c r="D13" s="23">
        <f>[7]GtS_VE!$E$7</f>
        <v>373</v>
      </c>
      <c r="E13" s="23">
        <f>[8]GtS_VE!$E$7</f>
        <v>396</v>
      </c>
      <c r="F13" s="23">
        <f>[9]GtS_VE!$E$7</f>
        <v>410</v>
      </c>
      <c r="G13" s="34">
        <f>[10]GtS_VE!$E$7</f>
        <v>455</v>
      </c>
      <c r="H13" s="29">
        <f>[6]GtS_VE!$F$7/100</f>
        <v>0.65730337078651691</v>
      </c>
      <c r="I13" s="29">
        <f>[7]GtS_VE!$F$7/100</f>
        <v>0.68692449355432783</v>
      </c>
      <c r="J13" s="29">
        <f>[8]GtS_VE!$F$7/100</f>
        <v>0.72394881170018277</v>
      </c>
      <c r="K13" s="29">
        <f>[9]GtS_VE!$F$7/100</f>
        <v>0.73345259391771023</v>
      </c>
      <c r="L13" s="30">
        <f>[10]GtS_VE!$F$7/100</f>
        <v>0.82278481012658233</v>
      </c>
    </row>
    <row r="14" spans="1:13" ht="10.15" customHeight="1">
      <c r="A14" s="21" t="s">
        <v>82</v>
      </c>
      <c r="B14" s="120"/>
      <c r="C14" s="23">
        <f>[11]GtS_VE!$E$7</f>
        <v>101</v>
      </c>
      <c r="D14" s="23">
        <f>[12]GtS_VE!$E$7</f>
        <v>83</v>
      </c>
      <c r="E14" s="23">
        <f>[13]GtS_VE!$E$7</f>
        <v>84</v>
      </c>
      <c r="F14" s="23">
        <f>[14]GtS_VE!$E$7</f>
        <v>101</v>
      </c>
      <c r="G14" s="34">
        <f>[15]GtS_VE!$E$7</f>
        <v>115</v>
      </c>
      <c r="H14" s="29">
        <f>[11]GtS_VE!$F$7/100</f>
        <v>0.88596491228070173</v>
      </c>
      <c r="I14" s="29">
        <f>[12]GtS_VE!$F$7/100</f>
        <v>0.70940170940170943</v>
      </c>
      <c r="J14" s="29">
        <f>[13]GtS_VE!$F$7/100</f>
        <v>0.69421487603305787</v>
      </c>
      <c r="K14" s="29">
        <f>[14]GtS_VE!$F$7/100</f>
        <v>0.82786885245901642</v>
      </c>
      <c r="L14" s="30">
        <f>[15]GtS_VE!$F$7/100</f>
        <v>0.91269841269841268</v>
      </c>
    </row>
    <row r="15" spans="1:13" ht="10.15" customHeight="1">
      <c r="A15" s="21" t="s">
        <v>83</v>
      </c>
      <c r="B15" s="120"/>
      <c r="C15" s="23">
        <f>[16]GtS_VE!$E$7</f>
        <v>101</v>
      </c>
      <c r="D15" s="23">
        <f>[17]GtS_VE!$E$7</f>
        <v>103</v>
      </c>
      <c r="E15" s="23">
        <f>[18]GtS_VE!$E$7</f>
        <v>105</v>
      </c>
      <c r="F15" s="23">
        <f>[19]GtS_VE!$E$7</f>
        <v>108</v>
      </c>
      <c r="G15" s="34">
        <f>[20]GtS_VE!$E$7</f>
        <v>109</v>
      </c>
      <c r="H15" s="29">
        <f>[16]GtS_VE!$F$7/100</f>
        <v>0.77099236641221369</v>
      </c>
      <c r="I15" s="29">
        <f>[17]GtS_VE!$F$7/100</f>
        <v>0.77443609022556392</v>
      </c>
      <c r="J15" s="29">
        <f>[18]GtS_VE!$F$7/100</f>
        <v>0.77205882352941169</v>
      </c>
      <c r="K15" s="29">
        <f>[19]GtS_VE!$F$7/100</f>
        <v>0.76056338028169013</v>
      </c>
      <c r="L15" s="30">
        <f>[20]GtS_VE!$F$7/100</f>
        <v>0.76760563380281699</v>
      </c>
    </row>
    <row r="16" spans="1:13" ht="10.15" customHeight="1">
      <c r="A16" s="21" t="s">
        <v>84</v>
      </c>
      <c r="B16" s="120"/>
      <c r="C16" s="23">
        <f>[21]GtS_VE!$E$7</f>
        <v>5</v>
      </c>
      <c r="D16" s="23">
        <f>[22]GtS_VE!$E$7</f>
        <v>9</v>
      </c>
      <c r="E16" s="23">
        <f>[23]GtS_VE!$E$7</f>
        <v>9</v>
      </c>
      <c r="F16" s="23">
        <f>[24]GtS_VE!$E$7</f>
        <v>10</v>
      </c>
      <c r="G16" s="34">
        <f>[25]GtS_VE!$E$7</f>
        <v>7</v>
      </c>
      <c r="H16" s="29">
        <f>[21]GtS_VE!$F$7/100</f>
        <v>0.26315789473684209</v>
      </c>
      <c r="I16" s="29">
        <f>[22]GtS_VE!$F$7/100</f>
        <v>0.47368421052631582</v>
      </c>
      <c r="J16" s="29">
        <f>[23]GtS_VE!$F$7/100</f>
        <v>0.5</v>
      </c>
      <c r="K16" s="29">
        <f>[24]GtS_VE!$F$7/100</f>
        <v>0.52631578947368418</v>
      </c>
      <c r="L16" s="30">
        <f>[25]GtS_VE!$F$7/100</f>
        <v>0.38888888888888884</v>
      </c>
    </row>
    <row r="17" spans="1:12" ht="10.15" customHeight="1">
      <c r="A17" s="21" t="s">
        <v>85</v>
      </c>
      <c r="B17" s="120"/>
      <c r="C17" s="23">
        <f>[26]GtS_VE!$E$7</f>
        <v>35</v>
      </c>
      <c r="D17" s="23">
        <f>[27]GtS_VE!$E$7</f>
        <v>47</v>
      </c>
      <c r="E17" s="23">
        <f>[28]GtS_VE!$E$7</f>
        <v>51</v>
      </c>
      <c r="F17" s="23">
        <f>[29]GtS_VE!$E$7</f>
        <v>53</v>
      </c>
      <c r="G17" s="34">
        <f>[30]GtS_VE!$E$7</f>
        <v>53</v>
      </c>
      <c r="H17" s="29">
        <f>[26]GtS_VE!$F$7/100</f>
        <v>0.5</v>
      </c>
      <c r="I17" s="29">
        <f>[27]GtS_VE!$F$7/100</f>
        <v>0.67142857142857137</v>
      </c>
      <c r="J17" s="29">
        <f>[28]GtS_VE!$F$7/100</f>
        <v>0.71830985915492962</v>
      </c>
      <c r="K17" s="29">
        <f>[29]GtS_VE!$F$7/100</f>
        <v>0.74647887323943662</v>
      </c>
      <c r="L17" s="30">
        <f>[30]GtS_VE!$F$7/100</f>
        <v>0.75714285714285712</v>
      </c>
    </row>
    <row r="18" spans="1:12" ht="10.15" customHeight="1">
      <c r="A18" s="21" t="s">
        <v>86</v>
      </c>
      <c r="B18" s="120"/>
      <c r="C18" s="36">
        <f>[66]GtS_VE!$E$7</f>
        <v>0</v>
      </c>
      <c r="D18" s="36">
        <f>[67]GtS_VE!$E$7</f>
        <v>0</v>
      </c>
      <c r="E18" s="36">
        <f>[68]GtS_VE!$E$7</f>
        <v>0</v>
      </c>
      <c r="F18" s="36">
        <f>[69]GtS_VE!$E$7</f>
        <v>0</v>
      </c>
      <c r="G18" s="37">
        <f>[70]GtS_VE!$E$7</f>
        <v>0</v>
      </c>
      <c r="H18" s="57">
        <f>[66]GtS_VE!$F$7/100</f>
        <v>0</v>
      </c>
      <c r="I18" s="57">
        <f>[67]GtS_VE!$F$7/100</f>
        <v>0</v>
      </c>
      <c r="J18" s="57">
        <f>[68]GtS_VE!$F$7/100</f>
        <v>0</v>
      </c>
      <c r="K18" s="57">
        <f>[69]GtS_VE!$F$7/100</f>
        <v>0</v>
      </c>
      <c r="L18" s="195">
        <f>[70]GtS_VE!$F$7/100</f>
        <v>0</v>
      </c>
    </row>
    <row r="19" spans="1:12" ht="10.15" customHeight="1">
      <c r="A19" s="21" t="s">
        <v>176</v>
      </c>
      <c r="B19" s="120"/>
      <c r="C19" s="23">
        <f>[31]GtS_VE!$E$7</f>
        <v>44</v>
      </c>
      <c r="D19" s="23">
        <f>[32]GtS_VE!$E$7</f>
        <v>49</v>
      </c>
      <c r="E19" s="23">
        <f>[33]GtS_VE!$E$7</f>
        <v>49</v>
      </c>
      <c r="F19" s="23">
        <f>[34]GtS_VE!$E$7</f>
        <v>47</v>
      </c>
      <c r="G19" s="34">
        <f>[35]GtS_VE!$E$7</f>
        <v>46</v>
      </c>
      <c r="H19" s="29">
        <f>[31]GtS_VE!$F$7/100</f>
        <v>0.59459459459459463</v>
      </c>
      <c r="I19" s="29">
        <f>[32]GtS_VE!$F$7/100</f>
        <v>0.65333333333333332</v>
      </c>
      <c r="J19" s="29">
        <f>[33]GtS_VE!$F$7/100</f>
        <v>0.64473684210526316</v>
      </c>
      <c r="K19" s="29">
        <f>[34]GtS_VE!$F$7/100</f>
        <v>0.62666666666666659</v>
      </c>
      <c r="L19" s="30">
        <f>[35]GtS_VE!$F$7/100</f>
        <v>0.6133333333333334</v>
      </c>
    </row>
    <row r="20" spans="1:12" ht="10.15" customHeight="1">
      <c r="A20" s="21" t="s">
        <v>88</v>
      </c>
      <c r="B20" s="120"/>
      <c r="C20" s="36">
        <f>[71]GtS_VE!$E$7</f>
        <v>0</v>
      </c>
      <c r="D20" s="36">
        <f>[72]GtS_VE!$E$7</f>
        <v>0</v>
      </c>
      <c r="E20" s="36">
        <f>[73]GtS_VE!$E$7</f>
        <v>0</v>
      </c>
      <c r="F20" s="36">
        <f>[74]GtS_VE!$E$7</f>
        <v>0</v>
      </c>
      <c r="G20" s="37">
        <f>[75]GtS_VE!$E$7</f>
        <v>0</v>
      </c>
      <c r="H20" s="57">
        <f>[71]GtS_VE!$F$7/100</f>
        <v>0</v>
      </c>
      <c r="I20" s="57">
        <f>[72]GtS_VE!$F$7/100</f>
        <v>0</v>
      </c>
      <c r="J20" s="57">
        <f>[73]GtS_VE!$F$7/100</f>
        <v>0</v>
      </c>
      <c r="K20" s="57">
        <f>[74]GtS_VE!$F$7/100</f>
        <v>0</v>
      </c>
      <c r="L20" s="195">
        <f>[75]GtS_VE!$F$7/100</f>
        <v>0</v>
      </c>
    </row>
    <row r="21" spans="1:12" ht="10.15" customHeight="1">
      <c r="A21" s="21" t="s">
        <v>89</v>
      </c>
      <c r="B21" s="120"/>
      <c r="C21" s="23">
        <f>[36]GtS_VE!$E$7</f>
        <v>172</v>
      </c>
      <c r="D21" s="23">
        <f>[37]GtS_VE!$E$7</f>
        <v>180</v>
      </c>
      <c r="E21" s="23">
        <f>[38]GtS_VE!$E$7</f>
        <v>196</v>
      </c>
      <c r="F21" s="23">
        <f>[39]GtS_VE!$E$7</f>
        <v>219</v>
      </c>
      <c r="G21" s="34">
        <f>[40]GtS_VE!$E$7</f>
        <v>228</v>
      </c>
      <c r="H21" s="29">
        <f>[36]GtS_VE!$F$7/100</f>
        <v>0.46994535519125685</v>
      </c>
      <c r="I21" s="29">
        <f>[37]GtS_VE!$F$7/100</f>
        <v>0.47244094488188976</v>
      </c>
      <c r="J21" s="29">
        <f>[38]GtS_VE!$F$7/100</f>
        <v>0.50777202072538863</v>
      </c>
      <c r="K21" s="29">
        <f>[39]GtS_VE!$F$7/100</f>
        <v>0.5558375634517766</v>
      </c>
      <c r="L21" s="30">
        <f>[40]GtS_VE!$F$7/100</f>
        <v>0.56157635467980294</v>
      </c>
    </row>
    <row r="22" spans="1:12" ht="10.15" customHeight="1">
      <c r="A22" s="21" t="s">
        <v>90</v>
      </c>
      <c r="B22" s="120"/>
      <c r="C22" s="23">
        <f>[41]GtS_VE!$E$7</f>
        <v>61</v>
      </c>
      <c r="D22" s="23">
        <f>[42]GtS_VE!$E$7</f>
        <v>71</v>
      </c>
      <c r="E22" s="23">
        <f>[43]GtS_VE!$E$7</f>
        <v>70</v>
      </c>
      <c r="F22" s="23">
        <f>[44]GtS_VE!$E$7</f>
        <v>74</v>
      </c>
      <c r="G22" s="34">
        <f>[45]GtS_VE!$E$7</f>
        <v>70</v>
      </c>
      <c r="H22" s="29">
        <f>[41]GtS_VE!$F$7/100</f>
        <v>0.63541666666666663</v>
      </c>
      <c r="I22" s="29">
        <f>[42]GtS_VE!$F$7/100</f>
        <v>0.72448979591836737</v>
      </c>
      <c r="J22" s="29">
        <f>[43]GtS_VE!$F$7/100</f>
        <v>0.7</v>
      </c>
      <c r="K22" s="29">
        <f>[44]GtS_VE!$F$7/100</f>
        <v>0.73267326732673266</v>
      </c>
      <c r="L22" s="30">
        <f>[45]GtS_VE!$F$7/100</f>
        <v>0.69306930693069302</v>
      </c>
    </row>
    <row r="23" spans="1:12" ht="10.15" customHeight="1">
      <c r="A23" s="21" t="s">
        <v>91</v>
      </c>
      <c r="B23" s="120"/>
      <c r="C23" s="23">
        <f>[46]GtS_VE!$E$7</f>
        <v>24</v>
      </c>
      <c r="D23" s="23">
        <f>[47]GtS_VE!$E$7</f>
        <v>24</v>
      </c>
      <c r="E23" s="23">
        <f>[48]GtS_VE!$E$7</f>
        <v>23</v>
      </c>
      <c r="F23" s="23">
        <f>[49]GtS_VE!$E$7</f>
        <v>25</v>
      </c>
      <c r="G23" s="34">
        <f>[50]GtS_VE!$E$7</f>
        <v>24</v>
      </c>
      <c r="H23" s="29">
        <f>[46]GtS_VE!$F$7/100</f>
        <v>0.8571428571428571</v>
      </c>
      <c r="I23" s="29">
        <f>[47]GtS_VE!$F$7/100</f>
        <v>0.8571428571428571</v>
      </c>
      <c r="J23" s="29">
        <f>[48]GtS_VE!$F$7/100</f>
        <v>0.85185185185185186</v>
      </c>
      <c r="K23" s="29">
        <f>[49]GtS_VE!$F$7/100</f>
        <v>0.92592592592592593</v>
      </c>
      <c r="L23" s="30">
        <f>[50]GtS_VE!$F$7/100</f>
        <v>0.88888888888888884</v>
      </c>
    </row>
    <row r="24" spans="1:12" ht="10.15" customHeight="1">
      <c r="A24" s="21" t="s">
        <v>92</v>
      </c>
      <c r="B24" s="120"/>
      <c r="C24" s="23">
        <f>[51]GtS_VE!$E$7</f>
        <v>162</v>
      </c>
      <c r="D24" s="23">
        <f>[52]GtS_VE!$E$7</f>
        <v>171</v>
      </c>
      <c r="E24" s="23">
        <f>[53]GtS_VE!$E$7</f>
        <v>172</v>
      </c>
      <c r="F24" s="23">
        <f>[54]GtS_VE!$E$7</f>
        <v>176</v>
      </c>
      <c r="G24" s="34">
        <f>[55]GtS_VE!$E$7</f>
        <v>187</v>
      </c>
      <c r="H24" s="29">
        <f>[51]GtS_VE!$F$7/100</f>
        <v>0.8393782383419689</v>
      </c>
      <c r="I24" s="29">
        <f>[52]GtS_VE!$F$7/100</f>
        <v>0.87692307692307692</v>
      </c>
      <c r="J24" s="29">
        <f>[53]GtS_VE!$F$7/100</f>
        <v>0.86868686868686862</v>
      </c>
      <c r="K24" s="29">
        <f>[54]GtS_VE!$F$7/100</f>
        <v>0.86699507389162567</v>
      </c>
      <c r="L24" s="30">
        <f>[55]GtS_VE!$F$7/100</f>
        <v>0.86574074074074081</v>
      </c>
    </row>
    <row r="25" spans="1:12" ht="10.15" customHeight="1">
      <c r="A25" s="21" t="s">
        <v>93</v>
      </c>
      <c r="B25" s="120"/>
      <c r="C25" s="36">
        <f>[76]GtS_VE!$E$7</f>
        <v>0</v>
      </c>
      <c r="D25" s="36">
        <f>[77]GtS_VE!$E$7</f>
        <v>0</v>
      </c>
      <c r="E25" s="36">
        <f>[78]GtS_VE!$E$7</f>
        <v>0</v>
      </c>
      <c r="F25" s="36">
        <f>[79]GtS_VE!$E$7</f>
        <v>0</v>
      </c>
      <c r="G25" s="37">
        <f>[80]GtS_VE!$E$7</f>
        <v>0</v>
      </c>
      <c r="H25" s="57">
        <f>[76]GtS_VE!$F$7/100</f>
        <v>0</v>
      </c>
      <c r="I25" s="57">
        <f>[77]GtS_VE!$F$7/100</f>
        <v>0</v>
      </c>
      <c r="J25" s="57">
        <f>[78]GtS_VE!$F$7/100</f>
        <v>0</v>
      </c>
      <c r="K25" s="57">
        <f>[79]GtS_VE!$F$7/100</f>
        <v>0</v>
      </c>
      <c r="L25" s="195">
        <f>[80]GtS_VE!$F$7/100</f>
        <v>0</v>
      </c>
    </row>
    <row r="26" spans="1:12" ht="10.15" customHeight="1">
      <c r="A26" s="21" t="s">
        <v>94</v>
      </c>
      <c r="B26" s="120"/>
      <c r="C26" s="23">
        <f>[56]GtS_VE!$E$7</f>
        <v>18</v>
      </c>
      <c r="D26" s="23">
        <f>[57]GtS_VE!$E$7</f>
        <v>17</v>
      </c>
      <c r="E26" s="23">
        <f>[58]GtS_VE!$E$7</f>
        <v>24</v>
      </c>
      <c r="F26" s="23">
        <f>[59]GtS_VE!$E$7</f>
        <v>25</v>
      </c>
      <c r="G26" s="34">
        <f>[60]GtS_VE!$E$7</f>
        <v>28</v>
      </c>
      <c r="H26" s="29">
        <f>[56]GtS_VE!$F$7/100</f>
        <v>0.22500000000000001</v>
      </c>
      <c r="I26" s="29">
        <f>[57]GtS_VE!$F$7/100</f>
        <v>0.20987654320987656</v>
      </c>
      <c r="J26" s="29">
        <f>[58]GtS_VE!$F$7/100</f>
        <v>0.29268292682926833</v>
      </c>
      <c r="K26" s="29">
        <f>[59]GtS_VE!$F$7/100</f>
        <v>0.29411764705882354</v>
      </c>
      <c r="L26" s="30">
        <f>[60]GtS_VE!$F$7/100</f>
        <v>0.32183908045977011</v>
      </c>
    </row>
    <row r="27" spans="1:12" ht="10.15" customHeight="1">
      <c r="A27" s="21" t="s">
        <v>95</v>
      </c>
      <c r="B27" s="120"/>
      <c r="C27" s="23">
        <f>[61]GtS_VE!$E$7</f>
        <v>84</v>
      </c>
      <c r="D27" s="23">
        <f>[62]GtS_VE!$E$7</f>
        <v>88</v>
      </c>
      <c r="E27" s="23">
        <f>[63]GtS_VE!$E$7</f>
        <v>90</v>
      </c>
      <c r="F27" s="23">
        <f>[64]GtS_VE!$E$7</f>
        <v>89</v>
      </c>
      <c r="G27" s="34">
        <f>[65]GtS_VE!$E$7</f>
        <v>92</v>
      </c>
      <c r="H27" s="29">
        <f>[61]GtS_VE!$F$7/100</f>
        <v>0.90322580645161299</v>
      </c>
      <c r="I27" s="29">
        <f>[62]GtS_VE!$F$7/100</f>
        <v>0.94623655913978499</v>
      </c>
      <c r="J27" s="29">
        <f>[63]GtS_VE!$F$7/100</f>
        <v>0.92783505154639168</v>
      </c>
      <c r="K27" s="29">
        <f>[64]GtS_VE!$F$7/100</f>
        <v>0.94680851063829796</v>
      </c>
      <c r="L27" s="30">
        <f>[65]GtS_VE!$F$7/100</f>
        <v>0.93877551020408168</v>
      </c>
    </row>
    <row r="28" spans="1:12" ht="10.15" customHeight="1">
      <c r="A28" s="24" t="s">
        <v>96</v>
      </c>
      <c r="B28" s="121"/>
      <c r="C28" s="26">
        <f>SUM(C12:C27)</f>
        <v>1358</v>
      </c>
      <c r="D28" s="26">
        <f>SUM(D12:D27)</f>
        <v>1413</v>
      </c>
      <c r="E28" s="26">
        <f>SUM(E12:E27)</f>
        <v>1466</v>
      </c>
      <c r="F28" s="26">
        <f>SUM(F12:F27)</f>
        <v>1539</v>
      </c>
      <c r="G28" s="47">
        <f>SUM(G12:G27)</f>
        <v>1617</v>
      </c>
      <c r="H28" s="31">
        <f>GtS_VE!F35/100</f>
        <v>0.52130518234165069</v>
      </c>
      <c r="I28" s="31">
        <f>GtS_VE!F28/100</f>
        <v>0.53381186248583301</v>
      </c>
      <c r="J28" s="31">
        <f>GtS_VE!F21/100</f>
        <v>0.54640327991054793</v>
      </c>
      <c r="K28" s="31">
        <f>GtS_VE!F14/100</f>
        <v>0.56601691798455311</v>
      </c>
      <c r="L28" s="32">
        <f>GtS_VE!F7/100</f>
        <v>0.58799999999999997</v>
      </c>
    </row>
    <row r="29" spans="1:12" ht="6" customHeight="1">
      <c r="C29" s="209"/>
      <c r="D29" s="209"/>
      <c r="E29" s="209"/>
      <c r="F29" s="209"/>
      <c r="G29" s="209"/>
    </row>
    <row r="30" spans="1:12" ht="9.75" customHeight="1">
      <c r="A30" s="381" t="s">
        <v>166</v>
      </c>
      <c r="B30" s="381"/>
      <c r="C30" s="381"/>
      <c r="D30" s="381"/>
      <c r="E30" s="381"/>
      <c r="F30" s="381"/>
      <c r="G30" s="381"/>
      <c r="H30" s="381"/>
      <c r="I30" s="381"/>
      <c r="J30" s="381"/>
      <c r="K30" s="312"/>
      <c r="L30" s="339"/>
    </row>
    <row r="31" spans="1:12" ht="10.15" customHeight="1">
      <c r="A31" s="306" t="s">
        <v>221</v>
      </c>
      <c r="B31" s="33"/>
      <c r="C31" s="33"/>
      <c r="D31" s="238"/>
      <c r="E31" s="248"/>
      <c r="F31" s="317"/>
      <c r="G31" s="344"/>
    </row>
    <row r="64" ht="8.65" customHeight="1"/>
    <row r="65" spans="1:1" ht="12.6" customHeight="1"/>
    <row r="66" spans="1:1" ht="10.15" customHeight="1">
      <c r="A66" s="214"/>
    </row>
    <row r="67" spans="1:1" ht="10.15" customHeight="1">
      <c r="A67" s="214"/>
    </row>
    <row r="68" spans="1:1" ht="10.15" customHeight="1">
      <c r="A68" s="214"/>
    </row>
    <row r="83" spans="1:1" ht="10.5" customHeight="1"/>
    <row r="84" spans="1:1" ht="10.15" customHeight="1">
      <c r="A84" s="214"/>
    </row>
  </sheetData>
  <mergeCells count="5">
    <mergeCell ref="A30:J30"/>
    <mergeCell ref="C9:G9"/>
    <mergeCell ref="H9:L9"/>
    <mergeCell ref="A11:L11"/>
    <mergeCell ref="A1:L1"/>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M82"/>
  <sheetViews>
    <sheetView view="pageBreakPreview" topLeftCell="A43" zoomScale="175" zoomScaleNormal="130"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'3.2.9'!A1:F1+1</f>
        <v>57</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75" customHeight="1">
      <c r="A4" s="13" t="s">
        <v>59</v>
      </c>
      <c r="B4" s="12" t="s">
        <v>190</v>
      </c>
      <c r="C4" s="14"/>
      <c r="D4" s="14"/>
      <c r="E4" s="14"/>
      <c r="F4" s="14"/>
      <c r="G4" s="14"/>
    </row>
    <row r="5" spans="1:13" s="1" customFormat="1" ht="12.6" customHeight="1">
      <c r="A5" s="13" t="s">
        <v>60</v>
      </c>
      <c r="B5" s="39" t="s">
        <v>248</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42">
        <f t="shared" ref="C12:D28" si="0">SUM(C30+C48)</f>
        <v>29347</v>
      </c>
      <c r="D12" s="42">
        <f t="shared" si="0"/>
        <v>28500</v>
      </c>
      <c r="E12" s="42">
        <f t="shared" ref="E12:F12" si="1">SUM(E30+E48)</f>
        <v>28050</v>
      </c>
      <c r="F12" s="42">
        <f t="shared" si="1"/>
        <v>29207</v>
      </c>
      <c r="G12" s="44">
        <f t="shared" ref="G12" si="2">SUM(G30+G48)</f>
        <v>28554</v>
      </c>
      <c r="H12" s="50">
        <f>IF('AW Schüler'!$C204=0,"x",C12/'AW Schüler'!$C204)</f>
        <v>0.34595888150139104</v>
      </c>
      <c r="I12" s="50">
        <f>IF('AW Schüler'!$F204=0,"x",D12/'AW Schüler'!$F204)</f>
        <v>0.3338565705315934</v>
      </c>
      <c r="J12" s="50">
        <f>IF('AW Schüler'!$I204=0,"x",E12/'AW Schüler'!$I204)</f>
        <v>0.32783628054838071</v>
      </c>
      <c r="K12" s="50">
        <f>IF('AW Schüler'!$L204=0,"x",F12/'AW Schüler'!$L204)</f>
        <v>0.33851414000927216</v>
      </c>
      <c r="L12" s="51">
        <f>IF('AW Schüler'!$O204=0,"x",G12/'AW Schüler'!$O204)</f>
        <v>0.33152596686365798</v>
      </c>
    </row>
    <row r="13" spans="1:13" ht="9" customHeight="1">
      <c r="A13" s="21" t="s">
        <v>81</v>
      </c>
      <c r="B13" s="120"/>
      <c r="C13" s="42">
        <f t="shared" si="0"/>
        <v>34807</v>
      </c>
      <c r="D13" s="42">
        <f t="shared" si="0"/>
        <v>37691</v>
      </c>
      <c r="E13" s="42">
        <f t="shared" ref="E13:F13" si="3">SUM(E31+E49)</f>
        <v>40114</v>
      </c>
      <c r="F13" s="42">
        <f t="shared" si="3"/>
        <v>40468</v>
      </c>
      <c r="G13" s="44">
        <f t="shared" ref="G13" si="4">SUM(G31+G49)</f>
        <v>46266</v>
      </c>
      <c r="H13" s="50">
        <f>IF('AW Schüler'!$C205=0,"x",C13/'AW Schüler'!$C205)</f>
        <v>0.25431258082664193</v>
      </c>
      <c r="I13" s="50">
        <f>IF('AW Schüler'!$F205=0,"x",D13/'AW Schüler'!$F205)</f>
        <v>0.28028049614801154</v>
      </c>
      <c r="J13" s="50">
        <f>IF('AW Schüler'!$I205=0,"x",E13/'AW Schüler'!$I205)</f>
        <v>0.30428120638388251</v>
      </c>
      <c r="K13" s="50">
        <f>IF('AW Schüler'!$L205=0,"x",F13/'AW Schüler'!$L205)</f>
        <v>0.31042074176351014</v>
      </c>
      <c r="L13" s="51">
        <f>IF('AW Schüler'!$O205=0,"x",G13/'AW Schüler'!$O205)</f>
        <v>0.36093709774307048</v>
      </c>
    </row>
    <row r="14" spans="1:13" ht="9" customHeight="1">
      <c r="A14" s="21" t="s">
        <v>82</v>
      </c>
      <c r="B14" s="120"/>
      <c r="C14" s="42">
        <f t="shared" si="0"/>
        <v>11678</v>
      </c>
      <c r="D14" s="42">
        <f t="shared" si="0"/>
        <v>12721</v>
      </c>
      <c r="E14" s="42">
        <f t="shared" ref="E14:F14" si="5">SUM(E32+E50)</f>
        <v>12530</v>
      </c>
      <c r="F14" s="42">
        <f t="shared" si="5"/>
        <v>15886</v>
      </c>
      <c r="G14" s="44">
        <f t="shared" ref="G14" si="6">SUM(G32+G50)</f>
        <v>16997</v>
      </c>
      <c r="H14" s="50">
        <f>IF('AW Schüler'!$C206=0,"x",C14/'AW Schüler'!$C206)</f>
        <v>0.44901568748077514</v>
      </c>
      <c r="I14" s="50">
        <f>IF('AW Schüler'!$F206=0,"x",D14/'AW Schüler'!$F206)</f>
        <v>0.4713925739272215</v>
      </c>
      <c r="J14" s="50">
        <f>IF('AW Schüler'!$I206=0,"x",E14/'AW Schüler'!$I206)</f>
        <v>0.44475206758243707</v>
      </c>
      <c r="K14" s="50">
        <f>IF('AW Schüler'!$L206=0,"x",F14/'AW Schüler'!$L206)</f>
        <v>0.54949844344517473</v>
      </c>
      <c r="L14" s="51">
        <f>IF('AW Schüler'!$O206=0,"x",G14/'AW Schüler'!$O206)</f>
        <v>0.57196217653195136</v>
      </c>
    </row>
    <row r="15" spans="1:13" ht="9" customHeight="1">
      <c r="A15" s="21" t="s">
        <v>83</v>
      </c>
      <c r="B15" s="120"/>
      <c r="C15" s="42">
        <f t="shared" si="0"/>
        <v>13506</v>
      </c>
      <c r="D15" s="42">
        <f t="shared" si="0"/>
        <v>14016</v>
      </c>
      <c r="E15" s="42">
        <f t="shared" ref="E15:F15" si="7">SUM(E33+E51)</f>
        <v>14421</v>
      </c>
      <c r="F15" s="42">
        <f t="shared" si="7"/>
        <v>15339</v>
      </c>
      <c r="G15" s="44">
        <f t="shared" ref="G15" si="8">SUM(G33+G51)</f>
        <v>15770</v>
      </c>
      <c r="H15" s="50">
        <f>IF('AW Schüler'!$C207=0,"x",C15/'AW Schüler'!$C207)</f>
        <v>0.78055828469051614</v>
      </c>
      <c r="I15" s="50">
        <f>IF('AW Schüler'!$F207=0,"x",D15/'AW Schüler'!$F207)</f>
        <v>0.76808417360806669</v>
      </c>
      <c r="J15" s="50">
        <f>IF('AW Schüler'!$I207=0,"x",E15/'AW Schüler'!$I207)</f>
        <v>0.76124366554054057</v>
      </c>
      <c r="K15" s="50">
        <f>IF('AW Schüler'!$L207=0,"x",F15/'AW Schüler'!$L207)</f>
        <v>0.78348145878026354</v>
      </c>
      <c r="L15" s="51">
        <f>IF('AW Schüler'!$O207=0,"x",G15/'AW Schüler'!$O207)</f>
        <v>0.78344676834418003</v>
      </c>
    </row>
    <row r="16" spans="1:13" ht="9" customHeight="1">
      <c r="A16" s="21" t="s">
        <v>84</v>
      </c>
      <c r="B16" s="120"/>
      <c r="C16" s="42">
        <f t="shared" si="0"/>
        <v>978</v>
      </c>
      <c r="D16" s="42">
        <f t="shared" si="0"/>
        <v>1049</v>
      </c>
      <c r="E16" s="42">
        <f t="shared" ref="E16:F16" si="9">SUM(E34+E52)</f>
        <v>989</v>
      </c>
      <c r="F16" s="42">
        <f t="shared" si="9"/>
        <v>1063</v>
      </c>
      <c r="G16" s="44">
        <f t="shared" ref="G16" si="10">SUM(G34+G52)</f>
        <v>975</v>
      </c>
      <c r="H16" s="50">
        <f>IF('AW Schüler'!$C208=0,"x",C16/'AW Schüler'!$C208)</f>
        <v>0.17014613778705637</v>
      </c>
      <c r="I16" s="50">
        <f>IF('AW Schüler'!$F208=0,"x",D16/'AW Schüler'!$F208)</f>
        <v>0.18442334739803093</v>
      </c>
      <c r="J16" s="50">
        <f>IF('AW Schüler'!$I208=0,"x",E16/'AW Schüler'!$I208)</f>
        <v>0.1761039886039886</v>
      </c>
      <c r="K16" s="50">
        <f>IF('AW Schüler'!$L208=0,"x",F16/'AW Schüler'!$L208)</f>
        <v>0.19156604793656515</v>
      </c>
      <c r="L16" s="51">
        <f>IF('AW Schüler'!$O208=0,"x",G16/'AW Schüler'!$O208)</f>
        <v>0.17808219178082191</v>
      </c>
    </row>
    <row r="17" spans="1:12" ht="9" customHeight="1">
      <c r="A17" s="21" t="s">
        <v>85</v>
      </c>
      <c r="B17" s="120"/>
      <c r="C17" s="42">
        <f t="shared" si="0"/>
        <v>7276</v>
      </c>
      <c r="D17" s="42">
        <f t="shared" si="0"/>
        <v>10797</v>
      </c>
      <c r="E17" s="42">
        <f t="shared" ref="E17:F17" si="11">SUM(E35+E53)</f>
        <v>11460</v>
      </c>
      <c r="F17" s="42">
        <f t="shared" si="11"/>
        <v>11810</v>
      </c>
      <c r="G17" s="44">
        <f t="shared" ref="G17" si="12">SUM(G35+G53)</f>
        <v>11981</v>
      </c>
      <c r="H17" s="50">
        <f>IF('AW Schüler'!$C209=0,"x",C17/'AW Schüler'!$C209)</f>
        <v>0.45358768156598717</v>
      </c>
      <c r="I17" s="50">
        <f>IF('AW Schüler'!$F209=0,"x",D17/'AW Schüler'!$F209)</f>
        <v>0.66656377330534633</v>
      </c>
      <c r="J17" s="50">
        <f>IF('AW Schüler'!$I209=0,"x",E17/'AW Schüler'!$I209)</f>
        <v>0.70259334191649803</v>
      </c>
      <c r="K17" s="50">
        <f>IF('AW Schüler'!$L209=0,"x",F17/'AW Schüler'!$L209)</f>
        <v>0.72320881812614823</v>
      </c>
      <c r="L17" s="51">
        <f>IF('AW Schüler'!$O209=0,"x",G17/'AW Schüler'!$O209)</f>
        <v>0.72546170148349987</v>
      </c>
    </row>
    <row r="18" spans="1:12" ht="9" customHeight="1">
      <c r="A18" s="21" t="s">
        <v>86</v>
      </c>
      <c r="B18" s="120"/>
      <c r="C18" s="184">
        <f t="shared" si="0"/>
        <v>0</v>
      </c>
      <c r="D18" s="184">
        <f t="shared" si="0"/>
        <v>0</v>
      </c>
      <c r="E18" s="184">
        <f t="shared" ref="E18:F18" si="13">SUM(E36+E54)</f>
        <v>0</v>
      </c>
      <c r="F18" s="184">
        <f t="shared" si="13"/>
        <v>0</v>
      </c>
      <c r="G18" s="185">
        <f t="shared" ref="G18" si="14">SUM(G36+G54)</f>
        <v>0</v>
      </c>
      <c r="H18" s="184">
        <f>IF('AW Schüler'!$C210=0,"x",C18/'AW Schüler'!$C210)</f>
        <v>0</v>
      </c>
      <c r="I18" s="184">
        <f>IF('AW Schüler'!$F210=0,"x",D18/'AW Schüler'!$F210)</f>
        <v>0</v>
      </c>
      <c r="J18" s="184">
        <f>IF('AW Schüler'!$I210=0,"x",E18/'AW Schüler'!$I210)</f>
        <v>0</v>
      </c>
      <c r="K18" s="184">
        <f>IF('AW Schüler'!$L210=0,"x",F18/'AW Schüler'!$L210)</f>
        <v>0</v>
      </c>
      <c r="L18" s="185">
        <f>IF('AW Schüler'!$O210=0,"x",G18/'AW Schüler'!$O210)</f>
        <v>0</v>
      </c>
    </row>
    <row r="19" spans="1:12" ht="9" customHeight="1">
      <c r="A19" s="21" t="s">
        <v>174</v>
      </c>
      <c r="B19" s="120"/>
      <c r="C19" s="42">
        <f t="shared" si="0"/>
        <v>6119</v>
      </c>
      <c r="D19" s="42">
        <f t="shared" si="0"/>
        <v>6750</v>
      </c>
      <c r="E19" s="42">
        <f t="shared" ref="E19:F19" si="15">SUM(E37+E55)</f>
        <v>6750</v>
      </c>
      <c r="F19" s="42">
        <f t="shared" si="15"/>
        <v>7354</v>
      </c>
      <c r="G19" s="44">
        <f t="shared" ref="G19" si="16">SUM(G37+G55)</f>
        <v>6094</v>
      </c>
      <c r="H19" s="50">
        <f>IF('AW Schüler'!$C211=0,"x",C19/'AW Schüler'!$C211)</f>
        <v>0.51610998650472339</v>
      </c>
      <c r="I19" s="50">
        <f>IF('AW Schüler'!$F211=0,"x",D19/'AW Schüler'!$F211)</f>
        <v>0.542604501607717</v>
      </c>
      <c r="J19" s="50">
        <f>IF('AW Schüler'!$I211=0,"x",E19/'AW Schüler'!$I211)</f>
        <v>0.52107457156090786</v>
      </c>
      <c r="K19" s="50">
        <f>IF('AW Schüler'!$L211=0,"x",F19/'AW Schüler'!$L211)</f>
        <v>0.54317157840313168</v>
      </c>
      <c r="L19" s="51">
        <f>IF('AW Schüler'!$O211=0,"x",G19/'AW Schüler'!$O211)</f>
        <v>0.4334281650071124</v>
      </c>
    </row>
    <row r="20" spans="1:12" ht="9" customHeight="1">
      <c r="A20" s="21" t="s">
        <v>88</v>
      </c>
      <c r="B20" s="120"/>
      <c r="C20" s="184">
        <f t="shared" si="0"/>
        <v>0</v>
      </c>
      <c r="D20" s="184">
        <f t="shared" si="0"/>
        <v>0</v>
      </c>
      <c r="E20" s="184">
        <f t="shared" ref="E20:F20" si="17">SUM(E38+E56)</f>
        <v>0</v>
      </c>
      <c r="F20" s="184">
        <f t="shared" si="17"/>
        <v>0</v>
      </c>
      <c r="G20" s="185">
        <f t="shared" ref="G20" si="18">SUM(G38+G56)</f>
        <v>0</v>
      </c>
      <c r="H20" s="184">
        <f>IF('AW Schüler'!$C212=0,"x",C20/'AW Schüler'!$C212)</f>
        <v>0</v>
      </c>
      <c r="I20" s="184">
        <f>IF('AW Schüler'!$F212=0,"x",D20/'AW Schüler'!$F212)</f>
        <v>0</v>
      </c>
      <c r="J20" s="184">
        <f>IF('AW Schüler'!$I212=0,"x",E20/'AW Schüler'!$I212)</f>
        <v>0</v>
      </c>
      <c r="K20" s="184">
        <f>IF('AW Schüler'!$L212=0,"x",F20/'AW Schüler'!$L212)</f>
        <v>0</v>
      </c>
      <c r="L20" s="185">
        <f>IF('AW Schüler'!$O212=0,"x",G20/'AW Schüler'!$O212)</f>
        <v>0</v>
      </c>
    </row>
    <row r="21" spans="1:12" ht="9" customHeight="1">
      <c r="A21" s="21" t="s">
        <v>89</v>
      </c>
      <c r="B21" s="120"/>
      <c r="C21" s="42">
        <f t="shared" si="0"/>
        <v>27408</v>
      </c>
      <c r="D21" s="42">
        <f t="shared" si="0"/>
        <v>30834</v>
      </c>
      <c r="E21" s="42">
        <f t="shared" ref="E21:F21" si="19">SUM(E39+E57)</f>
        <v>33364</v>
      </c>
      <c r="F21" s="42">
        <f t="shared" si="19"/>
        <v>35236</v>
      </c>
      <c r="G21" s="44">
        <f t="shared" ref="G21" si="20">SUM(G39+G57)</f>
        <v>37249</v>
      </c>
      <c r="H21" s="50">
        <f>IF('AW Schüler'!$C213=0,"x",C21/'AW Schüler'!$C213)</f>
        <v>0.23211775267196261</v>
      </c>
      <c r="I21" s="50">
        <f>IF('AW Schüler'!$F213=0,"x",D21/'AW Schüler'!$F213)</f>
        <v>0.25925085130533487</v>
      </c>
      <c r="J21" s="50">
        <f>IF('AW Schüler'!$I213=0,"x",E21/'AW Schüler'!$I213)</f>
        <v>0.27933924430043788</v>
      </c>
      <c r="K21" s="50">
        <f>IF('AW Schüler'!$L213=0,"x",F21/'AW Schüler'!$L213)</f>
        <v>0.29128123734179834</v>
      </c>
      <c r="L21" s="51">
        <f>IF('AW Schüler'!$O213=0,"x",G21/'AW Schüler'!$O213)</f>
        <v>0.30427963436450822</v>
      </c>
    </row>
    <row r="22" spans="1:12" ht="9" customHeight="1">
      <c r="A22" s="21" t="s">
        <v>90</v>
      </c>
      <c r="B22" s="120"/>
      <c r="C22" s="42">
        <f t="shared" si="0"/>
        <v>8423</v>
      </c>
      <c r="D22" s="42">
        <f t="shared" si="0"/>
        <v>9210</v>
      </c>
      <c r="E22" s="42">
        <f t="shared" ref="E22:F22" si="21">SUM(E40+E58)</f>
        <v>9632</v>
      </c>
      <c r="F22" s="42">
        <f t="shared" si="21"/>
        <v>10083</v>
      </c>
      <c r="G22" s="44">
        <f t="shared" ref="G22" si="22">SUM(G40+G58)</f>
        <v>10009</v>
      </c>
      <c r="H22" s="50">
        <f>IF('AW Schüler'!$C214=0,"x",C22/'AW Schüler'!$C214)</f>
        <v>0.30550215806463316</v>
      </c>
      <c r="I22" s="50">
        <f>IF('AW Schüler'!$F214=0,"x",D22/'AW Schüler'!$F214)</f>
        <v>0.33532367290468218</v>
      </c>
      <c r="J22" s="50">
        <f>IF('AW Schüler'!$I214=0,"x",E22/'AW Schüler'!$I214)</f>
        <v>0.35530635582278947</v>
      </c>
      <c r="K22" s="50">
        <f>IF('AW Schüler'!$L214=0,"x",F22/'AW Schüler'!$L214)</f>
        <v>0.37142225660293954</v>
      </c>
      <c r="L22" s="51">
        <f>IF('AW Schüler'!$O214=0,"x",G22/'AW Schüler'!$O214)</f>
        <v>0.3647727686869055</v>
      </c>
    </row>
    <row r="23" spans="1:12" ht="9" customHeight="1">
      <c r="A23" s="21" t="s">
        <v>91</v>
      </c>
      <c r="B23" s="120"/>
      <c r="C23" s="42">
        <f t="shared" si="0"/>
        <v>1413</v>
      </c>
      <c r="D23" s="42">
        <f t="shared" si="0"/>
        <v>1518</v>
      </c>
      <c r="E23" s="42">
        <f t="shared" ref="E23:F23" si="23">SUM(E41+E59)</f>
        <v>1480</v>
      </c>
      <c r="F23" s="42">
        <f t="shared" si="23"/>
        <v>1616</v>
      </c>
      <c r="G23" s="44">
        <f t="shared" ref="G23" si="24">SUM(G41+G59)</f>
        <v>1687</v>
      </c>
      <c r="H23" s="50">
        <f>IF('AW Schüler'!$C215=0,"x",C23/'AW Schüler'!$C215)</f>
        <v>0.24793823477803123</v>
      </c>
      <c r="I23" s="50">
        <f>IF('AW Schüler'!$F215=0,"x",D23/'AW Schüler'!$F215)</f>
        <v>0.24563106796116504</v>
      </c>
      <c r="J23" s="50">
        <f>IF('AW Schüler'!$I215=0,"x",E23/'AW Schüler'!$I215)</f>
        <v>0.24548017913418477</v>
      </c>
      <c r="K23" s="50">
        <f>IF('AW Schüler'!$L215=0,"x",F23/'AW Schüler'!$L215)</f>
        <v>0.26530947299294039</v>
      </c>
      <c r="L23" s="51">
        <f>IF('AW Schüler'!$O215=0,"x",G23/'AW Schüler'!$O215)</f>
        <v>0.27453213995117981</v>
      </c>
    </row>
    <row r="24" spans="1:12" ht="9" customHeight="1">
      <c r="A24" s="21" t="s">
        <v>92</v>
      </c>
      <c r="B24" s="120"/>
      <c r="C24" s="55">
        <f t="shared" si="0"/>
        <v>23690</v>
      </c>
      <c r="D24" s="55">
        <f t="shared" si="0"/>
        <v>25201</v>
      </c>
      <c r="E24" s="55">
        <f t="shared" ref="E24:F24" si="25">SUM(E42+E60)</f>
        <v>24719</v>
      </c>
      <c r="F24" s="55">
        <f t="shared" si="25"/>
        <v>26145</v>
      </c>
      <c r="G24" s="56">
        <f t="shared" ref="G24" si="26">SUM(G42+G60)</f>
        <v>27366</v>
      </c>
      <c r="H24" s="50">
        <f>IF('AW Schüler'!$C216=0,"x",C24/'AW Schüler'!$C216)</f>
        <v>0.8904006615049237</v>
      </c>
      <c r="I24" s="50">
        <f>IF('AW Schüler'!$F216=0,"x",D24/'AW Schüler'!$F216)</f>
        <v>0.8960674157303371</v>
      </c>
      <c r="J24" s="50">
        <f>IF('AW Schüler'!$I216=0,"x",E24/'AW Schüler'!$I216)</f>
        <v>0.84457427907612415</v>
      </c>
      <c r="K24" s="50">
        <f>IF('AW Schüler'!$L216=0,"x",F24/'AW Schüler'!$L216)</f>
        <v>0.86406900654372398</v>
      </c>
      <c r="L24" s="51">
        <f>IF('AW Schüler'!$O216=0,"x",G24/'AW Schüler'!$O216)</f>
        <v>0.86549226730763151</v>
      </c>
    </row>
    <row r="25" spans="1:12" ht="9" customHeight="1">
      <c r="A25" s="21" t="s">
        <v>93</v>
      </c>
      <c r="B25" s="120"/>
      <c r="C25" s="184">
        <f t="shared" si="0"/>
        <v>0</v>
      </c>
      <c r="D25" s="184">
        <f t="shared" si="0"/>
        <v>0</v>
      </c>
      <c r="E25" s="184">
        <f t="shared" ref="E25:F25" si="27">SUM(E43+E61)</f>
        <v>0</v>
      </c>
      <c r="F25" s="184">
        <f t="shared" si="27"/>
        <v>0</v>
      </c>
      <c r="G25" s="185">
        <f t="shared" ref="G25" si="28">SUM(G43+G61)</f>
        <v>0</v>
      </c>
      <c r="H25" s="184">
        <f>IF('AW Schüler'!$C217=0,"x",C25/'AW Schüler'!$C217)</f>
        <v>0</v>
      </c>
      <c r="I25" s="184">
        <f>IF('AW Schüler'!$F217=0,"x",D25/'AW Schüler'!$F217)</f>
        <v>0</v>
      </c>
      <c r="J25" s="184">
        <f>IF('AW Schüler'!$I217=0,"x",E25/'AW Schüler'!$I217)</f>
        <v>0</v>
      </c>
      <c r="K25" s="184">
        <f>IF('AW Schüler'!$L217=0,"x",F25/'AW Schüler'!$L217)</f>
        <v>0</v>
      </c>
      <c r="L25" s="185">
        <f>IF('AW Schüler'!$O217=0,"x",G25/'AW Schüler'!$O217)</f>
        <v>0</v>
      </c>
    </row>
    <row r="26" spans="1:12" ht="9" customHeight="1">
      <c r="A26" s="21" t="s">
        <v>94</v>
      </c>
      <c r="B26" s="120"/>
      <c r="C26" s="42">
        <f t="shared" si="0"/>
        <v>1591</v>
      </c>
      <c r="D26" s="42">
        <f t="shared" si="0"/>
        <v>1487</v>
      </c>
      <c r="E26" s="42">
        <f t="shared" ref="E26:F26" si="29">SUM(E44+E62)</f>
        <v>1933</v>
      </c>
      <c r="F26" s="42">
        <f t="shared" si="29"/>
        <v>2002</v>
      </c>
      <c r="G26" s="44">
        <f t="shared" ref="G26" si="30">SUM(G44+G62)</f>
        <v>2161</v>
      </c>
      <c r="H26" s="50">
        <f>IF('AW Schüler'!$C218=0,"x",C26/'AW Schüler'!$C218)</f>
        <v>0.12814110824742267</v>
      </c>
      <c r="I26" s="50">
        <f>IF('AW Schüler'!$F218=0,"x",D26/'AW Schüler'!$F218)</f>
        <v>0.11954337165366991</v>
      </c>
      <c r="J26" s="50">
        <f>IF('AW Schüler'!$I218=0,"x",E26/'AW Schüler'!$I218)</f>
        <v>0.15612632259106696</v>
      </c>
      <c r="K26" s="50">
        <f>IF('AW Schüler'!$L218=0,"x",F26/'AW Schüler'!$L218)</f>
        <v>0.16297622924128949</v>
      </c>
      <c r="L26" s="51">
        <f>IF('AW Schüler'!$O218=0,"x",G26/'AW Schüler'!$O218)</f>
        <v>0.17336542318491777</v>
      </c>
    </row>
    <row r="27" spans="1:12" ht="9" customHeight="1">
      <c r="A27" s="21" t="s">
        <v>95</v>
      </c>
      <c r="B27" s="120"/>
      <c r="C27" s="42">
        <f t="shared" si="0"/>
        <v>9628</v>
      </c>
      <c r="D27" s="42">
        <f t="shared" si="0"/>
        <v>10556</v>
      </c>
      <c r="E27" s="42">
        <f t="shared" ref="E27:F27" si="31">SUM(E45+E63)</f>
        <v>11249</v>
      </c>
      <c r="F27" s="42">
        <f t="shared" si="31"/>
        <v>11785</v>
      </c>
      <c r="G27" s="44">
        <f t="shared" ref="G27" si="32">SUM(G45+G63)</f>
        <v>12348</v>
      </c>
      <c r="H27" s="50">
        <f>IF('AW Schüler'!$C219=0,"x",C27/'AW Schüler'!$C219)</f>
        <v>0.79682198129603576</v>
      </c>
      <c r="I27" s="50">
        <f>IF('AW Schüler'!$F219=0,"x",D27/'AW Schüler'!$F219)</f>
        <v>0.82850639667216075</v>
      </c>
      <c r="J27" s="50">
        <f>IF('AW Schüler'!$I219=0,"x",E27/'AW Schüler'!$I219)</f>
        <v>0.83325925925925926</v>
      </c>
      <c r="K27" s="50">
        <f>IF('AW Schüler'!$L219=0,"x",F27/'AW Schüler'!$L219)</f>
        <v>0.83180406549971764</v>
      </c>
      <c r="L27" s="51">
        <f>IF('AW Schüler'!$O219=0,"x",G27/'AW Schüler'!$O219)</f>
        <v>0.82972718720602068</v>
      </c>
    </row>
    <row r="28" spans="1:12" ht="9" customHeight="1">
      <c r="A28" s="21" t="s">
        <v>96</v>
      </c>
      <c r="B28" s="120"/>
      <c r="C28" s="42">
        <f t="shared" si="0"/>
        <v>175864</v>
      </c>
      <c r="D28" s="42">
        <f t="shared" si="0"/>
        <v>190330</v>
      </c>
      <c r="E28" s="42">
        <f t="shared" ref="E28:F28" si="33">SUM(E46+E64)</f>
        <v>196691</v>
      </c>
      <c r="F28" s="42">
        <f t="shared" si="33"/>
        <v>207994</v>
      </c>
      <c r="G28" s="44">
        <f t="shared" ref="G28" si="34">SUM(G46+G64)</f>
        <v>217457</v>
      </c>
      <c r="H28" s="50">
        <f>IF('AW Schüler'!$C220=0,"x",C28/'AW Schüler'!$C220)</f>
        <v>0.35095309556499249</v>
      </c>
      <c r="I28" s="50">
        <f>IF('AW Schüler'!$F220=0,"x",D28/'AW Schüler'!$F220)</f>
        <v>0.37667701721991659</v>
      </c>
      <c r="J28" s="50">
        <f>IF('AW Schüler'!$I220=0,"x",E28/'AW Schüler'!$I220)</f>
        <v>0.38786118390824997</v>
      </c>
      <c r="K28" s="50">
        <f>IF('AW Schüler'!$L220=0,"x",F28/'AW Schüler'!$L220)</f>
        <v>0.40666082726583092</v>
      </c>
      <c r="L28" s="51">
        <f>IF('AW Schüler'!$O220=0,"x",G28/'AW Schüler'!$O220)</f>
        <v>0.42210316882612703</v>
      </c>
    </row>
    <row r="29" spans="1:12" ht="12.75" customHeight="1">
      <c r="A29" s="391" t="s">
        <v>105</v>
      </c>
      <c r="B29" s="392"/>
      <c r="C29" s="392"/>
      <c r="D29" s="392"/>
      <c r="E29" s="392"/>
      <c r="F29" s="392"/>
      <c r="G29" s="392"/>
      <c r="H29" s="392"/>
      <c r="I29" s="392"/>
      <c r="J29" s="392"/>
      <c r="K29" s="392"/>
      <c r="L29" s="393"/>
    </row>
    <row r="30" spans="1:12" ht="9" customHeight="1">
      <c r="A30" s="21" t="s">
        <v>172</v>
      </c>
      <c r="B30" s="120"/>
      <c r="C30" s="23">
        <f>SUM('3.3.2'!C30,'3.3.3'!C30,'3.3.4'!C30,'3.3.5'!C30,'3.3.6'!C30,'3.3.7'!C30,'3.3.8'!C30,'3.3.9'!C30,'3.3.10'!C30)</f>
        <v>25882</v>
      </c>
      <c r="D30" s="23">
        <f>SUM('3.3.2'!D30,'3.3.3'!D30,'3.3.4'!D30,'3.3.5'!D30,'3.3.6'!D30,'3.3.7'!D30,'3.3.8'!D30,'3.3.9'!D30,'3.3.10'!D30)</f>
        <v>24822</v>
      </c>
      <c r="E30" s="23">
        <f>SUM('3.3.2'!E30,'3.3.3'!E30,'3.3.4'!E30,'3.3.5'!E30,'3.3.6'!E30,'3.3.7'!E30,'3.3.8'!E30,'3.3.9'!E30,'3.3.10'!E30)</f>
        <v>24417</v>
      </c>
      <c r="F30" s="23">
        <f>SUM('3.3.2'!F30,'3.3.3'!F30,'3.3.4'!F30,'3.3.5'!F30,'3.3.6'!F30,'3.3.7'!F30,'3.3.8'!F30,'3.3.9'!F30,'3.3.10'!F30)</f>
        <v>25906</v>
      </c>
      <c r="G30" s="34">
        <f>SUM('3.3.2'!G30,'3.3.3'!G30,'3.3.4'!G30,'3.3.5'!G30,'3.3.6'!G30,'3.3.7'!G30,'3.3.8'!G30,'3.3.9'!G30,'3.3.10'!G30)</f>
        <v>24795</v>
      </c>
      <c r="H30" s="52">
        <f>IF('AW Schüler'!$C204=0,"x",C30/'AW Schüler'!$C204)</f>
        <v>0.30511151978120432</v>
      </c>
      <c r="I30" s="52">
        <f>IF('AW Schüler'!$F204=0,"x",D30/'AW Schüler'!$F204)</f>
        <v>0.29077150153456882</v>
      </c>
      <c r="J30" s="52">
        <f>IF('AW Schüler'!$I204=0,"x",E30/'AW Schüler'!$I204)</f>
        <v>0.28537534624420002</v>
      </c>
      <c r="K30" s="52">
        <f>IF('AW Schüler'!$L204=0,"x",F30/'AW Schüler'!$L204)</f>
        <v>0.30025498377375986</v>
      </c>
      <c r="L30" s="53">
        <f>IF('AW Schüler'!$O204=0,"x",G30/'AW Schüler'!$O204)</f>
        <v>0.28788213029293269</v>
      </c>
    </row>
    <row r="31" spans="1:12" ht="9" customHeight="1">
      <c r="A31" s="21" t="s">
        <v>81</v>
      </c>
      <c r="B31" s="120"/>
      <c r="C31" s="23">
        <f>SUM('3.3.2'!C31,'3.3.3'!C31,'3.3.4'!C31,'3.3.5'!C31,'3.3.6'!C31,'3.3.7'!C31,'3.3.8'!C31,'3.3.9'!C31,'3.3.10'!C31)</f>
        <v>11995</v>
      </c>
      <c r="D31" s="23">
        <f>SUM('3.3.2'!D31,'3.3.3'!D31,'3.3.4'!D31,'3.3.5'!D31,'3.3.6'!D31,'3.3.7'!D31,'3.3.8'!D31,'3.3.9'!D31,'3.3.10'!D31)</f>
        <v>13452</v>
      </c>
      <c r="E31" s="23">
        <f>SUM('3.3.2'!E31,'3.3.3'!E31,'3.3.4'!E31,'3.3.5'!E31,'3.3.6'!E31,'3.3.7'!E31,'3.3.8'!E31,'3.3.9'!E31,'3.3.10'!E31)</f>
        <v>13559</v>
      </c>
      <c r="F31" s="23">
        <f>SUM('3.3.2'!F31,'3.3.3'!F31,'3.3.4'!F31,'3.3.5'!F31,'3.3.6'!F31,'3.3.7'!F31,'3.3.8'!F31,'3.3.9'!F31,'3.3.10'!F31)</f>
        <v>13244</v>
      </c>
      <c r="G31" s="34">
        <f>SUM('3.3.2'!G31,'3.3.3'!G31,'3.3.4'!G31,'3.3.5'!G31,'3.3.6'!G31,'3.3.7'!G31,'3.3.8'!G31,'3.3.9'!G31,'3.3.10'!G31)</f>
        <v>13542</v>
      </c>
      <c r="H31" s="52">
        <f>IF('AW Schüler'!$C205=0,"x",C31/'AW Schüler'!$C205)</f>
        <v>8.7639825524048892E-2</v>
      </c>
      <c r="I31" s="52">
        <f>IF('AW Schüler'!$F205=0,"x",D31/'AW Schüler'!$F205)</f>
        <v>0.10003271959308724</v>
      </c>
      <c r="J31" s="52">
        <f>IF('AW Schüler'!$I205=0,"x",E31/'AW Schüler'!$I205)</f>
        <v>0.1028505977304448</v>
      </c>
      <c r="K31" s="52">
        <f>IF('AW Schüler'!$L205=0,"x",F31/'AW Schüler'!$L205)</f>
        <v>0.10159168488474667</v>
      </c>
      <c r="L31" s="53">
        <f>IF('AW Schüler'!$O205=0,"x",G31/'AW Schüler'!$O205)</f>
        <v>0.1056458344710297</v>
      </c>
    </row>
    <row r="32" spans="1:12" ht="9" customHeight="1">
      <c r="A32" s="21" t="s">
        <v>82</v>
      </c>
      <c r="B32" s="120"/>
      <c r="C32" s="23">
        <f>SUM('3.3.2'!C32,'3.3.3'!C32,'3.3.4'!C32,'3.3.5'!C32,'3.3.6'!C32,'3.3.7'!C32,'3.3.8'!C32,'3.3.9'!C32,'3.3.10'!C32)</f>
        <v>3325</v>
      </c>
      <c r="D32" s="23">
        <f>SUM('3.3.2'!D32,'3.3.3'!D32,'3.3.4'!D32,'3.3.5'!D32,'3.3.6'!D32,'3.3.7'!D32,'3.3.8'!D32,'3.3.9'!D32,'3.3.10'!D32)</f>
        <v>2612</v>
      </c>
      <c r="E32" s="23">
        <f>SUM('3.3.2'!E32,'3.3.3'!E32,'3.3.4'!E32,'3.3.5'!E32,'3.3.6'!E32,'3.3.7'!E32,'3.3.8'!E32,'3.3.9'!E32,'3.3.10'!E32)</f>
        <v>3268</v>
      </c>
      <c r="F32" s="23">
        <f>SUM('3.3.2'!F32,'3.3.3'!F32,'3.3.4'!F32,'3.3.5'!F32,'3.3.6'!F32,'3.3.7'!F32,'3.3.8'!F32,'3.3.9'!F32,'3.3.10'!F32)</f>
        <v>4888</v>
      </c>
      <c r="G32" s="34">
        <f>SUM('3.3.2'!G32,'3.3.3'!G32,'3.3.4'!G32,'3.3.5'!G32,'3.3.6'!G32,'3.3.7'!G32,'3.3.8'!G32,'3.3.9'!G32,'3.3.10'!G32)</f>
        <v>5112</v>
      </c>
      <c r="H32" s="52">
        <f>IF('AW Schüler'!$C206=0,"x",C32/'AW Schüler'!$C206)</f>
        <v>0.12784527837588433</v>
      </c>
      <c r="I32" s="52">
        <f>IF('AW Schüler'!$F206=0,"x",D32/'AW Schüler'!$F206)</f>
        <v>9.6790928629659823E-2</v>
      </c>
      <c r="J32" s="52">
        <f>IF('AW Schüler'!$I206=0,"x",E32/'AW Schüler'!$I206)</f>
        <v>0.11599758634153268</v>
      </c>
      <c r="K32" s="52">
        <f>IF('AW Schüler'!$L206=0,"x",F32/'AW Schüler'!$L206)</f>
        <v>0.16907644413697681</v>
      </c>
      <c r="L32" s="53">
        <f>IF('AW Schüler'!$O206=0,"x",G32/'AW Schüler'!$O206)</f>
        <v>0.17202274792206482</v>
      </c>
    </row>
    <row r="33" spans="1:12" ht="9" customHeight="1">
      <c r="A33" s="21" t="s">
        <v>83</v>
      </c>
      <c r="B33" s="120"/>
      <c r="C33" s="23">
        <f>SUM('3.3.2'!C33,'3.3.3'!C33,'3.3.4'!C33,'3.3.5'!C33,'3.3.6'!C33,'3.3.7'!C33,'3.3.8'!C33,'3.3.9'!C33,'3.3.10'!C33)</f>
        <v>4845</v>
      </c>
      <c r="D33" s="23">
        <f>SUM('3.3.2'!D33,'3.3.3'!D33,'3.3.4'!D33,'3.3.5'!D33,'3.3.6'!D33,'3.3.7'!D33,'3.3.8'!D33,'3.3.9'!D33,'3.3.10'!D33)</f>
        <v>5256</v>
      </c>
      <c r="E33" s="23">
        <f>SUM('3.3.2'!E33,'3.3.3'!E33,'3.3.4'!E33,'3.3.5'!E33,'3.3.6'!E33,'3.3.7'!E33,'3.3.8'!E33,'3.3.9'!E33,'3.3.10'!E33)</f>
        <v>5444</v>
      </c>
      <c r="F33" s="23">
        <f>SUM('3.3.2'!F33,'3.3.3'!F33,'3.3.4'!F33,'3.3.5'!F33,'3.3.6'!F33,'3.3.7'!F33,'3.3.8'!F33,'3.3.9'!F33,'3.3.10'!F33)</f>
        <v>6049</v>
      </c>
      <c r="G33" s="34">
        <f>SUM('3.3.2'!G33,'3.3.3'!G33,'3.3.4'!G33,'3.3.5'!G33,'3.3.6'!G33,'3.3.7'!G33,'3.3.8'!G33,'3.3.9'!G33,'3.3.10'!G33)</f>
        <v>8301</v>
      </c>
      <c r="H33" s="52">
        <f>IF('AW Schüler'!$C207=0,"x",C33/'AW Schüler'!$C207)</f>
        <v>0.28000924695139573</v>
      </c>
      <c r="I33" s="52">
        <f>IF('AW Schüler'!$F207=0,"x",D33/'AW Schüler'!$F207)</f>
        <v>0.28803156510302497</v>
      </c>
      <c r="J33" s="52">
        <f>IF('AW Schüler'!$I207=0,"x",E33/'AW Schüler'!$I207)</f>
        <v>0.2873733108108108</v>
      </c>
      <c r="K33" s="52">
        <f>IF('AW Schüler'!$L207=0,"x",F33/'AW Schüler'!$L207)</f>
        <v>0.30896925120032692</v>
      </c>
      <c r="L33" s="53">
        <f>IF('AW Schüler'!$O207=0,"x",G33/'AW Schüler'!$O207)</f>
        <v>0.41239008395846788</v>
      </c>
    </row>
    <row r="34" spans="1:12" ht="9" customHeight="1">
      <c r="A34" s="21" t="s">
        <v>84</v>
      </c>
      <c r="B34" s="120"/>
      <c r="C34" s="23">
        <f>SUM('3.3.2'!C34,'3.3.3'!C34,'3.3.4'!C34,'3.3.5'!C34,'3.3.6'!C34,'3.3.7'!C34,'3.3.8'!C34,'3.3.9'!C34,'3.3.10'!C34)</f>
        <v>624</v>
      </c>
      <c r="D34" s="23">
        <f>SUM('3.3.2'!D34,'3.3.3'!D34,'3.3.4'!D34,'3.3.5'!D34,'3.3.6'!D34,'3.3.7'!D34,'3.3.8'!D34,'3.3.9'!D34,'3.3.10'!D34)</f>
        <v>624</v>
      </c>
      <c r="E34" s="23">
        <f>SUM('3.3.2'!E34,'3.3.3'!E34,'3.3.4'!E34,'3.3.5'!E34,'3.3.6'!E34,'3.3.7'!E34,'3.3.8'!E34,'3.3.9'!E34,'3.3.10'!E34)</f>
        <v>546</v>
      </c>
      <c r="F34" s="23">
        <f>SUM('3.3.2'!F34,'3.3.3'!F34,'3.3.4'!F34,'3.3.5'!F34,'3.3.6'!F34,'3.3.7'!F34,'3.3.8'!F34,'3.3.9'!F34,'3.3.10'!F34)</f>
        <v>569</v>
      </c>
      <c r="G34" s="34">
        <f>SUM('3.3.2'!G34,'3.3.3'!G34,'3.3.4'!G34,'3.3.5'!G34,'3.3.6'!G34,'3.3.7'!G34,'3.3.8'!G34,'3.3.9'!G34,'3.3.10'!G34)</f>
        <v>594</v>
      </c>
      <c r="H34" s="52">
        <f>IF('AW Schüler'!$C208=0,"x",C34/'AW Schüler'!$C208)</f>
        <v>0.10855949895615867</v>
      </c>
      <c r="I34" s="52">
        <f>IF('AW Schüler'!$F208=0,"x",D34/'AW Schüler'!$F208)</f>
        <v>0.10970464135021098</v>
      </c>
      <c r="J34" s="52">
        <f>IF('AW Schüler'!$I208=0,"x",E34/'AW Schüler'!$I208)</f>
        <v>9.7222222222222224E-2</v>
      </c>
      <c r="K34" s="52">
        <f>IF('AW Schüler'!$L208=0,"x",F34/'AW Schüler'!$L208)</f>
        <v>0.10254099837808614</v>
      </c>
      <c r="L34" s="53">
        <f>IF('AW Schüler'!$O208=0,"x",G34/'AW Schüler'!$O208)</f>
        <v>0.10849315068493151</v>
      </c>
    </row>
    <row r="35" spans="1:12" ht="9" customHeight="1">
      <c r="A35" s="21" t="s">
        <v>85</v>
      </c>
      <c r="B35" s="120"/>
      <c r="C35" s="23">
        <f>SUM('3.3.2'!C35,'3.3.3'!C35,'3.3.4'!C35,'3.3.5'!C35,'3.3.6'!C35,'3.3.7'!C35,'3.3.8'!C35,'3.3.9'!C35,'3.3.10'!C35)</f>
        <v>3292</v>
      </c>
      <c r="D35" s="23">
        <f>SUM('3.3.2'!D35,'3.3.3'!D35,'3.3.4'!D35,'3.3.5'!D35,'3.3.6'!D35,'3.3.7'!D35,'3.3.8'!D35,'3.3.9'!D35,'3.3.10'!D35)</f>
        <v>3259</v>
      </c>
      <c r="E35" s="23">
        <f>SUM('3.3.2'!E35,'3.3.3'!E35,'3.3.4'!E35,'3.3.5'!E35,'3.3.6'!E35,'3.3.7'!E35,'3.3.8'!E35,'3.3.9'!E35,'3.3.10'!E35)</f>
        <v>3389</v>
      </c>
      <c r="F35" s="23">
        <f>SUM('3.3.2'!F35,'3.3.3'!F35,'3.3.4'!F35,'3.3.5'!F35,'3.3.6'!F35,'3.3.7'!F35,'3.3.8'!F35,'3.3.9'!F35,'3.3.10'!F35)</f>
        <v>3351</v>
      </c>
      <c r="G35" s="34">
        <f>SUM('3.3.2'!G35,'3.3.3'!G35,'3.3.4'!G35,'3.3.5'!G35,'3.3.6'!G35,'3.3.7'!G35,'3.3.8'!G35,'3.3.9'!G35,'3.3.10'!G35)</f>
        <v>3069</v>
      </c>
      <c r="H35" s="52">
        <f>IF('AW Schüler'!$C209=0,"x",C35/'AW Schüler'!$C209)</f>
        <v>0.20522411320989964</v>
      </c>
      <c r="I35" s="52">
        <f>IF('AW Schüler'!$F209=0,"x",D35/'AW Schüler'!$F209)</f>
        <v>0.2011976787257686</v>
      </c>
      <c r="J35" s="52">
        <f>IF('AW Schüler'!$I209=0,"x",E35/'AW Schüler'!$I209)</f>
        <v>0.20777389491754031</v>
      </c>
      <c r="K35" s="52">
        <f>IF('AW Schüler'!$L209=0,"x",F35/'AW Schüler'!$L209)</f>
        <v>0.20520514390691977</v>
      </c>
      <c r="L35" s="53">
        <f>IF('AW Schüler'!$O209=0,"x",G35/'AW Schüler'!$O209)</f>
        <v>0.18583106267029972</v>
      </c>
    </row>
    <row r="36" spans="1:12" ht="9" customHeight="1">
      <c r="A36" s="21" t="s">
        <v>86</v>
      </c>
      <c r="B36" s="120"/>
      <c r="C36" s="124">
        <f>SUM('3.3.2'!C36,'3.3.3'!C36,'3.3.4'!C36,'3.3.5'!C36,'3.3.6'!C36,'3.3.7'!C36,'3.3.8'!C36,'3.3.9'!C36,'3.3.10'!C36)</f>
        <v>0</v>
      </c>
      <c r="D36" s="124">
        <f>SUM('3.3.2'!D36,'3.3.3'!D36,'3.3.4'!D36,'3.3.5'!D36,'3.3.6'!D36,'3.3.7'!D36,'3.3.8'!D36,'3.3.9'!D36,'3.3.10'!D36)</f>
        <v>0</v>
      </c>
      <c r="E36" s="124">
        <f>SUM('3.3.2'!E36,'3.3.3'!E36,'3.3.4'!E36,'3.3.5'!E36,'3.3.6'!E36,'3.3.7'!E36,'3.3.8'!E36,'3.3.9'!E36,'3.3.10'!E36)</f>
        <v>0</v>
      </c>
      <c r="F36" s="124">
        <f>SUM('3.3.2'!F36,'3.3.3'!F36,'3.3.4'!F36,'3.3.5'!F36,'3.3.6'!F36,'3.3.7'!F36,'3.3.8'!F36,'3.3.9'!F36,'3.3.10'!F36)</f>
        <v>0</v>
      </c>
      <c r="G36" s="188">
        <f>SUM('3.3.2'!G36,'3.3.3'!G36,'3.3.4'!G36,'3.3.5'!G36,'3.3.6'!G36,'3.3.7'!G36,'3.3.8'!G36,'3.3.9'!G36,'3.3.10'!G36)</f>
        <v>0</v>
      </c>
      <c r="H36" s="124">
        <f>IF('AW Schüler'!$C210=0,"x",C36/'AW Schüler'!$C210)</f>
        <v>0</v>
      </c>
      <c r="I36" s="124">
        <f>IF('AW Schüler'!$F210=0,"x",D36/'AW Schüler'!$F210)</f>
        <v>0</v>
      </c>
      <c r="J36" s="124">
        <f>IF('AW Schüler'!$I210=0,"x",E36/'AW Schüler'!$I210)</f>
        <v>0</v>
      </c>
      <c r="K36" s="124">
        <f>IF('AW Schüler'!$L210=0,"x",F36/'AW Schüler'!$L210)</f>
        <v>0</v>
      </c>
      <c r="L36" s="188">
        <f>IF('AW Schüler'!$O210=0,"x",G36/'AW Schüler'!$O210)</f>
        <v>0</v>
      </c>
    </row>
    <row r="37" spans="1:12" ht="9" customHeight="1">
      <c r="A37" s="21" t="s">
        <v>174</v>
      </c>
      <c r="B37" s="120"/>
      <c r="C37" s="23">
        <f>SUM('3.3.2'!C37,'3.3.3'!C37,'3.3.4'!C37,'3.3.5'!C37,'3.3.6'!C37,'3.3.7'!C37,'3.3.8'!C37,'3.3.9'!C37,'3.3.10'!C37)</f>
        <v>4313</v>
      </c>
      <c r="D37" s="23">
        <f>SUM('3.3.2'!D37,'3.3.3'!D37,'3.3.4'!D37,'3.3.5'!D37,'3.3.6'!D37,'3.3.7'!D37,'3.3.8'!D37,'3.3.9'!D37,'3.3.10'!D37)</f>
        <v>4789</v>
      </c>
      <c r="E37" s="23">
        <f>SUM('3.3.2'!E37,'3.3.3'!E37,'3.3.4'!E37,'3.3.5'!E37,'3.3.6'!E37,'3.3.7'!E37,'3.3.8'!E37,'3.3.9'!E37,'3.3.10'!E37)</f>
        <v>4789</v>
      </c>
      <c r="F37" s="23">
        <f>SUM('3.3.2'!F37,'3.3.3'!F37,'3.3.4'!F37,'3.3.5'!F37,'3.3.6'!F37,'3.3.7'!F37,'3.3.8'!F37,'3.3.9'!F37,'3.3.10'!F37)</f>
        <v>5443</v>
      </c>
      <c r="G37" s="34">
        <f>SUM('3.3.2'!G37,'3.3.3'!G37,'3.3.4'!G37,'3.3.5'!G37,'3.3.6'!G37,'3.3.7'!G37,'3.3.8'!G37,'3.3.9'!G37,'3.3.10'!G37)</f>
        <v>4684</v>
      </c>
      <c r="H37" s="52">
        <f>IF('AW Schüler'!$C211=0,"x",C37/'AW Schüler'!$C211)</f>
        <v>0.36378205128205127</v>
      </c>
      <c r="I37" s="52">
        <f>IF('AW Schüler'!$F211=0,"x",D37/'AW Schüler'!$F211)</f>
        <v>0.38496784565916398</v>
      </c>
      <c r="J37" s="52">
        <f>IF('AW Schüler'!$I211=0,"x",E37/'AW Schüler'!$I211)</f>
        <v>0.36969275899336113</v>
      </c>
      <c r="K37" s="52">
        <f>IF('AW Schüler'!$L211=0,"x",F37/'AW Schüler'!$L211)</f>
        <v>0.40202378314498854</v>
      </c>
      <c r="L37" s="53">
        <f>IF('AW Schüler'!$O211=0,"x",G37/'AW Schüler'!$O211)</f>
        <v>0.33314366998577527</v>
      </c>
    </row>
    <row r="38" spans="1:12" ht="9" customHeight="1">
      <c r="A38" s="21" t="s">
        <v>88</v>
      </c>
      <c r="B38" s="120"/>
      <c r="C38" s="124">
        <f>SUM('3.3.2'!C38,'3.3.3'!C38,'3.3.4'!C38,'3.3.5'!C38,'3.3.6'!C38,'3.3.7'!C38,'3.3.8'!C38,'3.3.9'!C38,'3.3.10'!C38)</f>
        <v>0</v>
      </c>
      <c r="D38" s="124">
        <f>SUM('3.3.2'!D38,'3.3.3'!D38,'3.3.4'!D38,'3.3.5'!D38,'3.3.6'!D38,'3.3.7'!D38,'3.3.8'!D38,'3.3.9'!D38,'3.3.10'!D38)</f>
        <v>0</v>
      </c>
      <c r="E38" s="124">
        <f>SUM('3.3.2'!E38,'3.3.3'!E38,'3.3.4'!E38,'3.3.5'!E38,'3.3.6'!E38,'3.3.7'!E38,'3.3.8'!E38,'3.3.9'!E38,'3.3.10'!E38)</f>
        <v>0</v>
      </c>
      <c r="F38" s="124">
        <f>SUM('3.3.2'!F38,'3.3.3'!F38,'3.3.4'!F38,'3.3.5'!F38,'3.3.6'!F38,'3.3.7'!F38,'3.3.8'!F38,'3.3.9'!F38,'3.3.10'!F38)</f>
        <v>0</v>
      </c>
      <c r="G38" s="188">
        <f>SUM('3.3.2'!G38,'3.3.3'!G38,'3.3.4'!G38,'3.3.5'!G38,'3.3.6'!G38,'3.3.7'!G38,'3.3.8'!G38,'3.3.9'!G38,'3.3.10'!G38)</f>
        <v>0</v>
      </c>
      <c r="H38" s="124">
        <f>IF('AW Schüler'!$C212=0,"x",C38/'AW Schüler'!$C212)</f>
        <v>0</v>
      </c>
      <c r="I38" s="124">
        <f>IF('AW Schüler'!$F212=0,"x",D38/'AW Schüler'!$F212)</f>
        <v>0</v>
      </c>
      <c r="J38" s="124">
        <f>IF('AW Schüler'!$I212=0,"x",E38/'AW Schüler'!$I212)</f>
        <v>0</v>
      </c>
      <c r="K38" s="124">
        <f>IF('AW Schüler'!$L212=0,"x",F38/'AW Schüler'!$L212)</f>
        <v>0</v>
      </c>
      <c r="L38" s="188">
        <f>IF('AW Schüler'!$O212=0,"x",G38/'AW Schüler'!$O212)</f>
        <v>0</v>
      </c>
    </row>
    <row r="39" spans="1:12" ht="9" customHeight="1">
      <c r="A39" s="21" t="s">
        <v>89</v>
      </c>
      <c r="B39" s="120"/>
      <c r="C39" s="23">
        <f>SUM('3.3.2'!C39,'3.3.3'!C39,'3.3.4'!C39,'3.3.5'!C39,'3.3.6'!C39,'3.3.7'!C39,'3.3.8'!C39,'3.3.9'!C39,'3.3.10'!C39)</f>
        <v>22404</v>
      </c>
      <c r="D39" s="23">
        <f>SUM('3.3.2'!D39,'3.3.3'!D39,'3.3.4'!D39,'3.3.5'!D39,'3.3.6'!D39,'3.3.7'!D39,'3.3.8'!D39,'3.3.9'!D39,'3.3.10'!D39)</f>
        <v>25560</v>
      </c>
      <c r="E39" s="23">
        <f>SUM('3.3.2'!E39,'3.3.3'!E39,'3.3.4'!E39,'3.3.5'!E39,'3.3.6'!E39,'3.3.7'!E39,'3.3.8'!E39,'3.3.9'!E39,'3.3.10'!E39)</f>
        <v>28165</v>
      </c>
      <c r="F39" s="23">
        <f>SUM('3.3.2'!F39,'3.3.3'!F39,'3.3.4'!F39,'3.3.5'!F39,'3.3.6'!F39,'3.3.7'!F39,'3.3.8'!F39,'3.3.9'!F39,'3.3.10'!F39)</f>
        <v>29565</v>
      </c>
      <c r="G39" s="34">
        <f>SUM('3.3.2'!G39,'3.3.3'!G39,'3.3.4'!G39,'3.3.5'!G39,'3.3.6'!G39,'3.3.7'!G39,'3.3.8'!G39,'3.3.9'!G39,'3.3.10'!G39)</f>
        <v>31420</v>
      </c>
      <c r="H39" s="52">
        <f>IF('AW Schüler'!$C213=0,"x",C39/'AW Schüler'!$C213)</f>
        <v>0.18973898609393791</v>
      </c>
      <c r="I39" s="52">
        <f>IF('AW Schüler'!$F213=0,"x",D39/'AW Schüler'!$F213)</f>
        <v>0.21490730230798336</v>
      </c>
      <c r="J39" s="52">
        <f>IF('AW Schüler'!$I213=0,"x",E39/'AW Schüler'!$I213)</f>
        <v>0.23581074858295867</v>
      </c>
      <c r="K39" s="52">
        <f>IF('AW Schüler'!$L213=0,"x",F39/'AW Schüler'!$L213)</f>
        <v>0.24440145822483447</v>
      </c>
      <c r="L39" s="53">
        <f>IF('AW Schüler'!$O213=0,"x",G39/'AW Schüler'!$O213)</f>
        <v>0.25666369866930244</v>
      </c>
    </row>
    <row r="40" spans="1:12" ht="9" customHeight="1">
      <c r="A40" s="21" t="s">
        <v>90</v>
      </c>
      <c r="B40" s="120"/>
      <c r="C40" s="23">
        <f>SUM('3.3.2'!C40,'3.3.3'!C40,'3.3.4'!C40,'3.3.5'!C40,'3.3.6'!C40,'3.3.7'!C40,'3.3.8'!C40,'3.3.9'!C40,'3.3.10'!C40)</f>
        <v>8078</v>
      </c>
      <c r="D40" s="23">
        <f>SUM('3.3.2'!D40,'3.3.3'!D40,'3.3.4'!D40,'3.3.5'!D40,'3.3.6'!D40,'3.3.7'!D40,'3.3.8'!D40,'3.3.9'!D40,'3.3.10'!D40)</f>
        <v>8530</v>
      </c>
      <c r="E40" s="23">
        <f>SUM('3.3.2'!E40,'3.3.3'!E40,'3.3.4'!E40,'3.3.5'!E40,'3.3.6'!E40,'3.3.7'!E40,'3.3.8'!E40,'3.3.9'!E40,'3.3.10'!E40)</f>
        <v>8808</v>
      </c>
      <c r="F40" s="23">
        <f>SUM('3.3.2'!F40,'3.3.3'!F40,'3.3.4'!F40,'3.3.5'!F40,'3.3.6'!F40,'3.3.7'!F40,'3.3.8'!F40,'3.3.9'!F40,'3.3.10'!F40)</f>
        <v>8872</v>
      </c>
      <c r="G40" s="34">
        <f>SUM('3.3.2'!G40,'3.3.3'!G40,'3.3.4'!G40,'3.3.5'!G40,'3.3.6'!G40,'3.3.7'!G40,'3.3.8'!G40,'3.3.9'!G40,'3.3.10'!G40)</f>
        <v>9051</v>
      </c>
      <c r="H40" s="52">
        <f>IF('AW Schüler'!$C214=0,"x",C40/'AW Schüler'!$C214)</f>
        <v>0.29298901019186829</v>
      </c>
      <c r="I40" s="52">
        <f>IF('AW Schüler'!$F214=0,"x",D40/'AW Schüler'!$F214)</f>
        <v>0.3105657904318066</v>
      </c>
      <c r="J40" s="52">
        <f>IF('AW Schüler'!$I214=0,"x",E40/'AW Schüler'!$I214)</f>
        <v>0.32491054631303257</v>
      </c>
      <c r="K40" s="52">
        <f>IF('AW Schüler'!$L214=0,"x",F40/'AW Schüler'!$L214)</f>
        <v>0.32681327586842007</v>
      </c>
      <c r="L40" s="53">
        <f>IF('AW Schüler'!$O214=0,"x",G40/'AW Schüler'!$O214)</f>
        <v>0.32985895987463099</v>
      </c>
    </row>
    <row r="41" spans="1:12" ht="9" customHeight="1">
      <c r="A41" s="21" t="s">
        <v>91</v>
      </c>
      <c r="B41" s="120"/>
      <c r="C41" s="23">
        <f>SUM('3.3.2'!C41,'3.3.3'!C41,'3.3.4'!C41,'3.3.5'!C41,'3.3.6'!C41,'3.3.7'!C41,'3.3.8'!C41,'3.3.9'!C41,'3.3.10'!C41)</f>
        <v>358</v>
      </c>
      <c r="D41" s="23">
        <f>SUM('3.3.2'!D41,'3.3.3'!D41,'3.3.4'!D41,'3.3.5'!D41,'3.3.6'!D41,'3.3.7'!D41,'3.3.8'!D41,'3.3.9'!D41,'3.3.10'!D41)</f>
        <v>488</v>
      </c>
      <c r="E41" s="23">
        <f>SUM('3.3.2'!E41,'3.3.3'!E41,'3.3.4'!E41,'3.3.5'!E41,'3.3.6'!E41,'3.3.7'!E41,'3.3.8'!E41,'3.3.9'!E41,'3.3.10'!E41)</f>
        <v>335</v>
      </c>
      <c r="F41" s="23">
        <f>SUM('3.3.2'!F41,'3.3.3'!F41,'3.3.4'!F41,'3.3.5'!F41,'3.3.6'!F41,'3.3.7'!F41,'3.3.8'!F41,'3.3.9'!F41,'3.3.10'!F41)</f>
        <v>451</v>
      </c>
      <c r="G41" s="34">
        <f>SUM('3.3.2'!G41,'3.3.3'!G41,'3.3.4'!G41,'3.3.5'!G41,'3.3.6'!G41,'3.3.7'!G41,'3.3.8'!G41,'3.3.9'!G41,'3.3.10'!G41)</f>
        <v>427</v>
      </c>
      <c r="H41" s="52">
        <f>IF('AW Schüler'!$C215=0,"x",C41/'AW Schüler'!$C215)</f>
        <v>6.2818038252324973E-2</v>
      </c>
      <c r="I41" s="52">
        <f>IF('AW Schüler'!$F215=0,"x",D41/'AW Schüler'!$F215)</f>
        <v>7.8964401294498388E-2</v>
      </c>
      <c r="J41" s="52">
        <f>IF('AW Schüler'!$I215=0,"x",E41/'AW Schüler'!$I215)</f>
        <v>5.5564770276994524E-2</v>
      </c>
      <c r="K41" s="52">
        <f>IF('AW Schüler'!$L215=0,"x",F41/'AW Schüler'!$L215)</f>
        <v>7.4043670989985225E-2</v>
      </c>
      <c r="L41" s="53">
        <f>IF('AW Schüler'!$O215=0,"x",G41/'AW Schüler'!$O215)</f>
        <v>6.9487388120423113E-2</v>
      </c>
    </row>
    <row r="42" spans="1:12" ht="9" customHeight="1">
      <c r="A42" s="21" t="s">
        <v>92</v>
      </c>
      <c r="B42" s="120"/>
      <c r="C42" s="36">
        <f>SUM('3.3.2'!C42,'3.3.3'!C42,'3.3.4'!C42,'3.3.5'!C42,'3.3.6'!C42,'3.3.7'!C42,'3.3.8'!C42,'3.3.9'!C42,'3.3.10'!C42)</f>
        <v>15575</v>
      </c>
      <c r="D42" s="36">
        <f>SUM('3.3.2'!D42,'3.3.3'!D42,'3.3.4'!D42,'3.3.5'!D42,'3.3.6'!D42,'3.3.7'!D42,'3.3.8'!D42,'3.3.9'!D42,'3.3.10'!D42)</f>
        <v>15419</v>
      </c>
      <c r="E42" s="36">
        <f>SUM('3.3.2'!E42,'3.3.3'!E42,'3.3.4'!E42,'3.3.5'!E42,'3.3.6'!E42,'3.3.7'!E42,'3.3.8'!E42,'3.3.9'!E42,'3.3.10'!E42)</f>
        <v>16037</v>
      </c>
      <c r="F42" s="36">
        <f>SUM('3.3.2'!F42,'3.3.3'!F42,'3.3.4'!F42,'3.3.5'!F42,'3.3.6'!F42,'3.3.7'!F42,'3.3.8'!F42,'3.3.9'!F42,'3.3.10'!F42)</f>
        <v>17074</v>
      </c>
      <c r="G42" s="37">
        <f>SUM('3.3.2'!G42,'3.3.3'!G42,'3.3.4'!G42,'3.3.5'!G42,'3.3.6'!G42,'3.3.7'!G42,'3.3.8'!G42,'3.3.9'!G42,'3.3.10'!G42)</f>
        <v>17683</v>
      </c>
      <c r="H42" s="52">
        <f>IF('AW Schüler'!$C216=0,"x",C42/'AW Schüler'!$C216)</f>
        <v>0.58539427196872884</v>
      </c>
      <c r="I42" s="52">
        <f>IF('AW Schüler'!$F216=0,"x",D42/'AW Schüler'!$F216)</f>
        <v>0.54825060446593654</v>
      </c>
      <c r="J42" s="52">
        <f>IF('AW Schüler'!$I216=0,"x",E42/'AW Schüler'!$I216)</f>
        <v>0.54793631269646026</v>
      </c>
      <c r="K42" s="52">
        <f>IF('AW Schüler'!$L216=0,"x",F42/'AW Schüler'!$L216)</f>
        <v>0.56428052085398905</v>
      </c>
      <c r="L42" s="53">
        <f>IF('AW Schüler'!$O216=0,"x",G42/'AW Schüler'!$O216)</f>
        <v>0.55925234827160886</v>
      </c>
    </row>
    <row r="43" spans="1:12" ht="9" customHeight="1">
      <c r="A43" s="21" t="s">
        <v>93</v>
      </c>
      <c r="B43" s="120"/>
      <c r="C43" s="124">
        <f>SUM('3.3.2'!C43,'3.3.3'!C43,'3.3.4'!C43,'3.3.5'!C43,'3.3.6'!C43,'3.3.7'!C43,'3.3.8'!C43,'3.3.9'!C43,'3.3.10'!C43)</f>
        <v>0</v>
      </c>
      <c r="D43" s="124">
        <f>SUM('3.3.2'!D43,'3.3.3'!D43,'3.3.4'!D43,'3.3.5'!D43,'3.3.6'!D43,'3.3.7'!D43,'3.3.8'!D43,'3.3.9'!D43,'3.3.10'!D43)</f>
        <v>0</v>
      </c>
      <c r="E43" s="124">
        <f>SUM('3.3.2'!E43,'3.3.3'!E43,'3.3.4'!E43,'3.3.5'!E43,'3.3.6'!E43,'3.3.7'!E43,'3.3.8'!E43,'3.3.9'!E43,'3.3.10'!E43)</f>
        <v>0</v>
      </c>
      <c r="F43" s="124">
        <f>SUM('3.3.2'!F43,'3.3.3'!F43,'3.3.4'!F43,'3.3.5'!F43,'3.3.6'!F43,'3.3.7'!F43,'3.3.8'!F43,'3.3.9'!F43,'3.3.10'!F43)</f>
        <v>0</v>
      </c>
      <c r="G43" s="188">
        <f>SUM('3.3.2'!G43,'3.3.3'!G43,'3.3.4'!G43,'3.3.5'!G43,'3.3.6'!G43,'3.3.7'!G43,'3.3.8'!G43,'3.3.9'!G43,'3.3.10'!G43)</f>
        <v>0</v>
      </c>
      <c r="H43" s="124">
        <f>IF('AW Schüler'!$C217=0,"x",C43/'AW Schüler'!$C217)</f>
        <v>0</v>
      </c>
      <c r="I43" s="124">
        <f>IF('AW Schüler'!$F217=0,"x",D43/'AW Schüler'!$F217)</f>
        <v>0</v>
      </c>
      <c r="J43" s="124">
        <f>IF('AW Schüler'!$I217=0,"x",E43/'AW Schüler'!$I217)</f>
        <v>0</v>
      </c>
      <c r="K43" s="124">
        <f>IF('AW Schüler'!$L217=0,"x",F43/'AW Schüler'!$L217)</f>
        <v>0</v>
      </c>
      <c r="L43" s="188">
        <f>IF('AW Schüler'!$O217=0,"x",G43/'AW Schüler'!$O217)</f>
        <v>0</v>
      </c>
    </row>
    <row r="44" spans="1:12" ht="9" customHeight="1">
      <c r="A44" s="21" t="s">
        <v>94</v>
      </c>
      <c r="B44" s="120"/>
      <c r="C44" s="23">
        <f>SUM('3.3.2'!C44,'3.3.3'!C44,'3.3.4'!C44,'3.3.5'!C44,'3.3.6'!C44,'3.3.7'!C44,'3.3.8'!C44,'3.3.9'!C44,'3.3.10'!C44)</f>
        <v>0</v>
      </c>
      <c r="D44" s="23">
        <f>SUM('3.3.2'!D44,'3.3.3'!D44,'3.3.4'!D44,'3.3.5'!D44,'3.3.6'!D44,'3.3.7'!D44,'3.3.8'!D44,'3.3.9'!D44,'3.3.10'!D44)</f>
        <v>0</v>
      </c>
      <c r="E44" s="23">
        <f>SUM('3.3.2'!E44,'3.3.3'!E44,'3.3.4'!E44,'3.3.5'!E44,'3.3.6'!E44,'3.3.7'!E44,'3.3.8'!E44,'3.3.9'!E44,'3.3.10'!E44)</f>
        <v>0</v>
      </c>
      <c r="F44" s="23">
        <f>SUM('3.3.2'!F44,'3.3.3'!F44,'3.3.4'!F44,'3.3.5'!F44,'3.3.6'!F44,'3.3.7'!F44,'3.3.8'!F44,'3.3.9'!F44,'3.3.10'!F44)</f>
        <v>0</v>
      </c>
      <c r="G44" s="34">
        <f>SUM('3.3.2'!G44,'3.3.3'!G44,'3.3.4'!G44,'3.3.5'!G44,'3.3.6'!G44,'3.3.7'!G44,'3.3.8'!G44,'3.3.9'!G44,'3.3.10'!G44)</f>
        <v>0</v>
      </c>
      <c r="H44" s="52">
        <f>IF('AW Schüler'!$C218=0,"x",C44/'AW Schüler'!$C218)</f>
        <v>0</v>
      </c>
      <c r="I44" s="52">
        <f>IF('AW Schüler'!$F218=0,"x",D44/'AW Schüler'!$F218)</f>
        <v>0</v>
      </c>
      <c r="J44" s="52">
        <f>IF('AW Schüler'!$I218=0,"x",E44/'AW Schüler'!$I218)</f>
        <v>0</v>
      </c>
      <c r="K44" s="52">
        <f>IF('AW Schüler'!$L218=0,"x",F44/'AW Schüler'!$L218)</f>
        <v>0</v>
      </c>
      <c r="L44" s="53">
        <f>IF('AW Schüler'!$O218=0,"x",G44/'AW Schüler'!$O218)</f>
        <v>0</v>
      </c>
    </row>
    <row r="45" spans="1:12" ht="9" customHeight="1">
      <c r="A45" s="21" t="s">
        <v>95</v>
      </c>
      <c r="B45" s="120"/>
      <c r="C45" s="23">
        <f>SUM('3.3.2'!C45,'3.3.3'!C45,'3.3.4'!C45,'3.3.5'!C45,'3.3.6'!C45,'3.3.7'!C45,'3.3.8'!C45,'3.3.9'!C45,'3.3.10'!C45)</f>
        <v>8153</v>
      </c>
      <c r="D45" s="23">
        <f>SUM('3.3.2'!D45,'3.3.3'!D45,'3.3.4'!D45,'3.3.5'!D45,'3.3.6'!D45,'3.3.7'!D45,'3.3.8'!D45,'3.3.9'!D45,'3.3.10'!D45)</f>
        <v>9041</v>
      </c>
      <c r="E45" s="23">
        <f>SUM('3.3.2'!E45,'3.3.3'!E45,'3.3.4'!E45,'3.3.5'!E45,'3.3.6'!E45,'3.3.7'!E45,'3.3.8'!E45,'3.3.9'!E45,'3.3.10'!E45)</f>
        <v>9374</v>
      </c>
      <c r="F45" s="23">
        <f>SUM('3.3.2'!F45,'3.3.3'!F45,'3.3.4'!F45,'3.3.5'!F45,'3.3.6'!F45,'3.3.7'!F45,'3.3.8'!F45,'3.3.9'!F45,'3.3.10'!F45)</f>
        <v>9915</v>
      </c>
      <c r="G45" s="34">
        <f>SUM('3.3.2'!G45,'3.3.3'!G45,'3.3.4'!G45,'3.3.5'!G45,'3.3.6'!G45,'3.3.7'!G45,'3.3.8'!G45,'3.3.9'!G45,'3.3.10'!G45)</f>
        <v>10563</v>
      </c>
      <c r="H45" s="52">
        <f>IF('AW Schüler'!$C219=0,"x",C45/'AW Schüler'!$C219)</f>
        <v>0.67474964826615902</v>
      </c>
      <c r="I45" s="52">
        <f>IF('AW Schüler'!$F219=0,"x",D45/'AW Schüler'!$F219)</f>
        <v>0.70959893257986029</v>
      </c>
      <c r="J45" s="52">
        <f>IF('AW Schüler'!$I219=0,"x",E45/'AW Schüler'!$I219)</f>
        <v>0.69437037037037042</v>
      </c>
      <c r="K45" s="52">
        <f>IF('AW Schüler'!$L219=0,"x",F45/'AW Schüler'!$L219)</f>
        <v>0.69981648785996609</v>
      </c>
      <c r="L45" s="53">
        <f>IF('AW Schüler'!$O219=0,"x",G45/'AW Schüler'!$O219)</f>
        <v>0.70978363123236121</v>
      </c>
    </row>
    <row r="46" spans="1:12" ht="9" customHeight="1">
      <c r="A46" s="21" t="s">
        <v>96</v>
      </c>
      <c r="B46" s="120"/>
      <c r="C46" s="23">
        <f>SUM('3.3.2'!C46,'3.3.3'!C46,'3.3.4'!C46,'3.3.5'!C46,'3.3.6'!C46,'3.3.7'!C46,'3.3.8'!C46,'3.3.9'!C46,'3.3.10'!C46)</f>
        <v>108844</v>
      </c>
      <c r="D46" s="23">
        <f>SUM('3.3.2'!D46,'3.3.3'!D46,'3.3.4'!D46,'3.3.5'!D46,'3.3.6'!D46,'3.3.7'!D46,'3.3.8'!D46,'3.3.9'!D46,'3.3.10'!D46)</f>
        <v>113852</v>
      </c>
      <c r="E46" s="23">
        <f>SUM('3.3.2'!E46,'3.3.3'!E46,'3.3.4'!E46,'3.3.5'!E46,'3.3.6'!E46,'3.3.7'!E46,'3.3.8'!E46,'3.3.9'!E46,'3.3.10'!E46)</f>
        <v>118131</v>
      </c>
      <c r="F46" s="23">
        <f>SUM('3.3.2'!F46,'3.3.3'!F46,'3.3.4'!F46,'3.3.5'!F46,'3.3.6'!F46,'3.3.7'!F46,'3.3.8'!F46,'3.3.9'!F46,'3.3.10'!F46)</f>
        <v>125327</v>
      </c>
      <c r="G46" s="34">
        <f>SUM('3.3.2'!G46,'3.3.3'!G46,'3.3.4'!G46,'3.3.5'!G46,'3.3.6'!G46,'3.3.7'!G46,'3.3.8'!G46,'3.3.9'!G46,'3.3.10'!G46)</f>
        <v>129241</v>
      </c>
      <c r="H46" s="52">
        <f>IF('AW Schüler'!$C220=0,"x",C46/'AW Schüler'!$C220)</f>
        <v>0.21720840384431175</v>
      </c>
      <c r="I46" s="52">
        <f>IF('AW Schüler'!$F220=0,"x",D46/'AW Schüler'!$F220)</f>
        <v>0.22532145097736533</v>
      </c>
      <c r="J46" s="52">
        <f>IF('AW Schüler'!$I220=0,"x",E46/'AW Schüler'!$I220)</f>
        <v>0.23294624317465201</v>
      </c>
      <c r="K46" s="52">
        <f>IF('AW Schüler'!$L220=0,"x",F46/'AW Schüler'!$L220)</f>
        <v>0.24503390241422729</v>
      </c>
      <c r="L46" s="53">
        <f>IF('AW Schüler'!$O220=0,"x",G46/'AW Schüler'!$O220)</f>
        <v>0.25086815159897125</v>
      </c>
    </row>
    <row r="47" spans="1:12" ht="12.75" customHeight="1">
      <c r="A47" s="391" t="s">
        <v>100</v>
      </c>
      <c r="B47" s="392"/>
      <c r="C47" s="392"/>
      <c r="D47" s="392"/>
      <c r="E47" s="392"/>
      <c r="F47" s="392"/>
      <c r="G47" s="392"/>
      <c r="H47" s="392"/>
      <c r="I47" s="392"/>
      <c r="J47" s="392"/>
      <c r="K47" s="392"/>
      <c r="L47" s="393"/>
    </row>
    <row r="48" spans="1:12" ht="9" customHeight="1">
      <c r="A48" s="21" t="s">
        <v>172</v>
      </c>
      <c r="B48" s="120"/>
      <c r="C48" s="23">
        <f>SUM('3.3.2'!C48,'3.3.3'!C48,'3.3.4'!C48,'3.3.5'!C48,'3.3.6'!C48,'3.3.7'!C48,'3.3.8'!C48,'3.3.9'!C48,'3.3.10'!C48)</f>
        <v>3465</v>
      </c>
      <c r="D48" s="23">
        <f>SUM('3.3.2'!D48,'3.3.3'!D48,'3.3.4'!D48,'3.3.5'!D48,'3.3.6'!D48,'3.3.7'!D48,'3.3.8'!D48,'3.3.9'!D48,'3.3.10'!D48)</f>
        <v>3678</v>
      </c>
      <c r="E48" s="23">
        <f>SUM('3.3.2'!E48,'3.3.3'!E48,'3.3.4'!E48,'3.3.5'!E48,'3.3.6'!E48,'3.3.7'!E48,'3.3.8'!E48,'3.3.9'!E48,'3.3.10'!E48)</f>
        <v>3633</v>
      </c>
      <c r="F48" s="23">
        <f>SUM('3.3.2'!F48,'3.3.3'!F48,'3.3.4'!F48,'3.3.5'!F48,'3.3.6'!F48,'3.3.7'!F48,'3.3.8'!F48,'3.3.9'!F48,'3.3.10'!F48)</f>
        <v>3301</v>
      </c>
      <c r="G48" s="34">
        <f>SUM('3.3.2'!G48,'3.3.3'!G48,'3.3.4'!G48,'3.3.5'!G48,'3.3.6'!G48,'3.3.7'!G48,'3.3.8'!G48,'3.3.9'!G48,'3.3.10'!G48)</f>
        <v>3759</v>
      </c>
      <c r="H48" s="52">
        <f>IF('AW Schüler'!$C204=0,"x",C48/'AW Schüler'!$C204)</f>
        <v>4.0847361720186728E-2</v>
      </c>
      <c r="I48" s="52">
        <f>IF('AW Schüler'!$F204=0,"x",D48/'AW Schüler'!$F204)</f>
        <v>4.3085068997024578E-2</v>
      </c>
      <c r="J48" s="52">
        <f>IF('AW Schüler'!$I204=0,"x",E48/'AW Schüler'!$I204)</f>
        <v>4.2460934304180645E-2</v>
      </c>
      <c r="K48" s="52">
        <f>IF('AW Schüler'!$L204=0,"x",F48/'AW Schüler'!$L204)</f>
        <v>3.8259156235512286E-2</v>
      </c>
      <c r="L48" s="53">
        <f>IF('AW Schüler'!$O204=0,"x",G48/'AW Schüler'!$O204)</f>
        <v>4.3643836570725306E-2</v>
      </c>
    </row>
    <row r="49" spans="1:12" ht="9" customHeight="1">
      <c r="A49" s="21" t="s">
        <v>81</v>
      </c>
      <c r="B49" s="120"/>
      <c r="C49" s="23">
        <f>SUM('3.3.2'!C49,'3.3.3'!C49,'3.3.4'!C49,'3.3.5'!C49,'3.3.6'!C49,'3.3.7'!C49,'3.3.8'!C49,'3.3.9'!C49,'3.3.10'!C49)</f>
        <v>22812</v>
      </c>
      <c r="D49" s="23">
        <f>SUM('3.3.2'!D49,'3.3.3'!D49,'3.3.4'!D49,'3.3.5'!D49,'3.3.6'!D49,'3.3.7'!D49,'3.3.8'!D49,'3.3.9'!D49,'3.3.10'!D49)</f>
        <v>24239</v>
      </c>
      <c r="E49" s="23">
        <f>SUM('3.3.2'!E49,'3.3.3'!E49,'3.3.4'!E49,'3.3.5'!E49,'3.3.6'!E49,'3.3.7'!E49,'3.3.8'!E49,'3.3.9'!E49,'3.3.10'!E49)</f>
        <v>26555</v>
      </c>
      <c r="F49" s="23">
        <f>SUM('3.3.2'!F49,'3.3.3'!F49,'3.3.4'!F49,'3.3.5'!F49,'3.3.6'!F49,'3.3.7'!F49,'3.3.8'!F49,'3.3.9'!F49,'3.3.10'!F49)</f>
        <v>27224</v>
      </c>
      <c r="G49" s="34">
        <f>SUM('3.3.2'!G49,'3.3.3'!G49,'3.3.4'!G49,'3.3.5'!G49,'3.3.6'!G49,'3.3.7'!G49,'3.3.8'!G49,'3.3.9'!G49,'3.3.10'!G49)</f>
        <v>32724</v>
      </c>
      <c r="H49" s="52">
        <f>IF('AW Schüler'!$C205=0,"x",C49/'AW Schüler'!$C205)</f>
        <v>0.16667275530259304</v>
      </c>
      <c r="I49" s="52">
        <f>IF('AW Schüler'!$F205=0,"x",D49/'AW Schüler'!$F205)</f>
        <v>0.1802477765549243</v>
      </c>
      <c r="J49" s="52">
        <f>IF('AW Schüler'!$I205=0,"x",E49/'AW Schüler'!$I205)</f>
        <v>0.2014306086534377</v>
      </c>
      <c r="K49" s="52">
        <f>IF('AW Schüler'!$L205=0,"x",F49/'AW Schüler'!$L205)</f>
        <v>0.20882905687876346</v>
      </c>
      <c r="L49" s="53">
        <f>IF('AW Schüler'!$O205=0,"x",G49/'AW Schüler'!$O205)</f>
        <v>0.25529126327204077</v>
      </c>
    </row>
    <row r="50" spans="1:12" ht="9" customHeight="1">
      <c r="A50" s="21" t="s">
        <v>82</v>
      </c>
      <c r="B50" s="120"/>
      <c r="C50" s="23">
        <f>SUM('3.3.2'!C50,'3.3.3'!C50,'3.3.4'!C50,'3.3.5'!C50,'3.3.6'!C50,'3.3.7'!C50,'3.3.8'!C50,'3.3.9'!C50,'3.3.10'!C50)</f>
        <v>8353</v>
      </c>
      <c r="D50" s="23">
        <f>SUM('3.3.2'!D50,'3.3.3'!D50,'3.3.4'!D50,'3.3.5'!D50,'3.3.6'!D50,'3.3.7'!D50,'3.3.8'!D50,'3.3.9'!D50,'3.3.10'!D50)</f>
        <v>10109</v>
      </c>
      <c r="E50" s="23">
        <f>SUM('3.3.2'!E50,'3.3.3'!E50,'3.3.4'!E50,'3.3.5'!E50,'3.3.6'!E50,'3.3.7'!E50,'3.3.8'!E50,'3.3.9'!E50,'3.3.10'!E50)</f>
        <v>9262</v>
      </c>
      <c r="F50" s="23">
        <f>SUM('3.3.2'!F50,'3.3.3'!F50,'3.3.4'!F50,'3.3.5'!F50,'3.3.6'!F50,'3.3.7'!F50,'3.3.8'!F50,'3.3.9'!F50,'3.3.10'!F50)</f>
        <v>10998</v>
      </c>
      <c r="G50" s="34">
        <f>SUM('3.3.2'!G50,'3.3.3'!G50,'3.3.4'!G50,'3.3.5'!G50,'3.3.6'!G50,'3.3.7'!G50,'3.3.8'!G50,'3.3.9'!G50,'3.3.10'!G50)</f>
        <v>11885</v>
      </c>
      <c r="H50" s="52">
        <f>IF('AW Schüler'!$C206=0,"x",C50/'AW Schüler'!$C206)</f>
        <v>0.32117040910489081</v>
      </c>
      <c r="I50" s="52">
        <f>IF('AW Schüler'!$F206=0,"x",D50/'AW Schüler'!$F206)</f>
        <v>0.37460164529756168</v>
      </c>
      <c r="J50" s="52">
        <f>IF('AW Schüler'!$I206=0,"x",E50/'AW Schüler'!$I206)</f>
        <v>0.32875448124090439</v>
      </c>
      <c r="K50" s="52">
        <f>IF('AW Schüler'!$L206=0,"x",F50/'AW Schüler'!$L206)</f>
        <v>0.38042199930819787</v>
      </c>
      <c r="L50" s="53">
        <f>IF('AW Schüler'!$O206=0,"x",G50/'AW Schüler'!$O206)</f>
        <v>0.39993942860988657</v>
      </c>
    </row>
    <row r="51" spans="1:12" ht="9" customHeight="1">
      <c r="A51" s="21" t="s">
        <v>83</v>
      </c>
      <c r="B51" s="120"/>
      <c r="C51" s="23">
        <f>SUM('3.3.2'!C51,'3.3.3'!C51,'3.3.4'!C51,'3.3.5'!C51,'3.3.6'!C51,'3.3.7'!C51,'3.3.8'!C51,'3.3.9'!C51,'3.3.10'!C51)</f>
        <v>8661</v>
      </c>
      <c r="D51" s="23">
        <f>SUM('3.3.2'!D51,'3.3.3'!D51,'3.3.4'!D51,'3.3.5'!D51,'3.3.6'!D51,'3.3.7'!D51,'3.3.8'!D51,'3.3.9'!D51,'3.3.10'!D51)</f>
        <v>8760</v>
      </c>
      <c r="E51" s="23">
        <f>SUM('3.3.2'!E51,'3.3.3'!E51,'3.3.4'!E51,'3.3.5'!E51,'3.3.6'!E51,'3.3.7'!E51,'3.3.8'!E51,'3.3.9'!E51,'3.3.10'!E51)</f>
        <v>8977</v>
      </c>
      <c r="F51" s="23">
        <f>SUM('3.3.2'!F51,'3.3.3'!F51,'3.3.4'!F51,'3.3.5'!F51,'3.3.6'!F51,'3.3.7'!F51,'3.3.8'!F51,'3.3.9'!F51,'3.3.10'!F51)</f>
        <v>9290</v>
      </c>
      <c r="G51" s="34">
        <f>SUM('3.3.2'!G51,'3.3.3'!G51,'3.3.4'!G51,'3.3.5'!G51,'3.3.6'!G51,'3.3.7'!G51,'3.3.8'!G51,'3.3.9'!G51,'3.3.10'!G51)</f>
        <v>7469</v>
      </c>
      <c r="H51" s="52">
        <f>IF('AW Schüler'!$C207=0,"x",C51/'AW Schüler'!$C207)</f>
        <v>0.50054903773912041</v>
      </c>
      <c r="I51" s="52">
        <f>IF('AW Schüler'!$F207=0,"x",D51/'AW Schüler'!$F207)</f>
        <v>0.48005260850504167</v>
      </c>
      <c r="J51" s="52">
        <f>IF('AW Schüler'!$I207=0,"x",E51/'AW Schüler'!$I207)</f>
        <v>0.47387035472972971</v>
      </c>
      <c r="K51" s="52">
        <f>IF('AW Schüler'!$L207=0,"x",F51/'AW Schüler'!$L207)</f>
        <v>0.47451220757993667</v>
      </c>
      <c r="L51" s="53">
        <f>IF('AW Schüler'!$O207=0,"x",G51/'AW Schüler'!$O207)</f>
        <v>0.37105668438571215</v>
      </c>
    </row>
    <row r="52" spans="1:12" ht="9" customHeight="1">
      <c r="A52" s="21" t="s">
        <v>84</v>
      </c>
      <c r="B52" s="120"/>
      <c r="C52" s="23">
        <f>SUM('3.3.2'!C52,'3.3.3'!C52,'3.3.4'!C52,'3.3.5'!C52,'3.3.6'!C52,'3.3.7'!C52,'3.3.8'!C52,'3.3.9'!C52,'3.3.10'!C52)</f>
        <v>354</v>
      </c>
      <c r="D52" s="23">
        <f>SUM('3.3.2'!D52,'3.3.3'!D52,'3.3.4'!D52,'3.3.5'!D52,'3.3.6'!D52,'3.3.7'!D52,'3.3.8'!D52,'3.3.9'!D52,'3.3.10'!D52)</f>
        <v>425</v>
      </c>
      <c r="E52" s="23">
        <f>SUM('3.3.2'!E52,'3.3.3'!E52,'3.3.4'!E52,'3.3.5'!E52,'3.3.6'!E52,'3.3.7'!E52,'3.3.8'!E52,'3.3.9'!E52,'3.3.10'!E52)</f>
        <v>443</v>
      </c>
      <c r="F52" s="23">
        <f>SUM('3.3.2'!F52,'3.3.3'!F52,'3.3.4'!F52,'3.3.5'!F52,'3.3.6'!F52,'3.3.7'!F52,'3.3.8'!F52,'3.3.9'!F52,'3.3.10'!F52)</f>
        <v>494</v>
      </c>
      <c r="G52" s="34">
        <f>SUM('3.3.2'!G52,'3.3.3'!G52,'3.3.4'!G52,'3.3.5'!G52,'3.3.6'!G52,'3.3.7'!G52,'3.3.8'!G52,'3.3.9'!G52,'3.3.10'!G52)</f>
        <v>381</v>
      </c>
      <c r="H52" s="52">
        <f>IF('AW Schüler'!$C208=0,"x",C52/'AW Schüler'!$C208)</f>
        <v>6.1586638830897704E-2</v>
      </c>
      <c r="I52" s="52">
        <f>IF('AW Schüler'!$F208=0,"x",D52/'AW Schüler'!$F208)</f>
        <v>7.4718706047819966E-2</v>
      </c>
      <c r="J52" s="52">
        <f>IF('AW Schüler'!$I208=0,"x",E52/'AW Schüler'!$I208)</f>
        <v>7.8881766381766388E-2</v>
      </c>
      <c r="K52" s="52">
        <f>IF('AW Schüler'!$L208=0,"x",F52/'AW Schüler'!$L208)</f>
        <v>8.9025049558479008E-2</v>
      </c>
      <c r="L52" s="53">
        <f>IF('AW Schüler'!$O208=0,"x",G52/'AW Schüler'!$O208)</f>
        <v>6.9589041095890411E-2</v>
      </c>
    </row>
    <row r="53" spans="1:12" ht="9" customHeight="1">
      <c r="A53" s="21" t="s">
        <v>85</v>
      </c>
      <c r="B53" s="120"/>
      <c r="C53" s="23">
        <f>SUM('3.3.2'!C53,'3.3.3'!C53,'3.3.4'!C53,'3.3.5'!C53,'3.3.6'!C53,'3.3.7'!C53,'3.3.8'!C53,'3.3.9'!C53,'3.3.10'!C53)</f>
        <v>3984</v>
      </c>
      <c r="D53" s="23">
        <f>SUM('3.3.2'!D53,'3.3.3'!D53,'3.3.4'!D53,'3.3.5'!D53,'3.3.6'!D53,'3.3.7'!D53,'3.3.8'!D53,'3.3.9'!D53,'3.3.10'!D53)</f>
        <v>7538</v>
      </c>
      <c r="E53" s="23">
        <f>SUM('3.3.2'!E53,'3.3.3'!E53,'3.3.4'!E53,'3.3.5'!E53,'3.3.6'!E53,'3.3.7'!E53,'3.3.8'!E53,'3.3.9'!E53,'3.3.10'!E53)</f>
        <v>8071</v>
      </c>
      <c r="F53" s="23">
        <f>SUM('3.3.2'!F53,'3.3.3'!F53,'3.3.4'!F53,'3.3.5'!F53,'3.3.6'!F53,'3.3.7'!F53,'3.3.8'!F53,'3.3.9'!F53,'3.3.10'!F53)</f>
        <v>8459</v>
      </c>
      <c r="G53" s="34">
        <f>SUM('3.3.2'!G53,'3.3.3'!G53,'3.3.4'!G53,'3.3.5'!G53,'3.3.6'!G53,'3.3.7'!G53,'3.3.8'!G53,'3.3.9'!G53,'3.3.10'!G53)</f>
        <v>8912</v>
      </c>
      <c r="H53" s="52">
        <f>IF('AW Schüler'!$C209=0,"x",C53/'AW Schüler'!$C209)</f>
        <v>0.24836356835608753</v>
      </c>
      <c r="I53" s="52">
        <f>IF('AW Schüler'!$F209=0,"x",D53/'AW Schüler'!$F209)</f>
        <v>0.46536609457957773</v>
      </c>
      <c r="J53" s="52">
        <f>IF('AW Schüler'!$I209=0,"x",E53/'AW Schüler'!$I209)</f>
        <v>0.49481944699895775</v>
      </c>
      <c r="K53" s="52">
        <f>IF('AW Schüler'!$L209=0,"x",F53/'AW Schüler'!$L209)</f>
        <v>0.51800367421922844</v>
      </c>
      <c r="L53" s="53">
        <f>IF('AW Schüler'!$O209=0,"x",G53/'AW Schüler'!$O209)</f>
        <v>0.53963063881320017</v>
      </c>
    </row>
    <row r="54" spans="1:12" ht="9" customHeight="1">
      <c r="A54" s="21" t="s">
        <v>86</v>
      </c>
      <c r="B54" s="120"/>
      <c r="C54" s="124">
        <f>SUM('3.3.2'!C54,'3.3.3'!C54,'3.3.4'!C54,'3.3.5'!C54,'3.3.6'!C54,'3.3.7'!C54,'3.3.8'!C54,'3.3.9'!C54,'3.3.10'!C54)</f>
        <v>0</v>
      </c>
      <c r="D54" s="124">
        <f>SUM('3.3.2'!D54,'3.3.3'!D54,'3.3.4'!D54,'3.3.5'!D54,'3.3.6'!D54,'3.3.7'!D54,'3.3.8'!D54,'3.3.9'!D54,'3.3.10'!D54)</f>
        <v>0</v>
      </c>
      <c r="E54" s="124">
        <f>SUM('3.3.2'!E54,'3.3.3'!E54,'3.3.4'!E54,'3.3.5'!E54,'3.3.6'!E54,'3.3.7'!E54,'3.3.8'!E54,'3.3.9'!E54,'3.3.10'!E54)</f>
        <v>0</v>
      </c>
      <c r="F54" s="124">
        <f>SUM('3.3.2'!F54,'3.3.3'!F54,'3.3.4'!F54,'3.3.5'!F54,'3.3.6'!F54,'3.3.7'!F54,'3.3.8'!F54,'3.3.9'!F54,'3.3.10'!F54)</f>
        <v>0</v>
      </c>
      <c r="G54" s="188">
        <f>SUM('3.3.2'!G54,'3.3.3'!G54,'3.3.4'!G54,'3.3.5'!G54,'3.3.6'!G54,'3.3.7'!G54,'3.3.8'!G54,'3.3.9'!G54,'3.3.10'!G54)</f>
        <v>0</v>
      </c>
      <c r="H54" s="124">
        <f>IF('AW Schüler'!$C210=0,"x",C54/'AW Schüler'!$C210)</f>
        <v>0</v>
      </c>
      <c r="I54" s="124">
        <f>IF('AW Schüler'!$F210=0,"x",D54/'AW Schüler'!$F210)</f>
        <v>0</v>
      </c>
      <c r="J54" s="124">
        <f>IF('AW Schüler'!$I210=0,"x",E54/'AW Schüler'!$I210)</f>
        <v>0</v>
      </c>
      <c r="K54" s="124">
        <f>IF('AW Schüler'!$L210=0,"x",F54/'AW Schüler'!$L210)</f>
        <v>0</v>
      </c>
      <c r="L54" s="188">
        <f>IF('AW Schüler'!$O210=0,"x",G54/'AW Schüler'!$O210)</f>
        <v>0</v>
      </c>
    </row>
    <row r="55" spans="1:12" ht="9" customHeight="1">
      <c r="A55" s="21" t="s">
        <v>174</v>
      </c>
      <c r="B55" s="120"/>
      <c r="C55" s="23">
        <f>SUM('3.3.2'!C55,'3.3.3'!C55,'3.3.4'!C55,'3.3.5'!C55,'3.3.6'!C55,'3.3.7'!C55,'3.3.8'!C55,'3.3.9'!C55,'3.3.10'!C55)</f>
        <v>1806</v>
      </c>
      <c r="D55" s="23">
        <f>SUM('3.3.2'!D55,'3.3.3'!D55,'3.3.4'!D55,'3.3.5'!D55,'3.3.6'!D55,'3.3.7'!D55,'3.3.8'!D55,'3.3.9'!D55,'3.3.10'!D55)</f>
        <v>1961</v>
      </c>
      <c r="E55" s="23">
        <f>SUM('3.3.2'!E55,'3.3.3'!E55,'3.3.4'!E55,'3.3.5'!E55,'3.3.6'!E55,'3.3.7'!E55,'3.3.8'!E55,'3.3.9'!E55,'3.3.10'!E55)</f>
        <v>1961</v>
      </c>
      <c r="F55" s="23">
        <f>SUM('3.3.2'!F55,'3.3.3'!F55,'3.3.4'!F55,'3.3.5'!F55,'3.3.6'!F55,'3.3.7'!F55,'3.3.8'!F55,'3.3.9'!F55,'3.3.10'!F55)</f>
        <v>1911</v>
      </c>
      <c r="G55" s="34">
        <f>SUM('3.3.2'!G55,'3.3.3'!G55,'3.3.4'!G55,'3.3.5'!G55,'3.3.6'!G55,'3.3.7'!G55,'3.3.8'!G55,'3.3.9'!G55,'3.3.10'!G55)</f>
        <v>1410</v>
      </c>
      <c r="H55" s="52">
        <f>IF('AW Schüler'!$C211=0,"x",C55/'AW Schüler'!$C211)</f>
        <v>0.15232793522267207</v>
      </c>
      <c r="I55" s="52">
        <f>IF('AW Schüler'!$F211=0,"x",D55/'AW Schüler'!$F211)</f>
        <v>0.15763665594855306</v>
      </c>
      <c r="J55" s="52">
        <f>IF('AW Schüler'!$I211=0,"x",E55/'AW Schüler'!$I211)</f>
        <v>0.15138181256754671</v>
      </c>
      <c r="K55" s="52">
        <f>IF('AW Schüler'!$L211=0,"x",F55/'AW Schüler'!$L211)</f>
        <v>0.14114779525814314</v>
      </c>
      <c r="L55" s="53">
        <f>IF('AW Schüler'!$O211=0,"x",G55/'AW Schüler'!$O211)</f>
        <v>0.10028449502133713</v>
      </c>
    </row>
    <row r="56" spans="1:12" ht="9" customHeight="1">
      <c r="A56" s="21" t="s">
        <v>88</v>
      </c>
      <c r="B56" s="120"/>
      <c r="C56" s="124">
        <f>SUM('3.3.2'!C56,'3.3.3'!C56,'3.3.4'!C56,'3.3.5'!C56,'3.3.6'!C56,'3.3.7'!C56,'3.3.8'!C56,'3.3.9'!C56,'3.3.10'!C56)</f>
        <v>0</v>
      </c>
      <c r="D56" s="124">
        <f>SUM('3.3.2'!D56,'3.3.3'!D56,'3.3.4'!D56,'3.3.5'!D56,'3.3.6'!D56,'3.3.7'!D56,'3.3.8'!D56,'3.3.9'!D56,'3.3.10'!D56)</f>
        <v>0</v>
      </c>
      <c r="E56" s="124">
        <f>SUM('3.3.2'!E56,'3.3.3'!E56,'3.3.4'!E56,'3.3.5'!E56,'3.3.6'!E56,'3.3.7'!E56,'3.3.8'!E56,'3.3.9'!E56,'3.3.10'!E56)</f>
        <v>0</v>
      </c>
      <c r="F56" s="124">
        <f>SUM('3.3.2'!F56,'3.3.3'!F56,'3.3.4'!F56,'3.3.5'!F56,'3.3.6'!F56,'3.3.7'!F56,'3.3.8'!F56,'3.3.9'!F56,'3.3.10'!F56)</f>
        <v>0</v>
      </c>
      <c r="G56" s="188">
        <f>SUM('3.3.2'!G56,'3.3.3'!G56,'3.3.4'!G56,'3.3.5'!G56,'3.3.6'!G56,'3.3.7'!G56,'3.3.8'!G56,'3.3.9'!G56,'3.3.10'!G56)</f>
        <v>0</v>
      </c>
      <c r="H56" s="124">
        <f>IF('AW Schüler'!$C212=0,"x",C56/'AW Schüler'!$C212)</f>
        <v>0</v>
      </c>
      <c r="I56" s="124">
        <f>IF('AW Schüler'!$F212=0,"x",D56/'AW Schüler'!$F212)</f>
        <v>0</v>
      </c>
      <c r="J56" s="124">
        <f>IF('AW Schüler'!$I212=0,"x",E56/'AW Schüler'!$I212)</f>
        <v>0</v>
      </c>
      <c r="K56" s="124">
        <f>IF('AW Schüler'!$L212=0,"x",F56/'AW Schüler'!$L212)</f>
        <v>0</v>
      </c>
      <c r="L56" s="188">
        <f>IF('AW Schüler'!$O212=0,"x",G56/'AW Schüler'!$O212)</f>
        <v>0</v>
      </c>
    </row>
    <row r="57" spans="1:12" ht="9" customHeight="1">
      <c r="A57" s="21" t="s">
        <v>89</v>
      </c>
      <c r="B57" s="120"/>
      <c r="C57" s="23">
        <f>SUM('3.3.2'!C57,'3.3.3'!C57,'3.3.4'!C57,'3.3.5'!C57,'3.3.6'!C57,'3.3.7'!C57,'3.3.8'!C57,'3.3.9'!C57,'3.3.10'!C57)</f>
        <v>5004</v>
      </c>
      <c r="D57" s="23">
        <f>SUM('3.3.2'!D57,'3.3.3'!D57,'3.3.4'!D57,'3.3.5'!D57,'3.3.6'!D57,'3.3.7'!D57,'3.3.8'!D57,'3.3.9'!D57,'3.3.10'!D57)</f>
        <v>5274</v>
      </c>
      <c r="E57" s="23">
        <f>SUM('3.3.2'!E57,'3.3.3'!E57,'3.3.4'!E57,'3.3.5'!E57,'3.3.6'!E57,'3.3.7'!E57,'3.3.8'!E57,'3.3.9'!E57,'3.3.10'!E57)</f>
        <v>5199</v>
      </c>
      <c r="F57" s="23">
        <f>SUM('3.3.2'!F57,'3.3.3'!F57,'3.3.4'!F57,'3.3.5'!F57,'3.3.6'!F57,'3.3.7'!F57,'3.3.8'!F57,'3.3.9'!F57,'3.3.10'!F57)</f>
        <v>5671</v>
      </c>
      <c r="G57" s="34">
        <f>SUM('3.3.2'!G57,'3.3.3'!G57,'3.3.4'!G57,'3.3.5'!G57,'3.3.6'!G57,'3.3.7'!G57,'3.3.8'!G57,'3.3.9'!G57,'3.3.10'!G57)</f>
        <v>5829</v>
      </c>
      <c r="H57" s="52">
        <f>IF('AW Schüler'!$C213=0,"x",C57/'AW Schüler'!$C213)</f>
        <v>4.2378766578024696E-2</v>
      </c>
      <c r="I57" s="52">
        <f>IF('AW Schüler'!$F213=0,"x",D57/'AW Schüler'!$F213)</f>
        <v>4.4343548997351497E-2</v>
      </c>
      <c r="J57" s="52">
        <f>IF('AW Schüler'!$I213=0,"x",E57/'AW Schüler'!$I213)</f>
        <v>4.3528495717479215E-2</v>
      </c>
      <c r="K57" s="52">
        <f>IF('AW Schüler'!$L213=0,"x",F57/'AW Schüler'!$L213)</f>
        <v>4.6879779116963852E-2</v>
      </c>
      <c r="L57" s="53">
        <f>IF('AW Schüler'!$O213=0,"x",G57/'AW Schüler'!$O213)</f>
        <v>4.7615935695205731E-2</v>
      </c>
    </row>
    <row r="58" spans="1:12" ht="9" customHeight="1">
      <c r="A58" s="21" t="s">
        <v>90</v>
      </c>
      <c r="B58" s="120"/>
      <c r="C58" s="23">
        <f>SUM('3.3.2'!C58,'3.3.3'!C58,'3.3.4'!C58,'3.3.5'!C58,'3.3.6'!C58,'3.3.7'!C58,'3.3.8'!C58,'3.3.9'!C58,'3.3.10'!C58)</f>
        <v>345</v>
      </c>
      <c r="D58" s="23">
        <f>SUM('3.3.2'!D58,'3.3.3'!D58,'3.3.4'!D58,'3.3.5'!D58,'3.3.6'!D58,'3.3.7'!D58,'3.3.8'!D58,'3.3.9'!D58,'3.3.10'!D58)</f>
        <v>680</v>
      </c>
      <c r="E58" s="23">
        <f>SUM('3.3.2'!E58,'3.3.3'!E58,'3.3.4'!E58,'3.3.5'!E58,'3.3.6'!E58,'3.3.7'!E58,'3.3.8'!E58,'3.3.9'!E58,'3.3.10'!E58)</f>
        <v>824</v>
      </c>
      <c r="F58" s="23">
        <f>SUM('3.3.2'!F58,'3.3.3'!F58,'3.3.4'!F58,'3.3.5'!F58,'3.3.6'!F58,'3.3.7'!F58,'3.3.8'!F58,'3.3.9'!F58,'3.3.10'!F58)</f>
        <v>1211</v>
      </c>
      <c r="G58" s="34">
        <f>SUM('3.3.2'!G58,'3.3.3'!G58,'3.3.4'!G58,'3.3.5'!G58,'3.3.6'!G58,'3.3.7'!G58,'3.3.8'!G58,'3.3.9'!G58,'3.3.10'!G58)</f>
        <v>958</v>
      </c>
      <c r="H58" s="52">
        <f>IF('AW Schüler'!$C214=0,"x",C58/'AW Schüler'!$C214)</f>
        <v>1.2513147872764861E-2</v>
      </c>
      <c r="I58" s="52">
        <f>IF('AW Schüler'!$F214=0,"x",D58/'AW Schüler'!$F214)</f>
        <v>2.4757882472875557E-2</v>
      </c>
      <c r="J58" s="52">
        <f>IF('AW Schüler'!$I214=0,"x",E58/'AW Schüler'!$I214)</f>
        <v>3.0395809509756906E-2</v>
      </c>
      <c r="K58" s="52">
        <f>IF('AW Schüler'!$L214=0,"x",F58/'AW Schüler'!$L214)</f>
        <v>4.4608980734519466E-2</v>
      </c>
      <c r="L58" s="53">
        <f>IF('AW Schüler'!$O214=0,"x",G58/'AW Schüler'!$O214)</f>
        <v>3.4913808812274502E-2</v>
      </c>
    </row>
    <row r="59" spans="1:12" ht="9" customHeight="1">
      <c r="A59" s="21" t="s">
        <v>91</v>
      </c>
      <c r="B59" s="120"/>
      <c r="C59" s="23">
        <f>SUM('3.3.2'!C59,'3.3.3'!C59,'3.3.4'!C59,'3.3.5'!C59,'3.3.6'!C59,'3.3.7'!C59,'3.3.8'!C59,'3.3.9'!C59,'3.3.10'!C59)</f>
        <v>1055</v>
      </c>
      <c r="D59" s="23">
        <f>SUM('3.3.2'!D59,'3.3.3'!D59,'3.3.4'!D59,'3.3.5'!D59,'3.3.6'!D59,'3.3.7'!D59,'3.3.8'!D59,'3.3.9'!D59,'3.3.10'!D59)</f>
        <v>1030</v>
      </c>
      <c r="E59" s="23">
        <f>SUM('3.3.2'!E59,'3.3.3'!E59,'3.3.4'!E59,'3.3.5'!E59,'3.3.6'!E59,'3.3.7'!E59,'3.3.8'!E59,'3.3.9'!E59,'3.3.10'!E59)</f>
        <v>1145</v>
      </c>
      <c r="F59" s="23">
        <f>SUM('3.3.2'!F59,'3.3.3'!F59,'3.3.4'!F59,'3.3.5'!F59,'3.3.6'!F59,'3.3.7'!F59,'3.3.8'!F59,'3.3.9'!F59,'3.3.10'!F59)</f>
        <v>1165</v>
      </c>
      <c r="G59" s="34">
        <f>SUM('3.3.2'!G59,'3.3.3'!G59,'3.3.4'!G59,'3.3.5'!G59,'3.3.6'!G59,'3.3.7'!G59,'3.3.8'!G59,'3.3.9'!G59,'3.3.10'!G59)</f>
        <v>1260</v>
      </c>
      <c r="H59" s="52">
        <f>IF('AW Schüler'!$C215=0,"x",C59/'AW Schüler'!$C215)</f>
        <v>0.18512019652570627</v>
      </c>
      <c r="I59" s="52">
        <f>IF('AW Schüler'!$F215=0,"x",D59/'AW Schüler'!$F215)</f>
        <v>0.16666666666666666</v>
      </c>
      <c r="J59" s="52">
        <f>IF('AW Schüler'!$I215=0,"x",E59/'AW Schüler'!$I215)</f>
        <v>0.18991540885719024</v>
      </c>
      <c r="K59" s="52">
        <f>IF('AW Schüler'!$L215=0,"x",F59/'AW Schüler'!$L215)</f>
        <v>0.19126580200295518</v>
      </c>
      <c r="L59" s="53">
        <f>IF('AW Schüler'!$O215=0,"x",G59/'AW Schüler'!$O215)</f>
        <v>0.20504475183075671</v>
      </c>
    </row>
    <row r="60" spans="1:12" ht="9" customHeight="1">
      <c r="A60" s="21" t="s">
        <v>92</v>
      </c>
      <c r="B60" s="120"/>
      <c r="C60" s="36">
        <f>SUM('3.3.2'!C60,'3.3.3'!C60,'3.3.4'!C60,'3.3.5'!C60,'3.3.6'!C60,'3.3.7'!C60,'3.3.8'!C60,'3.3.9'!C60,'3.3.10'!C60)</f>
        <v>8115</v>
      </c>
      <c r="D60" s="36">
        <f>SUM('3.3.2'!D60,'3.3.3'!D60,'3.3.4'!D60,'3.3.5'!D60,'3.3.6'!D60,'3.3.7'!D60,'3.3.8'!D60,'3.3.9'!D60,'3.3.10'!D60)</f>
        <v>9782</v>
      </c>
      <c r="E60" s="36">
        <f>SUM('3.3.2'!E60,'3.3.3'!E60,'3.3.4'!E60,'3.3.5'!E60,'3.3.6'!E60,'3.3.7'!E60,'3.3.8'!E60,'3.3.9'!E60,'3.3.10'!E60)</f>
        <v>8682</v>
      </c>
      <c r="F60" s="36">
        <f>SUM('3.3.2'!F60,'3.3.3'!F60,'3.3.4'!F60,'3.3.5'!F60,'3.3.6'!F60,'3.3.7'!F60,'3.3.8'!F60,'3.3.9'!F60,'3.3.10'!F60)</f>
        <v>9071</v>
      </c>
      <c r="G60" s="37">
        <f>SUM('3.3.2'!G60,'3.3.3'!G60,'3.3.4'!G60,'3.3.5'!G60,'3.3.6'!G60,'3.3.7'!G60,'3.3.8'!G60,'3.3.9'!G60,'3.3.10'!G60)</f>
        <v>9683</v>
      </c>
      <c r="H60" s="52">
        <f>IF('AW Schüler'!$C216=0,"x",C60/'AW Schüler'!$C216)</f>
        <v>0.30500638953619486</v>
      </c>
      <c r="I60" s="52">
        <f>IF('AW Schüler'!$F216=0,"x",D60/'AW Schüler'!$F216)</f>
        <v>0.3478168112644005</v>
      </c>
      <c r="J60" s="52">
        <f>IF('AW Schüler'!$I216=0,"x",E60/'AW Schüler'!$I216)</f>
        <v>0.29663796637966378</v>
      </c>
      <c r="K60" s="52">
        <f>IF('AW Schüler'!$L216=0,"x",F60/'AW Schüler'!$L216)</f>
        <v>0.29978848568973493</v>
      </c>
      <c r="L60" s="53">
        <f>IF('AW Schüler'!$O216=0,"x",G60/'AW Schüler'!$O216)</f>
        <v>0.30623991903602266</v>
      </c>
    </row>
    <row r="61" spans="1:12" ht="9" customHeight="1">
      <c r="A61" s="21" t="s">
        <v>93</v>
      </c>
      <c r="B61" s="120"/>
      <c r="C61" s="124">
        <f>SUM('3.3.2'!C61,'3.3.3'!C61,'3.3.4'!C61,'3.3.5'!C61,'3.3.6'!C61,'3.3.7'!C61,'3.3.8'!C61,'3.3.9'!C61,'3.3.10'!C61)</f>
        <v>0</v>
      </c>
      <c r="D61" s="124">
        <f>SUM('3.3.2'!D61,'3.3.3'!D61,'3.3.4'!D61,'3.3.5'!D61,'3.3.6'!D61,'3.3.7'!D61,'3.3.8'!D61,'3.3.9'!D61,'3.3.10'!D61)</f>
        <v>0</v>
      </c>
      <c r="E61" s="124">
        <f>SUM('3.3.2'!E61,'3.3.3'!E61,'3.3.4'!E61,'3.3.5'!E61,'3.3.6'!E61,'3.3.7'!E61,'3.3.8'!E61,'3.3.9'!E61,'3.3.10'!E61)</f>
        <v>0</v>
      </c>
      <c r="F61" s="124">
        <f>SUM('3.3.2'!F61,'3.3.3'!F61,'3.3.4'!F61,'3.3.5'!F61,'3.3.6'!F61,'3.3.7'!F61,'3.3.8'!F61,'3.3.9'!F61,'3.3.10'!F61)</f>
        <v>0</v>
      </c>
      <c r="G61" s="188">
        <f>SUM('3.3.2'!G61,'3.3.3'!G61,'3.3.4'!G61,'3.3.5'!G61,'3.3.6'!G61,'3.3.7'!G61,'3.3.8'!G61,'3.3.9'!G61,'3.3.10'!G61)</f>
        <v>0</v>
      </c>
      <c r="H61" s="124">
        <f>IF('AW Schüler'!$C217=0,"x",C61/'AW Schüler'!$C217)</f>
        <v>0</v>
      </c>
      <c r="I61" s="124">
        <f>IF('AW Schüler'!$F217=0,"x",D61/'AW Schüler'!$F217)</f>
        <v>0</v>
      </c>
      <c r="J61" s="124">
        <f>IF('AW Schüler'!$I217=0,"x",E61/'AW Schüler'!$I217)</f>
        <v>0</v>
      </c>
      <c r="K61" s="124">
        <f>IF('AW Schüler'!$L217=0,"x",F61/'AW Schüler'!$L217)</f>
        <v>0</v>
      </c>
      <c r="L61" s="188">
        <f>IF('AW Schüler'!$O217=0,"x",G61/'AW Schüler'!$O217)</f>
        <v>0</v>
      </c>
    </row>
    <row r="62" spans="1:12" ht="9" customHeight="1">
      <c r="A62" s="21" t="s">
        <v>94</v>
      </c>
      <c r="B62" s="120"/>
      <c r="C62" s="23">
        <f>SUM('3.3.2'!C62,'3.3.3'!C62,'3.3.4'!C62,'3.3.5'!C62,'3.3.6'!C62,'3.3.7'!C62,'3.3.8'!C62,'3.3.9'!C62,'3.3.10'!C62)</f>
        <v>1591</v>
      </c>
      <c r="D62" s="23">
        <f>SUM('3.3.2'!D62,'3.3.3'!D62,'3.3.4'!D62,'3.3.5'!D62,'3.3.6'!D62,'3.3.7'!D62,'3.3.8'!D62,'3.3.9'!D62,'3.3.10'!D62)</f>
        <v>1487</v>
      </c>
      <c r="E62" s="23">
        <f>SUM('3.3.2'!E62,'3.3.3'!E62,'3.3.4'!E62,'3.3.5'!E62,'3.3.6'!E62,'3.3.7'!E62,'3.3.8'!E62,'3.3.9'!E62,'3.3.10'!E62)</f>
        <v>1933</v>
      </c>
      <c r="F62" s="23">
        <f>SUM('3.3.2'!F62,'3.3.3'!F62,'3.3.4'!F62,'3.3.5'!F62,'3.3.6'!F62,'3.3.7'!F62,'3.3.8'!F62,'3.3.9'!F62,'3.3.10'!F62)</f>
        <v>2002</v>
      </c>
      <c r="G62" s="34">
        <f>SUM('3.3.2'!G62,'3.3.3'!G62,'3.3.4'!G62,'3.3.5'!G62,'3.3.6'!G62,'3.3.7'!G62,'3.3.8'!G62,'3.3.9'!G62,'3.3.10'!G62)</f>
        <v>2161</v>
      </c>
      <c r="H62" s="52">
        <f>IF('AW Schüler'!$C218=0,"x",C62/'AW Schüler'!$C218)</f>
        <v>0.12814110824742267</v>
      </c>
      <c r="I62" s="52">
        <f>IF('AW Schüler'!$F218=0,"x",D62/'AW Schüler'!$F218)</f>
        <v>0.11954337165366991</v>
      </c>
      <c r="J62" s="52">
        <f>IF('AW Schüler'!$I218=0,"x",E62/'AW Schüler'!$I218)</f>
        <v>0.15612632259106696</v>
      </c>
      <c r="K62" s="52">
        <f>IF('AW Schüler'!$L218=0,"x",F62/'AW Schüler'!$L218)</f>
        <v>0.16297622924128949</v>
      </c>
      <c r="L62" s="53">
        <f>IF('AW Schüler'!$O218=0,"x",G62/'AW Schüler'!$O218)</f>
        <v>0.17336542318491777</v>
      </c>
    </row>
    <row r="63" spans="1:12" ht="9" customHeight="1">
      <c r="A63" s="21" t="s">
        <v>95</v>
      </c>
      <c r="B63" s="120"/>
      <c r="C63" s="23">
        <f>SUM('3.3.2'!C63,'3.3.3'!C63,'3.3.4'!C63,'3.3.5'!C63,'3.3.6'!C63,'3.3.7'!C63,'3.3.8'!C63,'3.3.9'!C63,'3.3.10'!C63)</f>
        <v>1475</v>
      </c>
      <c r="D63" s="23">
        <f>SUM('3.3.2'!D63,'3.3.3'!D63,'3.3.4'!D63,'3.3.5'!D63,'3.3.6'!D63,'3.3.7'!D63,'3.3.8'!D63,'3.3.9'!D63,'3.3.10'!D63)</f>
        <v>1515</v>
      </c>
      <c r="E63" s="23">
        <f>SUM('3.3.2'!E63,'3.3.3'!E63,'3.3.4'!E63,'3.3.5'!E63,'3.3.6'!E63,'3.3.7'!E63,'3.3.8'!E63,'3.3.9'!E63,'3.3.10'!E63)</f>
        <v>1875</v>
      </c>
      <c r="F63" s="23">
        <f>SUM('3.3.2'!F63,'3.3.3'!F63,'3.3.4'!F63,'3.3.5'!F63,'3.3.6'!F63,'3.3.7'!F63,'3.3.8'!F63,'3.3.9'!F63,'3.3.10'!F63)</f>
        <v>1870</v>
      </c>
      <c r="G63" s="34">
        <f>SUM('3.3.2'!G63,'3.3.3'!G63,'3.3.4'!G63,'3.3.5'!G63,'3.3.6'!G63,'3.3.7'!G63,'3.3.8'!G63,'3.3.9'!G63,'3.3.10'!G63)</f>
        <v>1785</v>
      </c>
      <c r="H63" s="52">
        <f>IF('AW Schüler'!$C219=0,"x",C63/'AW Schüler'!$C219)</f>
        <v>0.12207233302987669</v>
      </c>
      <c r="I63" s="52">
        <f>IF('AW Schüler'!$F219=0,"x",D63/'AW Schüler'!$F219)</f>
        <v>0.11890746409230045</v>
      </c>
      <c r="J63" s="52">
        <f>IF('AW Schüler'!$I219=0,"x",E63/'AW Schüler'!$I219)</f>
        <v>0.1388888888888889</v>
      </c>
      <c r="K63" s="52">
        <f>IF('AW Schüler'!$L219=0,"x",F63/'AW Schüler'!$L219)</f>
        <v>0.13198757763975155</v>
      </c>
      <c r="L63" s="53">
        <f>IF('AW Schüler'!$O219=0,"x",G63/'AW Schüler'!$O219)</f>
        <v>0.11994355597365945</v>
      </c>
    </row>
    <row r="64" spans="1:12" ht="8.65" customHeight="1">
      <c r="A64" s="24" t="s">
        <v>96</v>
      </c>
      <c r="B64" s="121"/>
      <c r="C64" s="26">
        <f>SUM('3.3.2'!C64,'3.3.3'!C64,'3.3.4'!C64,'3.3.5'!C64,'3.3.6'!C64,'3.3.7'!C64,'3.3.8'!C64,'3.3.9'!C64,'3.3.10'!C64)</f>
        <v>67020</v>
      </c>
      <c r="D64" s="26">
        <f>SUM('3.3.2'!D64,'3.3.3'!D64,'3.3.4'!D64,'3.3.5'!D64,'3.3.6'!D64,'3.3.7'!D64,'3.3.8'!D64,'3.3.9'!D64,'3.3.10'!D64)</f>
        <v>76478</v>
      </c>
      <c r="E64" s="26">
        <f>SUM('3.3.2'!E64,'3.3.3'!E64,'3.3.4'!E64,'3.3.5'!E64,'3.3.6'!E64,'3.3.7'!E64,'3.3.8'!E64,'3.3.9'!E64,'3.3.10'!E64)</f>
        <v>78560</v>
      </c>
      <c r="F64" s="26">
        <f>SUM('3.3.2'!F64,'3.3.3'!F64,'3.3.4'!F64,'3.3.5'!F64,'3.3.6'!F64,'3.3.7'!F64,'3.3.8'!F64,'3.3.9'!F64,'3.3.10'!F64)</f>
        <v>82667</v>
      </c>
      <c r="G64" s="47">
        <f>SUM('3.3.2'!G64,'3.3.3'!G64,'3.3.4'!G64,'3.3.5'!G64,'3.3.6'!G64,'3.3.7'!G64,'3.3.8'!G64,'3.3.9'!G64,'3.3.10'!G64)</f>
        <v>88216</v>
      </c>
      <c r="H64" s="191">
        <f>IF('AW Schüler'!$C220=0,"x",C64/'AW Schüler'!$C220)</f>
        <v>0.13374469172068074</v>
      </c>
      <c r="I64" s="191">
        <f>IF('AW Schüler'!$F220=0,"x",D64/'AW Schüler'!$F220)</f>
        <v>0.15135556624255125</v>
      </c>
      <c r="J64" s="191">
        <f>IF('AW Schüler'!$I220=0,"x",E64/'AW Schüler'!$I220)</f>
        <v>0.15491494073359796</v>
      </c>
      <c r="K64" s="191">
        <f>IF('AW Schüler'!$L220=0,"x",F64/'AW Schüler'!$L220)</f>
        <v>0.16162692485160363</v>
      </c>
      <c r="L64" s="192">
        <f>IF('AW Schüler'!$O220=0,"x",G64/'AW Schüler'!$O220)</f>
        <v>0.17123501722715581</v>
      </c>
    </row>
    <row r="65" spans="1:12" ht="18.75" customHeight="1">
      <c r="A65" s="396" t="s">
        <v>312</v>
      </c>
      <c r="B65" s="396"/>
      <c r="C65" s="396"/>
      <c r="D65" s="396"/>
      <c r="E65" s="396"/>
      <c r="F65" s="396"/>
      <c r="G65" s="396"/>
      <c r="H65" s="396"/>
      <c r="I65" s="396"/>
      <c r="J65" s="396"/>
      <c r="K65" s="396"/>
      <c r="L65" s="396"/>
    </row>
    <row r="66" spans="1:12" ht="10.15" customHeight="1">
      <c r="A66" s="408" t="s">
        <v>166</v>
      </c>
      <c r="B66" s="408"/>
      <c r="C66" s="408"/>
      <c r="D66" s="408"/>
      <c r="E66" s="408"/>
      <c r="F66" s="408"/>
      <c r="G66" s="408"/>
      <c r="H66" s="408"/>
      <c r="I66" s="408"/>
      <c r="J66" s="258"/>
      <c r="K66" s="278"/>
      <c r="L66" s="278"/>
    </row>
    <row r="67" spans="1:12" ht="12.6" customHeight="1">
      <c r="A67" s="387" t="s">
        <v>303</v>
      </c>
      <c r="B67" s="387"/>
      <c r="C67" s="387"/>
      <c r="D67" s="387"/>
      <c r="E67" s="387"/>
      <c r="F67" s="387"/>
      <c r="G67" s="387"/>
      <c r="H67" s="387"/>
      <c r="I67" s="387"/>
      <c r="J67" s="387"/>
      <c r="K67" s="394"/>
      <c r="L67" s="394"/>
    </row>
    <row r="68" spans="1:12" ht="10.15" customHeight="1">
      <c r="A68" s="220" t="s">
        <v>228</v>
      </c>
    </row>
    <row r="81" spans="1:1" ht="10.5" customHeight="1"/>
    <row r="82" spans="1:1" ht="10.15" customHeight="1">
      <c r="A82" s="214"/>
    </row>
  </sheetData>
  <mergeCells count="9">
    <mergeCell ref="A1:L1"/>
    <mergeCell ref="A67:L67"/>
    <mergeCell ref="A66:I66"/>
    <mergeCell ref="C9:G9"/>
    <mergeCell ref="H9:L9"/>
    <mergeCell ref="A11:L11"/>
    <mergeCell ref="A29:L29"/>
    <mergeCell ref="A47:L47"/>
    <mergeCell ref="A65:L65"/>
  </mergeCells>
  <phoneticPr fontId="18" type="noConversion"/>
  <conditionalFormatting sqref="M25">
    <cfRule type="cellIs" dxfId="13"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M86"/>
  <sheetViews>
    <sheetView view="pageBreakPreview" topLeftCell="A34" zoomScale="175" zoomScaleNormal="115"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'3.3.1'!A1:F1+1</f>
        <v>58</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2.6" customHeight="1">
      <c r="A5" s="13" t="s">
        <v>61</v>
      </c>
      <c r="B5" s="39" t="s">
        <v>7</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SUM(C30+C48)</f>
        <v>2125</v>
      </c>
      <c r="D12" s="42">
        <f>SUM(D30+D48)</f>
        <v>1968</v>
      </c>
      <c r="E12" s="42">
        <f>SUM(E30+E48)</f>
        <v>1888</v>
      </c>
      <c r="F12" s="42">
        <f>SUM(F30+F48)</f>
        <v>1847</v>
      </c>
      <c r="G12" s="44">
        <f>SUM(G30+G48)</f>
        <v>1957</v>
      </c>
      <c r="H12" s="153">
        <f>IF('AW Schüler'!$C6=0,"x",C12/'AW Schüler'!$C6)</f>
        <v>0.22489152291247752</v>
      </c>
      <c r="I12" s="153">
        <f>IF('AW Schüler'!$F6=0,"x",D12/'AW Schüler'!$F6)</f>
        <v>0.21012171684817424</v>
      </c>
      <c r="J12" s="153">
        <f>IF('AW Schüler'!$I6=0,"x",E12/'AW Schüler'!$I6)</f>
        <v>0.19926121372031663</v>
      </c>
      <c r="K12" s="153">
        <f>IF('AW Schüler'!$L6=0,"x",F12/'AW Schüler'!$L6)</f>
        <v>0.19019668417258778</v>
      </c>
      <c r="L12" s="154">
        <f>IF('AW Schüler'!$O6=0,"x",G12/'AW Schüler'!$O6)</f>
        <v>0.20319800643754543</v>
      </c>
    </row>
    <row r="13" spans="1:13" ht="9" customHeight="1">
      <c r="A13" s="21" t="s">
        <v>81</v>
      </c>
      <c r="B13" s="120"/>
      <c r="C13" s="42">
        <f t="shared" ref="C13:D28" si="0">SUM(C31+C49)</f>
        <v>4130</v>
      </c>
      <c r="D13" s="42">
        <f t="shared" si="0"/>
        <v>4401</v>
      </c>
      <c r="E13" s="42">
        <f t="shared" ref="E13:F13" si="1">SUM(E31+E49)</f>
        <v>4551</v>
      </c>
      <c r="F13" s="42">
        <f t="shared" si="1"/>
        <v>4785</v>
      </c>
      <c r="G13" s="44">
        <f t="shared" ref="G13" si="2">SUM(G31+G49)</f>
        <v>8847</v>
      </c>
      <c r="H13" s="153">
        <f>IF('AW Schüler'!$C7=0,"x",C13/'AW Schüler'!$C7)</f>
        <v>0.26884520244759796</v>
      </c>
      <c r="I13" s="153">
        <f>IF('AW Schüler'!$F7=0,"x",D13/'AW Schüler'!$F7)</f>
        <v>0.28408210689388069</v>
      </c>
      <c r="J13" s="153">
        <f>IF('AW Schüler'!$I7=0,"x",E13/'AW Schüler'!$I7)</f>
        <v>0.2924619240408714</v>
      </c>
      <c r="K13" s="153">
        <f>IF('AW Schüler'!$L7=0,"x",F13/'AW Schüler'!$L7)</f>
        <v>0.3022168887766058</v>
      </c>
      <c r="L13" s="154">
        <f>IF('AW Schüler'!$O7=0,"x",G13/'AW Schüler'!$O7)</f>
        <v>0.55076884766232959</v>
      </c>
    </row>
    <row r="14" spans="1:13" ht="9" customHeight="1">
      <c r="A14" s="21" t="s">
        <v>82</v>
      </c>
      <c r="B14" s="120"/>
      <c r="C14" s="42">
        <f t="shared" si="0"/>
        <v>4770</v>
      </c>
      <c r="D14" s="42">
        <f t="shared" si="0"/>
        <v>5046</v>
      </c>
      <c r="E14" s="42">
        <f t="shared" ref="E14:F14" si="3">SUM(E32+E50)</f>
        <v>4948</v>
      </c>
      <c r="F14" s="42">
        <f t="shared" si="3"/>
        <v>6387</v>
      </c>
      <c r="G14" s="44">
        <f t="shared" ref="G14" si="4">SUM(G32+G50)</f>
        <v>6464</v>
      </c>
      <c r="H14" s="153">
        <f>IF('AW Schüler'!$C8=0,"x",C14/'AW Schüler'!$C8)</f>
        <v>0.63846874581715973</v>
      </c>
      <c r="I14" s="153">
        <f>IF('AW Schüler'!$F8=0,"x",D14/'AW Schüler'!$F8)</f>
        <v>0.63368077357779728</v>
      </c>
      <c r="J14" s="153">
        <f>IF('AW Schüler'!$I8=0,"x",E14/'AW Schüler'!$I8)</f>
        <v>0.58918790188140036</v>
      </c>
      <c r="K14" s="153">
        <f>IF('AW Schüler'!$L8=0,"x",F14/'AW Schüler'!$L8)</f>
        <v>0.75478610257622314</v>
      </c>
      <c r="L14" s="154">
        <f>IF('AW Schüler'!$O8=0,"x",G14/'AW Schüler'!$O8)</f>
        <v>0.75770718555855121</v>
      </c>
    </row>
    <row r="15" spans="1:13" ht="9" customHeight="1">
      <c r="A15" s="21" t="s">
        <v>83</v>
      </c>
      <c r="B15" s="120"/>
      <c r="C15" s="42">
        <f t="shared" si="0"/>
        <v>4992</v>
      </c>
      <c r="D15" s="42">
        <f t="shared" si="0"/>
        <v>4978</v>
      </c>
      <c r="E15" s="42">
        <f t="shared" ref="E15:F15" si="5">SUM(E33+E51)</f>
        <v>5039</v>
      </c>
      <c r="F15" s="42">
        <f t="shared" si="5"/>
        <v>5061</v>
      </c>
      <c r="G15" s="44">
        <f t="shared" ref="G15" si="6">SUM(G33+G51)</f>
        <v>5097</v>
      </c>
      <c r="H15" s="153">
        <f>IF('AW Schüler'!$C9=0,"x",C15/'AW Schüler'!$C9)</f>
        <v>0.83730291848373029</v>
      </c>
      <c r="I15" s="153">
        <f>IF('AW Schüler'!$F9=0,"x",D15/'AW Schüler'!$F9)</f>
        <v>0.81220427475934087</v>
      </c>
      <c r="J15" s="153">
        <f>IF('AW Schüler'!$I9=0,"x",E15/'AW Schüler'!$I9)</f>
        <v>0.80830927173564326</v>
      </c>
      <c r="K15" s="153">
        <f>IF('AW Schüler'!$L9=0,"x",F15/'AW Schüler'!$L9)</f>
        <v>0.79525455688246383</v>
      </c>
      <c r="L15" s="154">
        <f>IF('AW Schüler'!$O9=0,"x",G15/'AW Schüler'!$O9)</f>
        <v>0.78864304502552995</v>
      </c>
    </row>
    <row r="16" spans="1:13" ht="9" customHeight="1">
      <c r="A16" s="21" t="s">
        <v>84</v>
      </c>
      <c r="B16" s="120"/>
      <c r="C16" s="42">
        <f t="shared" si="0"/>
        <v>441</v>
      </c>
      <c r="D16" s="42">
        <f t="shared" si="0"/>
        <v>537</v>
      </c>
      <c r="E16" s="42">
        <f t="shared" ref="E16:F16" si="7">SUM(E34+E52)</f>
        <v>558</v>
      </c>
      <c r="F16" s="42">
        <f t="shared" si="7"/>
        <v>577</v>
      </c>
      <c r="G16" s="44">
        <f t="shared" ref="G16" si="8">SUM(G34+G52)</f>
        <v>581</v>
      </c>
      <c r="H16" s="153">
        <f>IF('AW Schüler'!$C10=0,"x",C16/'AW Schüler'!$C10)</f>
        <v>0.24775280898876403</v>
      </c>
      <c r="I16" s="153">
        <f>IF('AW Schüler'!$F10=0,"x",D16/'AW Schüler'!$F10)</f>
        <v>0.31700118063754429</v>
      </c>
      <c r="J16" s="153">
        <f>IF('AW Schüler'!$I10=0,"x",E16/'AW Schüler'!$I10)</f>
        <v>0.34086744043982897</v>
      </c>
      <c r="K16" s="153">
        <f>IF('AW Schüler'!$L10=0,"x",F16/'AW Schüler'!$L10)</f>
        <v>0.36704834605597964</v>
      </c>
      <c r="L16" s="154">
        <f>IF('AW Schüler'!$O10=0,"x",G16/'AW Schüler'!$O10)</f>
        <v>0.38425925925925924</v>
      </c>
    </row>
    <row r="17" spans="1:12" ht="9" customHeight="1">
      <c r="A17" s="21" t="s">
        <v>85</v>
      </c>
      <c r="B17" s="120"/>
      <c r="C17" s="42">
        <f t="shared" si="0"/>
        <v>1107</v>
      </c>
      <c r="D17" s="42">
        <f t="shared" si="0"/>
        <v>3420</v>
      </c>
      <c r="E17" s="42">
        <f t="shared" ref="E17:F17" si="9">SUM(E35+E53)</f>
        <v>3935</v>
      </c>
      <c r="F17" s="42">
        <f t="shared" si="9"/>
        <v>4321</v>
      </c>
      <c r="G17" s="44">
        <f t="shared" ref="G17" si="10">SUM(G35+G53)</f>
        <v>4443</v>
      </c>
      <c r="H17" s="153">
        <f>IF('AW Schüler'!$C11=0,"x",C17/'AW Schüler'!$C11)</f>
        <v>0.21994834094973176</v>
      </c>
      <c r="I17" s="153">
        <f>IF('AW Schüler'!$F11=0,"x",D17/'AW Schüler'!$F11)</f>
        <v>0.65731308860272919</v>
      </c>
      <c r="J17" s="153">
        <f>IF('AW Schüler'!$I11=0,"x",E17/'AW Schüler'!$I11)</f>
        <v>0.73127671436535957</v>
      </c>
      <c r="K17" s="153">
        <f>IF('AW Schüler'!$L11=0,"x",F17/'AW Schüler'!$L11)</f>
        <v>0.80630714685575666</v>
      </c>
      <c r="L17" s="154">
        <f>IF('AW Schüler'!$O11=0,"x",G17/'AW Schüler'!$O11)</f>
        <v>0.80973209404045932</v>
      </c>
    </row>
    <row r="18" spans="1:12" ht="9" customHeight="1">
      <c r="A18" s="21" t="s">
        <v>86</v>
      </c>
      <c r="B18" s="120"/>
      <c r="C18" s="184">
        <f t="shared" si="0"/>
        <v>0</v>
      </c>
      <c r="D18" s="184">
        <f t="shared" si="0"/>
        <v>0</v>
      </c>
      <c r="E18" s="184">
        <f t="shared" ref="E18:F18" si="11">SUM(E36+E54)</f>
        <v>0</v>
      </c>
      <c r="F18" s="184">
        <f t="shared" si="11"/>
        <v>0</v>
      </c>
      <c r="G18" s="185">
        <f t="shared" ref="G18" si="12">SUM(G36+G54)</f>
        <v>0</v>
      </c>
      <c r="H18" s="186">
        <f>IF('AW Schüler'!$C12=0,"x",C18/'AW Schüler'!$C12)</f>
        <v>0</v>
      </c>
      <c r="I18" s="186">
        <f>IF('AW Schüler'!$F12=0,"x",D18/'AW Schüler'!$F12)</f>
        <v>0</v>
      </c>
      <c r="J18" s="186">
        <f>IF('AW Schüler'!$I12=0,"x",E18/'AW Schüler'!$I12)</f>
        <v>0</v>
      </c>
      <c r="K18" s="186">
        <f>IF('AW Schüler'!$L12=0,"x",F18/'AW Schüler'!$L12)</f>
        <v>0</v>
      </c>
      <c r="L18" s="187">
        <f>IF('AW Schüler'!$O12=0,"x",G18/'AW Schüler'!$O12)</f>
        <v>0</v>
      </c>
    </row>
    <row r="19" spans="1:12" ht="9" customHeight="1">
      <c r="A19" s="21" t="s">
        <v>176</v>
      </c>
      <c r="B19" s="120"/>
      <c r="C19" s="42">
        <f t="shared" si="0"/>
        <v>818</v>
      </c>
      <c r="D19" s="42">
        <f t="shared" si="0"/>
        <v>717</v>
      </c>
      <c r="E19" s="42">
        <f t="shared" ref="E19:F19" si="13">SUM(E37+E55)</f>
        <v>717</v>
      </c>
      <c r="F19" s="42">
        <f t="shared" si="13"/>
        <v>1169</v>
      </c>
      <c r="G19" s="44">
        <f t="shared" ref="G19" si="14">SUM(G37+G55)</f>
        <v>0</v>
      </c>
      <c r="H19" s="153">
        <f>IF('AW Schüler'!$C13=0,"x",C19/'AW Schüler'!$C13)</f>
        <v>0.17077244258872651</v>
      </c>
      <c r="I19" s="153">
        <f>IF('AW Schüler'!$F13=0,"x",D19/'AW Schüler'!$F13)</f>
        <v>0.14214908802537668</v>
      </c>
      <c r="J19" s="153">
        <f>IF('AW Schüler'!$I13=0,"x",E19/'AW Schüler'!$I13)</f>
        <v>0.13868471953578337</v>
      </c>
      <c r="K19" s="153">
        <f>IF('AW Schüler'!$L13=0,"x",F19/'AW Schüler'!$L13)</f>
        <v>0.21612127934923275</v>
      </c>
      <c r="L19" s="154">
        <f>IF('AW Schüler'!$O13=0,"x",G19/'AW Schüler'!$O13)</f>
        <v>0</v>
      </c>
    </row>
    <row r="20" spans="1:12" ht="9" customHeight="1">
      <c r="A20" s="21" t="s">
        <v>88</v>
      </c>
      <c r="B20" s="120"/>
      <c r="C20" s="184">
        <f t="shared" si="0"/>
        <v>0</v>
      </c>
      <c r="D20" s="184">
        <f t="shared" si="0"/>
        <v>0</v>
      </c>
      <c r="E20" s="184">
        <f t="shared" ref="E20:F20" si="15">SUM(E38+E56)</f>
        <v>0</v>
      </c>
      <c r="F20" s="184">
        <f t="shared" si="15"/>
        <v>0</v>
      </c>
      <c r="G20" s="185">
        <f t="shared" ref="G20" si="16">SUM(G38+G56)</f>
        <v>0</v>
      </c>
      <c r="H20" s="186">
        <f>IF('AW Schüler'!$C14=0,"x",C20/'AW Schüler'!$C14)</f>
        <v>0</v>
      </c>
      <c r="I20" s="186">
        <f>IF('AW Schüler'!$F14=0,"x",D20/'AW Schüler'!$F14)</f>
        <v>0</v>
      </c>
      <c r="J20" s="186">
        <f>IF('AW Schüler'!$I14=0,"x",E20/'AW Schüler'!$I14)</f>
        <v>0</v>
      </c>
      <c r="K20" s="186">
        <f>IF('AW Schüler'!$L14=0,"x",F20/'AW Schüler'!$L14)</f>
        <v>0</v>
      </c>
      <c r="L20" s="187">
        <f>IF('AW Schüler'!$O14=0,"x",G20/'AW Schüler'!$O14)</f>
        <v>0</v>
      </c>
    </row>
    <row r="21" spans="1:12" ht="9" customHeight="1">
      <c r="A21" s="21" t="s">
        <v>89</v>
      </c>
      <c r="B21" s="120"/>
      <c r="C21" s="42">
        <f t="shared" si="0"/>
        <v>2570</v>
      </c>
      <c r="D21" s="42">
        <f t="shared" si="0"/>
        <v>2745</v>
      </c>
      <c r="E21" s="42">
        <f t="shared" ref="E21:F21" si="17">SUM(E39+E57)</f>
        <v>2761</v>
      </c>
      <c r="F21" s="42">
        <f t="shared" si="17"/>
        <v>3079</v>
      </c>
      <c r="G21" s="44">
        <f t="shared" ref="G21" si="18">SUM(G39+G57)</f>
        <v>3238</v>
      </c>
      <c r="H21" s="153">
        <f>IF('AW Schüler'!$C15=0,"x",C21/'AW Schüler'!$C15)</f>
        <v>0.35477636664826062</v>
      </c>
      <c r="I21" s="153">
        <f>IF('AW Schüler'!$F15=0,"x",D21/'AW Schüler'!$F15)</f>
        <v>0.36118421052631577</v>
      </c>
      <c r="J21" s="153">
        <f>IF('AW Schüler'!$I15=0,"x",E21/'AW Schüler'!$I15)</f>
        <v>0.34891949955768986</v>
      </c>
      <c r="K21" s="153">
        <f>IF('AW Schüler'!$L15=0,"x",F21/'AW Schüler'!$L15)</f>
        <v>0.37145614670044635</v>
      </c>
      <c r="L21" s="154">
        <f>IF('AW Schüler'!$O15=0,"x",G21/'AW Schüler'!$O15)</f>
        <v>0.37416223711578461</v>
      </c>
    </row>
    <row r="22" spans="1:12" ht="9" customHeight="1">
      <c r="A22" s="21" t="s">
        <v>90</v>
      </c>
      <c r="B22" s="120"/>
      <c r="C22" s="42">
        <f t="shared" si="0"/>
        <v>898</v>
      </c>
      <c r="D22" s="42">
        <f t="shared" si="0"/>
        <v>1266</v>
      </c>
      <c r="E22" s="42">
        <f t="shared" ref="E22:F22" si="19">SUM(E40+E58)</f>
        <v>1474</v>
      </c>
      <c r="F22" s="42">
        <f t="shared" si="19"/>
        <v>1857</v>
      </c>
      <c r="G22" s="44">
        <f t="shared" ref="G22" si="20">SUM(G40+G58)</f>
        <v>1569</v>
      </c>
      <c r="H22" s="153">
        <f>IF('AW Schüler'!$C16=0,"x",C22/'AW Schüler'!$C16)</f>
        <v>0.34222560975609756</v>
      </c>
      <c r="I22" s="153">
        <f>IF('AW Schüler'!$F16=0,"x",D22/'AW Schüler'!$F16)</f>
        <v>0.47576099210822997</v>
      </c>
      <c r="J22" s="153">
        <f>IF('AW Schüler'!$I16=0,"x",E22/'AW Schüler'!$I16)</f>
        <v>0.53834915997078159</v>
      </c>
      <c r="K22" s="153">
        <f>IF('AW Schüler'!$L16=0,"x",F22/'AW Schüler'!$L16)</f>
        <v>0.65734513274336281</v>
      </c>
      <c r="L22" s="154">
        <f>IF('AW Schüler'!$O16=0,"x",G22/'AW Schüler'!$O16)</f>
        <v>0.53622693096377305</v>
      </c>
    </row>
    <row r="23" spans="1:12" ht="9" customHeight="1">
      <c r="A23" s="21" t="s">
        <v>91</v>
      </c>
      <c r="B23" s="120"/>
      <c r="C23" s="42">
        <f t="shared" si="0"/>
        <v>317</v>
      </c>
      <c r="D23" s="42">
        <f t="shared" si="0"/>
        <v>383</v>
      </c>
      <c r="E23" s="42">
        <f t="shared" ref="E23:F23" si="21">SUM(E41+E59)</f>
        <v>411</v>
      </c>
      <c r="F23" s="42">
        <f t="shared" si="21"/>
        <v>415</v>
      </c>
      <c r="G23" s="44">
        <f t="shared" ref="G23" si="22">SUM(G41+G59)</f>
        <v>431</v>
      </c>
      <c r="H23" s="153">
        <f>IF('AW Schüler'!$C17=0,"x",C23/'AW Schüler'!$C17)</f>
        <v>0.73720930232558135</v>
      </c>
      <c r="I23" s="153">
        <f>IF('AW Schüler'!$F17=0,"x",D23/'AW Schüler'!$F17)</f>
        <v>0.52900552486187846</v>
      </c>
      <c r="J23" s="153">
        <f>IF('AW Schüler'!$I17=0,"x",E23/'AW Schüler'!$I17)</f>
        <v>0.80905511811023623</v>
      </c>
      <c r="K23" s="153">
        <f>IF('AW Schüler'!$L17=0,"x",F23/'AW Schüler'!$L17)</f>
        <v>0.5788005578800558</v>
      </c>
      <c r="L23" s="154">
        <f>IF('AW Schüler'!$O17=0,"x",G23/'AW Schüler'!$O17)</f>
        <v>0.59530386740331487</v>
      </c>
    </row>
    <row r="24" spans="1:12" ht="9" customHeight="1">
      <c r="A24" s="21" t="s">
        <v>92</v>
      </c>
      <c r="B24" s="120"/>
      <c r="C24" s="55">
        <f t="shared" si="0"/>
        <v>7996</v>
      </c>
      <c r="D24" s="55">
        <f t="shared" si="0"/>
        <v>8141</v>
      </c>
      <c r="E24" s="55">
        <f t="shared" ref="E24:F24" si="23">SUM(E42+E60)</f>
        <v>8477</v>
      </c>
      <c r="F24" s="55">
        <f t="shared" si="23"/>
        <v>8576</v>
      </c>
      <c r="G24" s="56">
        <f t="shared" ref="G24" si="24">SUM(G42+G60)</f>
        <v>8755</v>
      </c>
      <c r="H24" s="153">
        <f>IF('AW Schüler'!$C18=0,"x",C24/'AW Schüler'!$C18)</f>
        <v>0.91592210767468496</v>
      </c>
      <c r="I24" s="153">
        <f>IF('AW Schüler'!$F18=0,"x",D24/'AW Schüler'!$F18)</f>
        <v>0.89540255169379679</v>
      </c>
      <c r="J24" s="153">
        <f>IF('AW Schüler'!$I18=0,"x",E24/'AW Schüler'!$I18)</f>
        <v>0.9145538893084475</v>
      </c>
      <c r="K24" s="153">
        <f>IF('AW Schüler'!$L18=0,"x",F24/'AW Schüler'!$L18)</f>
        <v>0.90036745406824148</v>
      </c>
      <c r="L24" s="154">
        <f>IF('AW Schüler'!$O18=0,"x",G24/'AW Schüler'!$O18)</f>
        <v>0.88158292216292422</v>
      </c>
    </row>
    <row r="25" spans="1:12" ht="9" customHeight="1">
      <c r="A25" s="21" t="s">
        <v>93</v>
      </c>
      <c r="B25" s="120"/>
      <c r="C25" s="184">
        <f t="shared" si="0"/>
        <v>0</v>
      </c>
      <c r="D25" s="184">
        <f t="shared" si="0"/>
        <v>0</v>
      </c>
      <c r="E25" s="184">
        <f t="shared" ref="E25:F25" si="25">SUM(E43+E61)</f>
        <v>0</v>
      </c>
      <c r="F25" s="184">
        <f t="shared" si="25"/>
        <v>0</v>
      </c>
      <c r="G25" s="185">
        <f t="shared" ref="G25" si="26">SUM(G43+G61)</f>
        <v>0</v>
      </c>
      <c r="H25" s="186">
        <f>IF('AW Schüler'!$C19=0,"x",C25/'AW Schüler'!$C19)</f>
        <v>0</v>
      </c>
      <c r="I25" s="186">
        <f>IF('AW Schüler'!$F19=0,"x",D25/'AW Schüler'!$F19)</f>
        <v>0</v>
      </c>
      <c r="J25" s="186">
        <f>IF('AW Schüler'!$I19=0,"x",E25/'AW Schüler'!$I19)</f>
        <v>0</v>
      </c>
      <c r="K25" s="186">
        <f>IF('AW Schüler'!$L19=0,"x",F25/'AW Schüler'!$L19)</f>
        <v>0</v>
      </c>
      <c r="L25" s="187">
        <f>IF('AW Schüler'!$O19=0,"x",G25/'AW Schüler'!$O19)</f>
        <v>0</v>
      </c>
    </row>
    <row r="26" spans="1:12" ht="9" customHeight="1">
      <c r="A26" s="21" t="s">
        <v>94</v>
      </c>
      <c r="B26" s="120"/>
      <c r="C26" s="55">
        <f t="shared" si="0"/>
        <v>137</v>
      </c>
      <c r="D26" s="55">
        <f t="shared" si="0"/>
        <v>103</v>
      </c>
      <c r="E26" s="55">
        <f t="shared" ref="E26:F26" si="27">SUM(E44+E62)</f>
        <v>251</v>
      </c>
      <c r="F26" s="55">
        <f t="shared" si="27"/>
        <v>237</v>
      </c>
      <c r="G26" s="56">
        <f t="shared" ref="G26" si="28">SUM(G44+G62)</f>
        <v>335</v>
      </c>
      <c r="H26" s="153">
        <f>IF('AW Schüler'!$C20=0,"x",C26/'AW Schüler'!$C20)</f>
        <v>4.2599502487562189E-2</v>
      </c>
      <c r="I26" s="153">
        <f>IF('AW Schüler'!$F20=0,"x",D26/'AW Schüler'!$F20)</f>
        <v>3.0709600477042336E-2</v>
      </c>
      <c r="J26" s="153">
        <f>IF('AW Schüler'!$I20=0,"x",E26/'AW Schüler'!$I20)</f>
        <v>7.5420673076923073E-2</v>
      </c>
      <c r="K26" s="153">
        <f>IF('AW Schüler'!$L20=0,"x",F26/'AW Schüler'!$L20)</f>
        <v>7.0472792149866195E-2</v>
      </c>
      <c r="L26" s="154">
        <f>IF('AW Schüler'!$O20=0,"x",G26/'AW Schüler'!$O20)</f>
        <v>9.5878649112764738E-2</v>
      </c>
    </row>
    <row r="27" spans="1:12" ht="9" customHeight="1">
      <c r="A27" s="21" t="s">
        <v>95</v>
      </c>
      <c r="B27" s="120"/>
      <c r="C27" s="42">
        <f t="shared" si="0"/>
        <v>3187</v>
      </c>
      <c r="D27" s="42">
        <f t="shared" si="0"/>
        <v>3323</v>
      </c>
      <c r="E27" s="42">
        <f t="shared" ref="E27:F27" si="29">SUM(E45+E63)</f>
        <v>3311</v>
      </c>
      <c r="F27" s="42">
        <f t="shared" si="29"/>
        <v>3411</v>
      </c>
      <c r="G27" s="44">
        <f t="shared" ref="G27" si="30">SUM(G45+G63)</f>
        <v>3570</v>
      </c>
      <c r="H27" s="153">
        <f>IF('AW Schüler'!$C21=0,"x",C27/'AW Schüler'!$C21)</f>
        <v>0.98791072535647861</v>
      </c>
      <c r="I27" s="153">
        <f>IF('AW Schüler'!$F21=0,"x",D27/'AW Schüler'!$F21)</f>
        <v>1</v>
      </c>
      <c r="J27" s="153">
        <f>IF('AW Schüler'!$I21=0,"x",E27/'AW Schüler'!$I21)</f>
        <v>1</v>
      </c>
      <c r="K27" s="153">
        <f>IF('AW Schüler'!$L21=0,"x",F27/'AW Schüler'!$L21)</f>
        <v>0.99330227140361094</v>
      </c>
      <c r="L27" s="154">
        <f>IF('AW Schüler'!$O21=0,"x",G27/'AW Schüler'!$O21)</f>
        <v>1</v>
      </c>
    </row>
    <row r="28" spans="1:12" ht="9" customHeight="1">
      <c r="A28" s="21" t="s">
        <v>96</v>
      </c>
      <c r="B28" s="120"/>
      <c r="C28" s="42">
        <f t="shared" si="0"/>
        <v>33488</v>
      </c>
      <c r="D28" s="42">
        <f t="shared" si="0"/>
        <v>37028</v>
      </c>
      <c r="E28" s="42">
        <f t="shared" ref="E28:F28" si="31">SUM(E46+E64)</f>
        <v>38321</v>
      </c>
      <c r="F28" s="42">
        <f t="shared" si="31"/>
        <v>41722</v>
      </c>
      <c r="G28" s="44">
        <f t="shared" ref="G28" si="32">SUM(G46+G64)</f>
        <v>45287</v>
      </c>
      <c r="H28" s="153">
        <f>IF('AW Schüler'!$C22=0,"x",C28/'AW Schüler'!$C22)</f>
        <v>0.44462737496182803</v>
      </c>
      <c r="I28" s="153">
        <f>IF('AW Schüler'!$F22=0,"x",D28/'AW Schüler'!$F22)</f>
        <v>0.47688840234400154</v>
      </c>
      <c r="J28" s="153">
        <f>IF('AW Schüler'!$I22=0,"x",E28/'AW Schüler'!$I22)</f>
        <v>0.4855492061883101</v>
      </c>
      <c r="K28" s="153">
        <f>IF('AW Schüler'!$L22=0,"x",F28/'AW Schüler'!$L22)</f>
        <v>0.51595909130257345</v>
      </c>
      <c r="L28" s="154">
        <f>IF('AW Schüler'!$O22=0,"x",G28/'AW Schüler'!$O22)</f>
        <v>0.54830859384458919</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[1]GtS!$E$66</f>
        <v>1617</v>
      </c>
      <c r="D30" s="23">
        <f>[2]GtS!$E$70</f>
        <v>1552</v>
      </c>
      <c r="E30" s="23">
        <f>[3]GtS!$E$70</f>
        <v>1494</v>
      </c>
      <c r="F30" s="23">
        <f>[4]GtS!$E$70</f>
        <v>1459</v>
      </c>
      <c r="G30" s="34">
        <f>[5]GtS!$E$70</f>
        <v>1520</v>
      </c>
      <c r="H30" s="155">
        <f>IF('AW Schüler'!$C6=0,"x",C30/'AW Schüler'!$C6)</f>
        <v>0.17112922002328287</v>
      </c>
      <c r="I30" s="155">
        <f>IF('AW Schüler'!$F6=0,"x",D30/'AW Schüler'!$F6)</f>
        <v>0.1657057441810805</v>
      </c>
      <c r="J30" s="155">
        <f>IF('AW Schüler'!$I6=0,"x",E30/'AW Schüler'!$I6)</f>
        <v>0.15767810026385223</v>
      </c>
      <c r="K30" s="155">
        <f>IF('AW Schüler'!$L6=0,"x",F30/'AW Schüler'!$L6)</f>
        <v>0.1502419936154876</v>
      </c>
      <c r="L30" s="156">
        <f>IF('AW Schüler'!$O6=0,"x",G30/'AW Schüler'!$O6)</f>
        <v>0.15782369432042362</v>
      </c>
    </row>
    <row r="31" spans="1:12" ht="9" customHeight="1">
      <c r="A31" s="21" t="s">
        <v>81</v>
      </c>
      <c r="B31" s="120"/>
      <c r="C31" s="23">
        <f>[6]GtS!$E$66</f>
        <v>2605</v>
      </c>
      <c r="D31" s="23">
        <f>[7]GtS!$E$70</f>
        <v>2933</v>
      </c>
      <c r="E31" s="23">
        <f>[8]GtS!$E$70</f>
        <v>2911</v>
      </c>
      <c r="F31" s="23">
        <f>[9]GtS!$E$70</f>
        <v>3091</v>
      </c>
      <c r="G31" s="34">
        <f>[10]GtS!$E$70</f>
        <v>3257</v>
      </c>
      <c r="H31" s="155">
        <f>IF('AW Schüler'!$C7=0,"x",C31/'AW Schüler'!$C7)</f>
        <v>0.16957427418304907</v>
      </c>
      <c r="I31" s="155">
        <f>IF('AW Schüler'!$F7=0,"x",D31/'AW Schüler'!$F7)</f>
        <v>0.18932352181771236</v>
      </c>
      <c r="J31" s="155">
        <f>IF('AW Schüler'!$I7=0,"x",E31/'AW Schüler'!$I7)</f>
        <v>0.18707023970181866</v>
      </c>
      <c r="K31" s="155">
        <f>IF('AW Schüler'!$L7=0,"x",F31/'AW Schüler'!$L7)</f>
        <v>0.19522516263500284</v>
      </c>
      <c r="L31" s="156">
        <f>IF('AW Schüler'!$O7=0,"x",G31/'AW Schüler'!$O7)</f>
        <v>0.20276411629209987</v>
      </c>
    </row>
    <row r="32" spans="1:12" ht="9" customHeight="1">
      <c r="A32" s="21" t="s">
        <v>82</v>
      </c>
      <c r="B32" s="120"/>
      <c r="C32" s="23">
        <f>[11]GtS!$E$66</f>
        <v>918</v>
      </c>
      <c r="D32" s="23">
        <f>[12]GtS!$E$70</f>
        <v>834</v>
      </c>
      <c r="E32" s="23">
        <f>[13]GtS!$E$70</f>
        <v>1009</v>
      </c>
      <c r="F32" s="23">
        <f>[14]GtS!$E$70</f>
        <v>2045</v>
      </c>
      <c r="G32" s="34">
        <f>[15]GtS!$E$70</f>
        <v>2099</v>
      </c>
      <c r="H32" s="155">
        <f>IF('AW Schüler'!$C8=0,"x",C32/'AW Schüler'!$C8)</f>
        <v>0.12287511711952885</v>
      </c>
      <c r="I32" s="155">
        <f>IF('AW Schüler'!$F8=0,"x",D32/'AW Schüler'!$F8)</f>
        <v>0.10473439658420193</v>
      </c>
      <c r="J32" s="155">
        <f>IF('AW Schüler'!$I8=0,"x",E32/'AW Schüler'!$I8)</f>
        <v>0.12014765420338176</v>
      </c>
      <c r="K32" s="155">
        <f>IF('AW Schüler'!$L8=0,"x",F32/'AW Schüler'!$L8)</f>
        <v>0.24166863625620422</v>
      </c>
      <c r="L32" s="156">
        <f>IF('AW Schüler'!$O8=0,"x",G32/'AW Schüler'!$O8)</f>
        <v>0.24604384011253078</v>
      </c>
    </row>
    <row r="33" spans="1:12" ht="9" customHeight="1">
      <c r="A33" s="21" t="s">
        <v>83</v>
      </c>
      <c r="B33" s="120"/>
      <c r="C33" s="23">
        <f>[16]GtS!$E$66</f>
        <v>0</v>
      </c>
      <c r="D33" s="23">
        <f>[17]GtS!$E$70</f>
        <v>0</v>
      </c>
      <c r="E33" s="23">
        <f>[18]GtS!$E$70</f>
        <v>0</v>
      </c>
      <c r="F33" s="23">
        <f>[19]GtS!$E$70</f>
        <v>0</v>
      </c>
      <c r="G33" s="34">
        <f>[20]GtS!$E$70</f>
        <v>0</v>
      </c>
      <c r="H33" s="155">
        <f>IF('AW Schüler'!$C9=0,"x",C33/'AW Schüler'!$C9)</f>
        <v>0</v>
      </c>
      <c r="I33" s="155">
        <f>IF('AW Schüler'!$F9=0,"x",D33/'AW Schüler'!$F9)</f>
        <v>0</v>
      </c>
      <c r="J33" s="155">
        <f>IF('AW Schüler'!$I9=0,"x",E33/'AW Schüler'!$I9)</f>
        <v>0</v>
      </c>
      <c r="K33" s="155">
        <f>IF('AW Schüler'!$L9=0,"x",F33/'AW Schüler'!$L9)</f>
        <v>0</v>
      </c>
      <c r="L33" s="156">
        <f>IF('AW Schüler'!$O9=0,"x",G33/'AW Schüler'!$O9)</f>
        <v>0</v>
      </c>
    </row>
    <row r="34" spans="1:12" ht="9" customHeight="1">
      <c r="A34" s="21" t="s">
        <v>84</v>
      </c>
      <c r="B34" s="120"/>
      <c r="C34" s="23">
        <f>[21]GtS!$E$66</f>
        <v>233</v>
      </c>
      <c r="D34" s="23">
        <f>[22]GtS!$E$70</f>
        <v>234</v>
      </c>
      <c r="E34" s="23">
        <f>[23]GtS!$E$70</f>
        <v>224</v>
      </c>
      <c r="F34" s="23">
        <f>[24]GtS!$E$70</f>
        <v>201</v>
      </c>
      <c r="G34" s="34">
        <f>[25]GtS!$E$70</f>
        <v>200</v>
      </c>
      <c r="H34" s="155">
        <f>IF('AW Schüler'!$C10=0,"x",C34/'AW Schüler'!$C10)</f>
        <v>0.13089887640449438</v>
      </c>
      <c r="I34" s="155">
        <f>IF('AW Schüler'!$F10=0,"x",D34/'AW Schüler'!$F10)</f>
        <v>0.13813459268004721</v>
      </c>
      <c r="J34" s="155">
        <f>IF('AW Schüler'!$I10=0,"x",E34/'AW Schüler'!$I10)</f>
        <v>0.13683567501527183</v>
      </c>
      <c r="K34" s="155">
        <f>IF('AW Schüler'!$L10=0,"x",F34/'AW Schüler'!$L10)</f>
        <v>0.12786259541984732</v>
      </c>
      <c r="L34" s="156">
        <f>IF('AW Schüler'!$O10=0,"x",G34/'AW Schüler'!$O10)</f>
        <v>0.13227513227513227</v>
      </c>
    </row>
    <row r="35" spans="1:12" ht="9" customHeight="1">
      <c r="A35" s="21" t="s">
        <v>85</v>
      </c>
      <c r="B35" s="120"/>
      <c r="C35" s="23">
        <f>[26]GtS!$E$66</f>
        <v>796</v>
      </c>
      <c r="D35" s="23">
        <f>[27]GtS!$E$70</f>
        <v>787</v>
      </c>
      <c r="E35" s="23">
        <f>[28]GtS!$E$70</f>
        <v>901</v>
      </c>
      <c r="F35" s="23">
        <f>[29]GtS!$E$70</f>
        <v>905</v>
      </c>
      <c r="G35" s="34">
        <f>[30]GtS!$E$70</f>
        <v>877</v>
      </c>
      <c r="H35" s="155">
        <f>IF('AW Schüler'!$C11=0,"x",C35/'AW Schüler'!$C11)</f>
        <v>0.15815616928273396</v>
      </c>
      <c r="I35" s="155">
        <f>IF('AW Schüler'!$F11=0,"x",D35/'AW Schüler'!$F11)</f>
        <v>0.1512588891024409</v>
      </c>
      <c r="J35" s="155">
        <f>IF('AW Schüler'!$I11=0,"x",E35/'AW Schüler'!$I11)</f>
        <v>0.16744099609737967</v>
      </c>
      <c r="K35" s="155">
        <f>IF('AW Schüler'!$L11=0,"x",F35/'AW Schüler'!$L11)</f>
        <v>0.16887479007277478</v>
      </c>
      <c r="L35" s="156">
        <f>IF('AW Schüler'!$O11=0,"x",G35/'AW Schüler'!$O11)</f>
        <v>0.15983233096409696</v>
      </c>
    </row>
    <row r="36" spans="1:12" ht="9" customHeight="1">
      <c r="A36" s="21" t="s">
        <v>86</v>
      </c>
      <c r="B36" s="120"/>
      <c r="C36" s="124">
        <f>[66]GtS!$E$66</f>
        <v>0</v>
      </c>
      <c r="D36" s="124">
        <f>[67]GtS!$E$70</f>
        <v>0</v>
      </c>
      <c r="E36" s="124">
        <f>[68]GtS!$E$70</f>
        <v>0</v>
      </c>
      <c r="F36" s="124">
        <f>[69]GtS!$E$70</f>
        <v>0</v>
      </c>
      <c r="G36" s="188">
        <f>[70]GtS!$E$70</f>
        <v>0</v>
      </c>
      <c r="H36" s="189">
        <f>IF('AW Schüler'!$C12=0,"x",C36/'AW Schüler'!$C12)</f>
        <v>0</v>
      </c>
      <c r="I36" s="189">
        <f>IF('AW Schüler'!$F12=0,"x",D36/'AW Schüler'!$F12)</f>
        <v>0</v>
      </c>
      <c r="J36" s="189">
        <f>IF('AW Schüler'!$I12=0,"x",E36/'AW Schüler'!$I12)</f>
        <v>0</v>
      </c>
      <c r="K36" s="189">
        <f>IF('AW Schüler'!$L12=0,"x",F36/'AW Schüler'!$L12)</f>
        <v>0</v>
      </c>
      <c r="L36" s="190">
        <f>IF('AW Schüler'!$O12=0,"x",G36/'AW Schüler'!$O12)</f>
        <v>0</v>
      </c>
    </row>
    <row r="37" spans="1:12" ht="9" customHeight="1">
      <c r="A37" s="21" t="s">
        <v>176</v>
      </c>
      <c r="B37" s="120"/>
      <c r="C37" s="23">
        <f>[31]GtS!$E$66</f>
        <v>313</v>
      </c>
      <c r="D37" s="23">
        <f>[32]GtS!$E$70</f>
        <v>300</v>
      </c>
      <c r="E37" s="23">
        <f>[33]GtS!$E$70</f>
        <v>300</v>
      </c>
      <c r="F37" s="23">
        <f>[34]GtS!$E$70</f>
        <v>843</v>
      </c>
      <c r="G37" s="34">
        <f>[35]GtS!$E$70</f>
        <v>0</v>
      </c>
      <c r="H37" s="155">
        <f>IF('AW Schüler'!$C13=0,"x",C37/'AW Schüler'!$C13)</f>
        <v>6.5344467640918585E-2</v>
      </c>
      <c r="I37" s="155">
        <f>IF('AW Schüler'!$F13=0,"x",D37/'AW Schüler'!$F13)</f>
        <v>5.9476605868358443E-2</v>
      </c>
      <c r="J37" s="155">
        <f>IF('AW Schüler'!$I13=0,"x",E37/'AW Schüler'!$I13)</f>
        <v>5.8027079303675046E-2</v>
      </c>
      <c r="K37" s="155">
        <f>IF('AW Schüler'!$L13=0,"x",F37/'AW Schüler'!$L13)</f>
        <v>0.15585135884636717</v>
      </c>
      <c r="L37" s="156">
        <f>IF('AW Schüler'!$O13=0,"x",G37/'AW Schüler'!$O13)</f>
        <v>0</v>
      </c>
    </row>
    <row r="38" spans="1:12" ht="9" customHeight="1">
      <c r="A38" s="21" t="s">
        <v>88</v>
      </c>
      <c r="B38" s="120"/>
      <c r="C38" s="124">
        <f>[71]GtS!$E$66</f>
        <v>0</v>
      </c>
      <c r="D38" s="124">
        <f>[72]GtS!$E$70</f>
        <v>0</v>
      </c>
      <c r="E38" s="124">
        <f>[73]GtS!$E$70</f>
        <v>0</v>
      </c>
      <c r="F38" s="124">
        <f>[74]GtS!$E$70</f>
        <v>0</v>
      </c>
      <c r="G38" s="188">
        <f>[75]GtS!$E$70</f>
        <v>0</v>
      </c>
      <c r="H38" s="189">
        <f>IF('AW Schüler'!$C14=0,"x",C38/'AW Schüler'!$C14)</f>
        <v>0</v>
      </c>
      <c r="I38" s="189">
        <f>IF('AW Schüler'!$F14=0,"x",D38/'AW Schüler'!$F14)</f>
        <v>0</v>
      </c>
      <c r="J38" s="189">
        <f>IF('AW Schüler'!$I14=0,"x",E38/'AW Schüler'!$I14)</f>
        <v>0</v>
      </c>
      <c r="K38" s="189">
        <f>IF('AW Schüler'!$L14=0,"x",F38/'AW Schüler'!$L14)</f>
        <v>0</v>
      </c>
      <c r="L38" s="190">
        <f>IF('AW Schüler'!$O14=0,"x",G38/'AW Schüler'!$O14)</f>
        <v>0</v>
      </c>
    </row>
    <row r="39" spans="1:12" ht="9" customHeight="1">
      <c r="A39" s="21" t="s">
        <v>89</v>
      </c>
      <c r="B39" s="120"/>
      <c r="C39" s="23">
        <f>[36]GtS!$E$66</f>
        <v>842</v>
      </c>
      <c r="D39" s="23">
        <f>[37]GtS!$E$70</f>
        <v>858</v>
      </c>
      <c r="E39" s="23">
        <f>[38]GtS!$E$70</f>
        <v>793</v>
      </c>
      <c r="F39" s="23">
        <f>[39]GtS!$E$70</f>
        <v>738</v>
      </c>
      <c r="G39" s="34">
        <f>[40]GtS!$E$70</f>
        <v>803</v>
      </c>
      <c r="H39" s="155">
        <f>IF('AW Schüler'!$C15=0,"x",C39/'AW Schüler'!$C15)</f>
        <v>0.11623412479293208</v>
      </c>
      <c r="I39" s="155">
        <f>IF('AW Schüler'!$F15=0,"x",D39/'AW Schüler'!$F15)</f>
        <v>0.11289473684210527</v>
      </c>
      <c r="J39" s="155">
        <f>IF('AW Schüler'!$I15=0,"x",E39/'AW Schüler'!$I15)</f>
        <v>0.10021483634525465</v>
      </c>
      <c r="K39" s="155">
        <f>IF('AW Schüler'!$L15=0,"x",F39/'AW Schüler'!$L15)</f>
        <v>8.9033659066232354E-2</v>
      </c>
      <c r="L39" s="156">
        <f>IF('AW Schüler'!$O15=0,"x",G39/'AW Schüler'!$O15)</f>
        <v>9.2789461520684083E-2</v>
      </c>
    </row>
    <row r="40" spans="1:12" ht="9" customHeight="1">
      <c r="A40" s="21" t="s">
        <v>90</v>
      </c>
      <c r="B40" s="120"/>
      <c r="C40" s="23">
        <f>[41]GtS!$E$66</f>
        <v>677</v>
      </c>
      <c r="D40" s="23">
        <f>[42]GtS!$E$70</f>
        <v>721</v>
      </c>
      <c r="E40" s="23">
        <f>[43]GtS!$E$70</f>
        <v>765</v>
      </c>
      <c r="F40" s="23">
        <f>[44]GtS!$E$70</f>
        <v>803</v>
      </c>
      <c r="G40" s="34">
        <f>[45]GtS!$E$70</f>
        <v>702</v>
      </c>
      <c r="H40" s="155">
        <f>IF('AW Schüler'!$C16=0,"x",C40/'AW Schüler'!$C16)</f>
        <v>0.2580030487804878</v>
      </c>
      <c r="I40" s="155">
        <f>IF('AW Schüler'!$F16=0,"x",D40/'AW Schüler'!$F16)</f>
        <v>0.27095077038707255</v>
      </c>
      <c r="J40" s="155">
        <f>IF('AW Schüler'!$I16=0,"x",E40/'AW Schüler'!$I16)</f>
        <v>0.27940102264426586</v>
      </c>
      <c r="K40" s="155">
        <f>IF('AW Schüler'!$L16=0,"x",F40/'AW Schüler'!$L16)</f>
        <v>0.28424778761061947</v>
      </c>
      <c r="L40" s="156">
        <f>IF('AW Schüler'!$O16=0,"x",G40/'AW Schüler'!$O16)</f>
        <v>0.23991797676008203</v>
      </c>
    </row>
    <row r="41" spans="1:12" ht="9" customHeight="1">
      <c r="A41" s="21" t="s">
        <v>91</v>
      </c>
      <c r="B41" s="120"/>
      <c r="C41" s="23">
        <f>[46]GtS!$E$66</f>
        <v>0</v>
      </c>
      <c r="D41" s="23">
        <f>[47]GtS!$E$70</f>
        <v>0</v>
      </c>
      <c r="E41" s="23">
        <f>[48]GtS!$E$70</f>
        <v>0</v>
      </c>
      <c r="F41" s="23">
        <f>[49]GtS!$E$70</f>
        <v>0</v>
      </c>
      <c r="G41" s="34">
        <f>[50]GtS!$E$70</f>
        <v>0</v>
      </c>
      <c r="H41" s="155">
        <f>IF('AW Schüler'!$C17=0,"x",C41/'AW Schüler'!$C17)</f>
        <v>0</v>
      </c>
      <c r="I41" s="155">
        <f>IF('AW Schüler'!$F17=0,"x",D41/'AW Schüler'!$F17)</f>
        <v>0</v>
      </c>
      <c r="J41" s="155">
        <f>IF('AW Schüler'!$I17=0,"x",E41/'AW Schüler'!$I17)</f>
        <v>0</v>
      </c>
      <c r="K41" s="155">
        <f>IF('AW Schüler'!$L17=0,"x",F41/'AW Schüler'!$L17)</f>
        <v>0</v>
      </c>
      <c r="L41" s="156">
        <f>IF('AW Schüler'!$O17=0,"x",G41/'AW Schüler'!$O17)</f>
        <v>0</v>
      </c>
    </row>
    <row r="42" spans="1:12" ht="9" customHeight="1">
      <c r="A42" s="21" t="s">
        <v>92</v>
      </c>
      <c r="B42" s="120"/>
      <c r="C42" s="36">
        <f>[51]GtS!$E$66</f>
        <v>6313</v>
      </c>
      <c r="D42" s="36">
        <f>[52]GtS!$E$70</f>
        <v>5618</v>
      </c>
      <c r="E42" s="36">
        <f>[53]GtS!$E$70</f>
        <v>6348</v>
      </c>
      <c r="F42" s="36">
        <f>[54]GtS!$E$70</f>
        <v>6382</v>
      </c>
      <c r="G42" s="37">
        <f>[55]GtS!$E$70</f>
        <v>6567</v>
      </c>
      <c r="H42" s="155">
        <f>IF('AW Schüler'!$C18=0,"x",C42/'AW Schüler'!$C18)</f>
        <v>0.7231386025200458</v>
      </c>
      <c r="I42" s="155">
        <f>IF('AW Schüler'!$F18=0,"x",D42/'AW Schüler'!$F18)</f>
        <v>0.61790585129784426</v>
      </c>
      <c r="J42" s="155">
        <f>IF('AW Schüler'!$I18=0,"x",E42/'AW Schüler'!$I18)</f>
        <v>0.68486352357320102</v>
      </c>
      <c r="K42" s="155">
        <f>IF('AW Schüler'!$L18=0,"x",F42/'AW Schüler'!$L18)</f>
        <v>0.67002624671916011</v>
      </c>
      <c r="L42" s="156">
        <f>IF('AW Schüler'!$O18=0,"x",G42/'AW Schüler'!$O18)</f>
        <v>0.6612627127177525</v>
      </c>
    </row>
    <row r="43" spans="1:12" ht="9" customHeight="1">
      <c r="A43" s="21" t="s">
        <v>93</v>
      </c>
      <c r="B43" s="120"/>
      <c r="C43" s="124">
        <f>[76]GtS!$E$66</f>
        <v>0</v>
      </c>
      <c r="D43" s="124">
        <f>[77]GtS!$E$70</f>
        <v>0</v>
      </c>
      <c r="E43" s="124">
        <f>[78]GtS!$E$70</f>
        <v>0</v>
      </c>
      <c r="F43" s="124">
        <f>[79]GtS!$E$70</f>
        <v>0</v>
      </c>
      <c r="G43" s="188">
        <f>[80]GtS!$E$70</f>
        <v>0</v>
      </c>
      <c r="H43" s="189">
        <f>IF('AW Schüler'!$C19=0,"x",C43/'AW Schüler'!$C19)</f>
        <v>0</v>
      </c>
      <c r="I43" s="189">
        <f>IF('AW Schüler'!$F19=0,"x",D43/'AW Schüler'!$F19)</f>
        <v>0</v>
      </c>
      <c r="J43" s="189">
        <f>IF('AW Schüler'!$I19=0,"x",E43/'AW Schüler'!$I19)</f>
        <v>0</v>
      </c>
      <c r="K43" s="189">
        <f>IF('AW Schüler'!$L19=0,"x",F43/'AW Schüler'!$L19)</f>
        <v>0</v>
      </c>
      <c r="L43" s="190">
        <f>IF('AW Schüler'!$O19=0,"x",G43/'AW Schüler'!$O19)</f>
        <v>0</v>
      </c>
    </row>
    <row r="44" spans="1:12" ht="9" customHeight="1">
      <c r="A44" s="21" t="s">
        <v>94</v>
      </c>
      <c r="B44" s="120"/>
      <c r="C44" s="23">
        <f>[56]GtS!$E$66</f>
        <v>0</v>
      </c>
      <c r="D44" s="23">
        <f>[57]GtS!$E$70</f>
        <v>0</v>
      </c>
      <c r="E44" s="23">
        <f>[58]GtS!$E$70</f>
        <v>0</v>
      </c>
      <c r="F44" s="23">
        <f>[59]GtS!$E$70</f>
        <v>0</v>
      </c>
      <c r="G44" s="34">
        <f>[60]GtS!$E$70</f>
        <v>0</v>
      </c>
      <c r="H44" s="155">
        <f>IF('AW Schüler'!$C20=0,"x",C44/'AW Schüler'!$C20)</f>
        <v>0</v>
      </c>
      <c r="I44" s="155">
        <f>IF('AW Schüler'!$F20=0,"x",D44/'AW Schüler'!$F20)</f>
        <v>0</v>
      </c>
      <c r="J44" s="155">
        <f>IF('AW Schüler'!$I20=0,"x",E44/'AW Schüler'!$I20)</f>
        <v>0</v>
      </c>
      <c r="K44" s="155">
        <f>IF('AW Schüler'!$L20=0,"x",F44/'AW Schüler'!$L20)</f>
        <v>0</v>
      </c>
      <c r="L44" s="156">
        <f>IF('AW Schüler'!$O20=0,"x",G44/'AW Schüler'!$O20)</f>
        <v>0</v>
      </c>
    </row>
    <row r="45" spans="1:12" ht="9" customHeight="1">
      <c r="A45" s="21" t="s">
        <v>95</v>
      </c>
      <c r="B45" s="120"/>
      <c r="C45" s="23">
        <f>[61]GtS!$E$66</f>
        <v>2774</v>
      </c>
      <c r="D45" s="23">
        <f>[62]GtS!$E$70</f>
        <v>2969</v>
      </c>
      <c r="E45" s="23">
        <f>[63]GtS!$E$70</f>
        <v>2830</v>
      </c>
      <c r="F45" s="23">
        <f>[64]GtS!$E$70</f>
        <v>3031</v>
      </c>
      <c r="G45" s="34">
        <f>[65]GtS!$E$70</f>
        <v>3179</v>
      </c>
      <c r="H45" s="155">
        <f>IF('AW Schüler'!$C21=0,"x",C45/'AW Schüler'!$C21)</f>
        <v>0.8598884066955983</v>
      </c>
      <c r="I45" s="155">
        <f>IF('AW Schüler'!$F21=0,"x",D45/'AW Schüler'!$F21)</f>
        <v>0.89346975624435754</v>
      </c>
      <c r="J45" s="155">
        <f>IF('AW Schüler'!$I21=0,"x",E45/'AW Schüler'!$I21)</f>
        <v>0.85472666868015701</v>
      </c>
      <c r="K45" s="155">
        <f>IF('AW Schüler'!$L21=0,"x",F45/'AW Schüler'!$L21)</f>
        <v>0.88264414676761793</v>
      </c>
      <c r="L45" s="156">
        <f>IF('AW Schüler'!$O21=0,"x",G45/'AW Schüler'!$O21)</f>
        <v>0.89047619047619042</v>
      </c>
    </row>
    <row r="46" spans="1:12" ht="9" customHeight="1">
      <c r="A46" s="21" t="s">
        <v>96</v>
      </c>
      <c r="B46" s="120"/>
      <c r="C46" s="23">
        <f>SUM(C30:C45)</f>
        <v>17088</v>
      </c>
      <c r="D46" s="23">
        <f>SUM(D30:D45)</f>
        <v>16806</v>
      </c>
      <c r="E46" s="23">
        <f>SUM(E30:E45)</f>
        <v>17575</v>
      </c>
      <c r="F46" s="23">
        <f>SUM(F30:F45)</f>
        <v>19498</v>
      </c>
      <c r="G46" s="34">
        <f>SUM(G30:G45)</f>
        <v>19204</v>
      </c>
      <c r="H46" s="155">
        <f>IF('AW Schüler'!$C22=0,"x",C46/'AW Schüler'!$C22)</f>
        <v>0.22688104943107135</v>
      </c>
      <c r="I46" s="155">
        <f>IF('AW Schüler'!$F22=0,"x",D46/'AW Schüler'!$F22)</f>
        <v>0.21644664820658124</v>
      </c>
      <c r="J46" s="155">
        <f>IF('AW Schüler'!$I22=0,"x",E46/'AW Schüler'!$I22)</f>
        <v>0.22268540222748756</v>
      </c>
      <c r="K46" s="155">
        <f>IF('AW Schüler'!$L22=0,"x",F46/'AW Schüler'!$L22)</f>
        <v>0.24112387618564732</v>
      </c>
      <c r="L46" s="156">
        <f>IF('AW Schüler'!$O22=0,"x",G46/'AW Schüler'!$O22)</f>
        <v>0.23251083613821827</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[1]GtS!$H$66</f>
        <v>508</v>
      </c>
      <c r="D48" s="23">
        <f>[2]GtS!$H$70</f>
        <v>416</v>
      </c>
      <c r="E48" s="23">
        <f>[3]GtS!$H$70</f>
        <v>394</v>
      </c>
      <c r="F48" s="23">
        <f>[4]GtS!$H$70</f>
        <v>388</v>
      </c>
      <c r="G48" s="34">
        <f>[5]GtS!$H$70</f>
        <v>437</v>
      </c>
      <c r="H48" s="155">
        <f>IF('AW Schüler'!$C6=0,"x",C48/'AW Schüler'!$C6)</f>
        <v>5.3762302889194626E-2</v>
      </c>
      <c r="I48" s="155">
        <f>IF('AW Schüler'!$F6=0,"x",D48/'AW Schüler'!$F6)</f>
        <v>4.4415972667093746E-2</v>
      </c>
      <c r="J48" s="155">
        <f>IF('AW Schüler'!$I6=0,"x",E48/'AW Schüler'!$I6)</f>
        <v>4.1583113456464378E-2</v>
      </c>
      <c r="K48" s="155">
        <f>IF('AW Schüler'!$L6=0,"x",F48/'AW Schüler'!$L6)</f>
        <v>3.9954690557100193E-2</v>
      </c>
      <c r="L48" s="156">
        <f>IF('AW Schüler'!$O6=0,"x",G48/'AW Schüler'!$O6)</f>
        <v>4.5374312117121791E-2</v>
      </c>
    </row>
    <row r="49" spans="1:12" ht="9" customHeight="1">
      <c r="A49" s="21" t="s">
        <v>81</v>
      </c>
      <c r="B49" s="120"/>
      <c r="C49" s="23">
        <f>[6]GtS!$H$66</f>
        <v>1525</v>
      </c>
      <c r="D49" s="23">
        <f>[7]GtS!$H$70</f>
        <v>1468</v>
      </c>
      <c r="E49" s="23">
        <f>[8]GtS!$H$70</f>
        <v>1640</v>
      </c>
      <c r="F49" s="23">
        <f>[9]GtS!$H$70</f>
        <v>1694</v>
      </c>
      <c r="G49" s="34">
        <f>[10]GtS!$H$70</f>
        <v>5590</v>
      </c>
      <c r="H49" s="155">
        <f>IF('AW Schüler'!$C7=0,"x",C49/'AW Schüler'!$C7)</f>
        <v>9.9270928264548891E-2</v>
      </c>
      <c r="I49" s="155">
        <f>IF('AW Schüler'!$F7=0,"x",D49/'AW Schüler'!$F7)</f>
        <v>9.4758585076168342E-2</v>
      </c>
      <c r="J49" s="155">
        <f>IF('AW Schüler'!$I7=0,"x",E49/'AW Schüler'!$I7)</f>
        <v>0.10539168433905276</v>
      </c>
      <c r="K49" s="155">
        <f>IF('AW Schüler'!$L7=0,"x",F49/'AW Schüler'!$L7)</f>
        <v>0.10699172614160297</v>
      </c>
      <c r="L49" s="156">
        <f>IF('AW Schüler'!$O7=0,"x",G49/'AW Schüler'!$O7)</f>
        <v>0.34800473137022975</v>
      </c>
    </row>
    <row r="50" spans="1:12" ht="9" customHeight="1">
      <c r="A50" s="21" t="s">
        <v>82</v>
      </c>
      <c r="B50" s="120"/>
      <c r="C50" s="23">
        <f>[11]GtS!$H$66</f>
        <v>3852</v>
      </c>
      <c r="D50" s="23">
        <f>[12]GtS!$H$70</f>
        <v>4212</v>
      </c>
      <c r="E50" s="23">
        <f>[13]GtS!$H$70</f>
        <v>3939</v>
      </c>
      <c r="F50" s="23">
        <f>[14]GtS!$H$70</f>
        <v>4342</v>
      </c>
      <c r="G50" s="34">
        <f>[15]GtS!$H$70</f>
        <v>4365</v>
      </c>
      <c r="H50" s="155">
        <f>IF('AW Schüler'!$C8=0,"x",C50/'AW Schüler'!$C8)</f>
        <v>0.51559362869763081</v>
      </c>
      <c r="I50" s="155">
        <f>IF('AW Schüler'!$F8=0,"x",D50/'AW Schüler'!$F8)</f>
        <v>0.52894637699359537</v>
      </c>
      <c r="J50" s="155">
        <f>IF('AW Schüler'!$I8=0,"x",E50/'AW Schüler'!$I8)</f>
        <v>0.46904024767801855</v>
      </c>
      <c r="K50" s="155">
        <f>IF('AW Schüler'!$L8=0,"x",F50/'AW Schüler'!$L8)</f>
        <v>0.51311746632001887</v>
      </c>
      <c r="L50" s="156">
        <f>IF('AW Schüler'!$O8=0,"x",G50/'AW Schüler'!$O8)</f>
        <v>0.51166334544602043</v>
      </c>
    </row>
    <row r="51" spans="1:12" ht="9" customHeight="1">
      <c r="A51" s="21" t="s">
        <v>83</v>
      </c>
      <c r="B51" s="120"/>
      <c r="C51" s="23">
        <f>[16]GtS!$H$66</f>
        <v>4992</v>
      </c>
      <c r="D51" s="23">
        <f>[17]GtS!$H$70</f>
        <v>4978</v>
      </c>
      <c r="E51" s="23">
        <f>[18]GtS!$H$70</f>
        <v>5039</v>
      </c>
      <c r="F51" s="23">
        <f>[19]GtS!$H$70</f>
        <v>5061</v>
      </c>
      <c r="G51" s="34">
        <f>[20]GtS!$H$70</f>
        <v>5097</v>
      </c>
      <c r="H51" s="155">
        <f>IF('AW Schüler'!$C9=0,"x",C51/'AW Schüler'!$C9)</f>
        <v>0.83730291848373029</v>
      </c>
      <c r="I51" s="155">
        <f>IF('AW Schüler'!$F9=0,"x",D51/'AW Schüler'!$F9)</f>
        <v>0.81220427475934087</v>
      </c>
      <c r="J51" s="155">
        <f>IF('AW Schüler'!$I9=0,"x",E51/'AW Schüler'!$I9)</f>
        <v>0.80830927173564326</v>
      </c>
      <c r="K51" s="155">
        <f>IF('AW Schüler'!$L9=0,"x",F51/'AW Schüler'!$L9)</f>
        <v>0.79525455688246383</v>
      </c>
      <c r="L51" s="156">
        <f>IF('AW Schüler'!$O9=0,"x",G51/'AW Schüler'!$O9)</f>
        <v>0.78864304502552995</v>
      </c>
    </row>
    <row r="52" spans="1:12" ht="9" customHeight="1">
      <c r="A52" s="21" t="s">
        <v>84</v>
      </c>
      <c r="B52" s="120"/>
      <c r="C52" s="23">
        <f>[21]GtS!$H$66</f>
        <v>208</v>
      </c>
      <c r="D52" s="23">
        <f>[22]GtS!$H$70</f>
        <v>303</v>
      </c>
      <c r="E52" s="23">
        <f>[23]GtS!$H$70</f>
        <v>334</v>
      </c>
      <c r="F52" s="23">
        <f>[24]GtS!$H$70</f>
        <v>376</v>
      </c>
      <c r="G52" s="34">
        <f>[25]GtS!$H$70</f>
        <v>381</v>
      </c>
      <c r="H52" s="155">
        <f>IF('AW Schüler'!$C10=0,"x",C52/'AW Schüler'!$C10)</f>
        <v>0.11685393258426967</v>
      </c>
      <c r="I52" s="155">
        <f>IF('AW Schüler'!$F10=0,"x",D52/'AW Schüler'!$F10)</f>
        <v>0.17886658795749705</v>
      </c>
      <c r="J52" s="155">
        <f>IF('AW Schüler'!$I10=0,"x",E52/'AW Schüler'!$I10)</f>
        <v>0.20403176542455712</v>
      </c>
      <c r="K52" s="155">
        <f>IF('AW Schüler'!$L10=0,"x",F52/'AW Schüler'!$L10)</f>
        <v>0.23918575063613232</v>
      </c>
      <c r="L52" s="156">
        <f>IF('AW Schüler'!$O10=0,"x",G52/'AW Schüler'!$O10)</f>
        <v>0.25198412698412698</v>
      </c>
    </row>
    <row r="53" spans="1:12" ht="9" customHeight="1">
      <c r="A53" s="21" t="s">
        <v>85</v>
      </c>
      <c r="B53" s="120"/>
      <c r="C53" s="23">
        <f>[26]GtS!$H$66</f>
        <v>311</v>
      </c>
      <c r="D53" s="23">
        <f>[27]GtS!$H$70</f>
        <v>2633</v>
      </c>
      <c r="E53" s="23">
        <f>[28]GtS!$H$70</f>
        <v>3034</v>
      </c>
      <c r="F53" s="23">
        <f>[29]GtS!$H$70</f>
        <v>3416</v>
      </c>
      <c r="G53" s="34">
        <f>[30]GtS!$H$70</f>
        <v>3566</v>
      </c>
      <c r="H53" s="155">
        <f>IF('AW Schüler'!$C11=0,"x",C53/'AW Schüler'!$C11)</f>
        <v>6.1792171666997811E-2</v>
      </c>
      <c r="I53" s="155">
        <f>IF('AW Schüler'!$F11=0,"x",D53/'AW Schüler'!$F11)</f>
        <v>0.50605419950028829</v>
      </c>
      <c r="J53" s="155">
        <f>IF('AW Schüler'!$I11=0,"x",E53/'AW Schüler'!$I11)</f>
        <v>0.56383571826797996</v>
      </c>
      <c r="K53" s="155">
        <f>IF('AW Schüler'!$L11=0,"x",F53/'AW Schüler'!$L11)</f>
        <v>0.63743235678298193</v>
      </c>
      <c r="L53" s="156">
        <f>IF('AW Schüler'!$O11=0,"x",G53/'AW Schüler'!$O11)</f>
        <v>0.64989976307636232</v>
      </c>
    </row>
    <row r="54" spans="1:12" ht="9" customHeight="1">
      <c r="A54" s="21" t="s">
        <v>86</v>
      </c>
      <c r="B54" s="120"/>
      <c r="C54" s="124">
        <f>[66]GtS!$H$66</f>
        <v>0</v>
      </c>
      <c r="D54" s="124">
        <f>[67]GtS!$H$70</f>
        <v>0</v>
      </c>
      <c r="E54" s="124">
        <f>[68]GtS!$H$70</f>
        <v>0</v>
      </c>
      <c r="F54" s="124">
        <f>[69]GtS!$H$70</f>
        <v>0</v>
      </c>
      <c r="G54" s="188">
        <f>[70]GtS!$H$70</f>
        <v>0</v>
      </c>
      <c r="H54" s="189">
        <f>IF('AW Schüler'!$C12=0,"x",C54/'AW Schüler'!$C12)</f>
        <v>0</v>
      </c>
      <c r="I54" s="189">
        <f>IF('AW Schüler'!$F12=0,"x",D54/'AW Schüler'!$F12)</f>
        <v>0</v>
      </c>
      <c r="J54" s="189">
        <f>IF('AW Schüler'!$I12=0,"x",E54/'AW Schüler'!$I12)</f>
        <v>0</v>
      </c>
      <c r="K54" s="189">
        <f>IF('AW Schüler'!$L12=0,"x",F54/'AW Schüler'!$L12)</f>
        <v>0</v>
      </c>
      <c r="L54" s="190">
        <f>IF('AW Schüler'!$O12=0,"x",G54/'AW Schüler'!$O12)</f>
        <v>0</v>
      </c>
    </row>
    <row r="55" spans="1:12" ht="9" customHeight="1">
      <c r="A55" s="21" t="s">
        <v>176</v>
      </c>
      <c r="B55" s="120"/>
      <c r="C55" s="23">
        <f>[31]GtS!$H$66</f>
        <v>505</v>
      </c>
      <c r="D55" s="23">
        <f>[32]GtS!$H$70</f>
        <v>417</v>
      </c>
      <c r="E55" s="23">
        <f>[33]GtS!$H$70</f>
        <v>417</v>
      </c>
      <c r="F55" s="23">
        <f>[34]GtS!$H$70</f>
        <v>326</v>
      </c>
      <c r="G55" s="34">
        <f>[35]GtS!$H$70</f>
        <v>0</v>
      </c>
      <c r="H55" s="155">
        <f>IF('AW Schüler'!$C13=0,"x",C55/'AW Schüler'!$C13)</f>
        <v>0.10542797494780794</v>
      </c>
      <c r="I55" s="155">
        <f>IF('AW Schüler'!$F13=0,"x",D55/'AW Schüler'!$F13)</f>
        <v>8.2672482157018237E-2</v>
      </c>
      <c r="J55" s="155">
        <f>IF('AW Schüler'!$I13=0,"x",E55/'AW Schüler'!$I13)</f>
        <v>8.0657640232108321E-2</v>
      </c>
      <c r="K55" s="155">
        <f>IF('AW Schüler'!$L13=0,"x",F55/'AW Schüler'!$L13)</f>
        <v>6.0269920502865594E-2</v>
      </c>
      <c r="L55" s="156">
        <f>IF('AW Schüler'!$O13=0,"x",G55/'AW Schüler'!$O13)</f>
        <v>0</v>
      </c>
    </row>
    <row r="56" spans="1:12" ht="9" customHeight="1">
      <c r="A56" s="21" t="s">
        <v>88</v>
      </c>
      <c r="B56" s="120"/>
      <c r="C56" s="124">
        <f>[71]GtS!$H$66</f>
        <v>0</v>
      </c>
      <c r="D56" s="124">
        <f>[72]GtS!$H$70</f>
        <v>0</v>
      </c>
      <c r="E56" s="124">
        <f>[73]GtS!$H$70</f>
        <v>0</v>
      </c>
      <c r="F56" s="124">
        <f>[74]GtS!$H$70</f>
        <v>0</v>
      </c>
      <c r="G56" s="188">
        <f>[75]GtS!$H$70</f>
        <v>0</v>
      </c>
      <c r="H56" s="189">
        <f>IF('AW Schüler'!$C14=0,"x",C56/'AW Schüler'!$C14)</f>
        <v>0</v>
      </c>
      <c r="I56" s="189">
        <f>IF('AW Schüler'!$F14=0,"x",D56/'AW Schüler'!$F14)</f>
        <v>0</v>
      </c>
      <c r="J56" s="189">
        <f>IF('AW Schüler'!$I14=0,"x",E56/'AW Schüler'!$I14)</f>
        <v>0</v>
      </c>
      <c r="K56" s="189">
        <f>IF('AW Schüler'!$L14=0,"x",F56/'AW Schüler'!$L14)</f>
        <v>0</v>
      </c>
      <c r="L56" s="190">
        <f>IF('AW Schüler'!$O14=0,"x",G56/'AW Schüler'!$O14)</f>
        <v>0</v>
      </c>
    </row>
    <row r="57" spans="1:12" ht="9" customHeight="1">
      <c r="A57" s="21" t="s">
        <v>89</v>
      </c>
      <c r="B57" s="120"/>
      <c r="C57" s="23">
        <f>[36]GtS!$H$66</f>
        <v>1728</v>
      </c>
      <c r="D57" s="23">
        <f>[37]GtS!$H$70</f>
        <v>1887</v>
      </c>
      <c r="E57" s="23">
        <f>[38]GtS!$H$70</f>
        <v>1968</v>
      </c>
      <c r="F57" s="23">
        <f>[39]GtS!$H$70</f>
        <v>2341</v>
      </c>
      <c r="G57" s="34">
        <f>[40]GtS!$H$70</f>
        <v>2435</v>
      </c>
      <c r="H57" s="155">
        <f>IF('AW Schüler'!$C15=0,"x",C57/'AW Schüler'!$C15)</f>
        <v>0.23854224185532855</v>
      </c>
      <c r="I57" s="155">
        <f>IF('AW Schüler'!$F15=0,"x",D57/'AW Schüler'!$F15)</f>
        <v>0.24828947368421053</v>
      </c>
      <c r="J57" s="155">
        <f>IF('AW Schüler'!$I15=0,"x",E57/'AW Schüler'!$I15)</f>
        <v>0.24870466321243523</v>
      </c>
      <c r="K57" s="155">
        <f>IF('AW Schüler'!$L15=0,"x",F57/'AW Schüler'!$L15)</f>
        <v>0.28242248763421401</v>
      </c>
      <c r="L57" s="156">
        <f>IF('AW Schüler'!$O15=0,"x",G57/'AW Schüler'!$O15)</f>
        <v>0.28137277559510054</v>
      </c>
    </row>
    <row r="58" spans="1:12" ht="9" customHeight="1">
      <c r="A58" s="21" t="s">
        <v>90</v>
      </c>
      <c r="B58" s="120"/>
      <c r="C58" s="23">
        <f>[41]GtS!$H$66</f>
        <v>221</v>
      </c>
      <c r="D58" s="23">
        <f>[42]GtS!$H$70</f>
        <v>545</v>
      </c>
      <c r="E58" s="23">
        <f>[43]GtS!$H$70</f>
        <v>709</v>
      </c>
      <c r="F58" s="23">
        <f>[44]GtS!$H$70</f>
        <v>1054</v>
      </c>
      <c r="G58" s="34">
        <f>[45]GtS!$H$70</f>
        <v>867</v>
      </c>
      <c r="H58" s="155">
        <f>IF('AW Schüler'!$C16=0,"x",C58/'AW Schüler'!$C16)</f>
        <v>8.4222560975609762E-2</v>
      </c>
      <c r="I58" s="155">
        <f>IF('AW Schüler'!$F16=0,"x",D58/'AW Schüler'!$F16)</f>
        <v>0.20481022172115745</v>
      </c>
      <c r="J58" s="155">
        <f>IF('AW Schüler'!$I16=0,"x",E58/'AW Schüler'!$I16)</f>
        <v>0.25894813732651573</v>
      </c>
      <c r="K58" s="155">
        <f>IF('AW Schüler'!$L16=0,"x",F58/'AW Schüler'!$L16)</f>
        <v>0.37309734513274334</v>
      </c>
      <c r="L58" s="156">
        <f>IF('AW Schüler'!$O16=0,"x",G58/'AW Schüler'!$O16)</f>
        <v>0.29630895420369102</v>
      </c>
    </row>
    <row r="59" spans="1:12" ht="9" customHeight="1">
      <c r="A59" s="21" t="s">
        <v>91</v>
      </c>
      <c r="B59" s="120"/>
      <c r="C59" s="23">
        <f>[46]GtS!$H$66</f>
        <v>317</v>
      </c>
      <c r="D59" s="23">
        <f>[47]GtS!$H$70</f>
        <v>383</v>
      </c>
      <c r="E59" s="23">
        <f>[48]GtS!$H$70</f>
        <v>411</v>
      </c>
      <c r="F59" s="23">
        <f>[49]GtS!$H$70</f>
        <v>415</v>
      </c>
      <c r="G59" s="34">
        <f>[50]GtS!$H$70</f>
        <v>431</v>
      </c>
      <c r="H59" s="155">
        <f>IF('AW Schüler'!$C17=0,"x",C59/'AW Schüler'!$C17)</f>
        <v>0.73720930232558135</v>
      </c>
      <c r="I59" s="155">
        <f>IF('AW Schüler'!$F17=0,"x",D59/'AW Schüler'!$F17)</f>
        <v>0.52900552486187846</v>
      </c>
      <c r="J59" s="155">
        <f>IF('AW Schüler'!$I17=0,"x",E59/'AW Schüler'!$I17)</f>
        <v>0.80905511811023623</v>
      </c>
      <c r="K59" s="155">
        <f>IF('AW Schüler'!$L17=0,"x",F59/'AW Schüler'!$L17)</f>
        <v>0.5788005578800558</v>
      </c>
      <c r="L59" s="156">
        <f>IF('AW Schüler'!$O17=0,"x",G59/'AW Schüler'!$O17)</f>
        <v>0.59530386740331487</v>
      </c>
    </row>
    <row r="60" spans="1:12" ht="9" customHeight="1">
      <c r="A60" s="21" t="s">
        <v>92</v>
      </c>
      <c r="B60" s="120"/>
      <c r="C60" s="36">
        <f>[51]GtS!$H$66</f>
        <v>1683</v>
      </c>
      <c r="D60" s="36">
        <f>[52]GtS!$H$70</f>
        <v>2523</v>
      </c>
      <c r="E60" s="36">
        <f>[53]GtS!$H$70</f>
        <v>2129</v>
      </c>
      <c r="F60" s="36">
        <f>[54]GtS!$H$70</f>
        <v>2194</v>
      </c>
      <c r="G60" s="37">
        <f>[55]GtS!$H$70</f>
        <v>2188</v>
      </c>
      <c r="H60" s="155">
        <f>IF('AW Schüler'!$C18=0,"x",C60/'AW Schüler'!$C18)</f>
        <v>0.19278350515463918</v>
      </c>
      <c r="I60" s="155">
        <f>IF('AW Schüler'!$F18=0,"x",D60/'AW Schüler'!$F18)</f>
        <v>0.27749670039595248</v>
      </c>
      <c r="J60" s="155">
        <f>IF('AW Schüler'!$I18=0,"x",E60/'AW Schüler'!$I18)</f>
        <v>0.22969036573524651</v>
      </c>
      <c r="K60" s="155">
        <f>IF('AW Schüler'!$L18=0,"x",F60/'AW Schüler'!$L18)</f>
        <v>0.23034120734908137</v>
      </c>
      <c r="L60" s="156">
        <f>IF('AW Schüler'!$O18=0,"x",G60/'AW Schüler'!$O18)</f>
        <v>0.22032020944517169</v>
      </c>
    </row>
    <row r="61" spans="1:12" ht="9" customHeight="1">
      <c r="A61" s="21" t="s">
        <v>93</v>
      </c>
      <c r="B61" s="120"/>
      <c r="C61" s="124">
        <f>[76]GtS!$H$66</f>
        <v>0</v>
      </c>
      <c r="D61" s="124">
        <f>[77]GtS!$H$70</f>
        <v>0</v>
      </c>
      <c r="E61" s="124">
        <f>[78]GtS!$H$70</f>
        <v>0</v>
      </c>
      <c r="F61" s="124">
        <f>[79]GtS!$H$70</f>
        <v>0</v>
      </c>
      <c r="G61" s="188">
        <f>[80]GtS!$H$70</f>
        <v>0</v>
      </c>
      <c r="H61" s="189">
        <f>IF('AW Schüler'!$C19=0,"x",C61/'AW Schüler'!$C19)</f>
        <v>0</v>
      </c>
      <c r="I61" s="189">
        <f>IF('AW Schüler'!$F19=0,"x",D61/'AW Schüler'!$F19)</f>
        <v>0</v>
      </c>
      <c r="J61" s="189">
        <f>IF('AW Schüler'!$I19=0,"x",E61/'AW Schüler'!$I19)</f>
        <v>0</v>
      </c>
      <c r="K61" s="189">
        <f>IF('AW Schüler'!$L19=0,"x",F61/'AW Schüler'!$L19)</f>
        <v>0</v>
      </c>
      <c r="L61" s="190">
        <f>IF('AW Schüler'!$O19=0,"x",G61/'AW Schüler'!$O19)</f>
        <v>0</v>
      </c>
    </row>
    <row r="62" spans="1:12" ht="9" customHeight="1">
      <c r="A62" s="21" t="s">
        <v>94</v>
      </c>
      <c r="B62" s="120"/>
      <c r="C62" s="36">
        <f>[56]GtS!$H$66</f>
        <v>137</v>
      </c>
      <c r="D62" s="36">
        <f>[57]GtS!$H$70</f>
        <v>103</v>
      </c>
      <c r="E62" s="36">
        <f>[58]GtS!$H$70</f>
        <v>251</v>
      </c>
      <c r="F62" s="36">
        <f>[59]GtS!$H$70</f>
        <v>237</v>
      </c>
      <c r="G62" s="37">
        <f>[60]GtS!$H$70</f>
        <v>335</v>
      </c>
      <c r="H62" s="155">
        <f>IF('AW Schüler'!$C20=0,"x",C62/'AW Schüler'!$C20)</f>
        <v>4.2599502487562189E-2</v>
      </c>
      <c r="I62" s="155">
        <f>IF('AW Schüler'!$F20=0,"x",D62/'AW Schüler'!$F20)</f>
        <v>3.0709600477042336E-2</v>
      </c>
      <c r="J62" s="155">
        <f>IF('AW Schüler'!$I20=0,"x",E62/'AW Schüler'!$I20)</f>
        <v>7.5420673076923073E-2</v>
      </c>
      <c r="K62" s="155">
        <f>IF('AW Schüler'!$L20=0,"x",F62/'AW Schüler'!$L20)</f>
        <v>7.0472792149866195E-2</v>
      </c>
      <c r="L62" s="156">
        <f>IF('AW Schüler'!$O20=0,"x",G62/'AW Schüler'!$O20)</f>
        <v>9.5878649112764738E-2</v>
      </c>
    </row>
    <row r="63" spans="1:12" ht="9" customHeight="1">
      <c r="A63" s="21" t="s">
        <v>95</v>
      </c>
      <c r="B63" s="120"/>
      <c r="C63" s="23">
        <f>[61]GtS!$H$66</f>
        <v>413</v>
      </c>
      <c r="D63" s="23">
        <f>[62]GtS!$H$70</f>
        <v>354</v>
      </c>
      <c r="E63" s="23">
        <f>[63]GtS!$H$70</f>
        <v>481</v>
      </c>
      <c r="F63" s="23">
        <f>[64]GtS!$H$70</f>
        <v>380</v>
      </c>
      <c r="G63" s="34">
        <f>[65]GtS!$H$70</f>
        <v>391</v>
      </c>
      <c r="H63" s="155">
        <f>IF('AW Schüler'!$C21=0,"x",C63/'AW Schüler'!$C21)</f>
        <v>0.12802231866088035</v>
      </c>
      <c r="I63" s="155">
        <f>IF('AW Schüler'!$F21=0,"x",D63/'AW Schüler'!$F21)</f>
        <v>0.10653024375564249</v>
      </c>
      <c r="J63" s="155">
        <f>IF('AW Schüler'!$I21=0,"x",E63/'AW Schüler'!$I21)</f>
        <v>0.14527333131984294</v>
      </c>
      <c r="K63" s="155">
        <f>IF('AW Schüler'!$L21=0,"x",F63/'AW Schüler'!$L21)</f>
        <v>0.110658124635993</v>
      </c>
      <c r="L63" s="156">
        <f>IF('AW Schüler'!$O21=0,"x",G63/'AW Schüler'!$O21)</f>
        <v>0.10952380952380952</v>
      </c>
    </row>
    <row r="64" spans="1:12" ht="8.65" customHeight="1">
      <c r="A64" s="24" t="s">
        <v>96</v>
      </c>
      <c r="B64" s="121"/>
      <c r="C64" s="26">
        <f>SUM(C48:C63)</f>
        <v>16400</v>
      </c>
      <c r="D64" s="26">
        <f>SUM(D48:D63)</f>
        <v>20222</v>
      </c>
      <c r="E64" s="26">
        <f>SUM(E48:E63)</f>
        <v>20746</v>
      </c>
      <c r="F64" s="26">
        <f>SUM(F48:F63)</f>
        <v>22224</v>
      </c>
      <c r="G64" s="47">
        <f>SUM(G48:G63)</f>
        <v>26083</v>
      </c>
      <c r="H64" s="157">
        <f>IF('AW Schüler'!$C22=0,"x",C64/'AW Schüler'!$C22)</f>
        <v>0.21774632553075668</v>
      </c>
      <c r="I64" s="157">
        <f>IF('AW Schüler'!$F22=0,"x",D64/'AW Schüler'!$F22)</f>
        <v>0.26044175413742032</v>
      </c>
      <c r="J64" s="157">
        <f>IF('AW Schüler'!$I22=0,"x",E64/'AW Schüler'!$I22)</f>
        <v>0.2628638039608226</v>
      </c>
      <c r="K64" s="157">
        <f>IF('AW Schüler'!$L22=0,"x",F64/'AW Schüler'!$L22)</f>
        <v>0.27483521511692616</v>
      </c>
      <c r="L64" s="158">
        <f>IF('AW Schüler'!$O22=0,"x",G64/'AW Schüler'!$O22)</f>
        <v>0.31579775770637092</v>
      </c>
    </row>
    <row r="65" spans="1:12" ht="18.75" customHeight="1">
      <c r="A65" s="396" t="s">
        <v>312</v>
      </c>
      <c r="B65" s="396"/>
      <c r="C65" s="396"/>
      <c r="D65" s="396"/>
      <c r="E65" s="396"/>
      <c r="F65" s="396"/>
      <c r="G65" s="396"/>
      <c r="H65" s="396"/>
      <c r="I65" s="396"/>
      <c r="J65" s="396"/>
      <c r="K65" s="396"/>
      <c r="L65" s="396"/>
    </row>
    <row r="66" spans="1:12" ht="10.5" customHeight="1">
      <c r="A66" s="408" t="s">
        <v>209</v>
      </c>
      <c r="B66" s="408"/>
      <c r="C66" s="408"/>
      <c r="D66" s="408"/>
      <c r="E66" s="408"/>
      <c r="F66" s="408"/>
      <c r="G66" s="408"/>
      <c r="H66" s="408"/>
      <c r="I66" s="408"/>
      <c r="J66" s="258"/>
      <c r="K66" s="278"/>
      <c r="L66" s="278"/>
    </row>
    <row r="67" spans="1:12" ht="10.15" customHeight="1">
      <c r="A67" s="220" t="s">
        <v>220</v>
      </c>
      <c r="B67" s="357"/>
      <c r="C67" s="357"/>
      <c r="D67" s="357"/>
      <c r="E67" s="357"/>
      <c r="F67" s="357"/>
      <c r="G67" s="357"/>
      <c r="H67" s="357"/>
      <c r="I67" s="357"/>
      <c r="J67" s="257"/>
      <c r="K67" s="325"/>
      <c r="L67" s="350"/>
    </row>
    <row r="68" spans="1:12" ht="10.15" customHeight="1">
      <c r="B68" s="271"/>
      <c r="C68" s="271"/>
      <c r="D68" s="271"/>
      <c r="E68" s="271"/>
      <c r="F68" s="325"/>
      <c r="G68" s="350"/>
      <c r="H68" s="271"/>
      <c r="I68" s="271"/>
      <c r="J68" s="271"/>
      <c r="K68" s="325"/>
      <c r="L68" s="350"/>
    </row>
    <row r="69" spans="1:12" ht="10.15" customHeight="1">
      <c r="A69" s="305"/>
    </row>
    <row r="70" spans="1:12" ht="10.15" customHeight="1"/>
    <row r="85" spans="1:1" ht="10.5" customHeight="1"/>
    <row r="86" spans="1:1" ht="10.15" customHeight="1">
      <c r="A86" s="214"/>
    </row>
  </sheetData>
  <mergeCells count="8">
    <mergeCell ref="A1:L1"/>
    <mergeCell ref="A66:I66"/>
    <mergeCell ref="C9:G9"/>
    <mergeCell ref="H9:L9"/>
    <mergeCell ref="A11:L11"/>
    <mergeCell ref="A29:L29"/>
    <mergeCell ref="A47:L47"/>
    <mergeCell ref="A65:L65"/>
  </mergeCells>
  <phoneticPr fontId="18" type="noConversion"/>
  <conditionalFormatting sqref="M25">
    <cfRule type="cellIs" dxfId="1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M84"/>
  <sheetViews>
    <sheetView view="pageBreakPreview" zoomScale="175" zoomScaleNormal="100"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'3.3.2'!A1:F1+1</f>
        <v>59</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2.6" customHeight="1">
      <c r="A5" s="13" t="s">
        <v>62</v>
      </c>
      <c r="B5" s="39" t="s">
        <v>9</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D28" si="0">SUM(C30+C48)</f>
        <v>0</v>
      </c>
      <c r="D12" s="149">
        <f t="shared" si="0"/>
        <v>0</v>
      </c>
      <c r="E12" s="149">
        <f t="shared" ref="E12:F12" si="1">SUM(E30+E48)</f>
        <v>0</v>
      </c>
      <c r="F12" s="149">
        <f t="shared" si="1"/>
        <v>0</v>
      </c>
      <c r="G12" s="150">
        <f t="shared" ref="G12" si="2">SUM(G30+G48)</f>
        <v>0</v>
      </c>
      <c r="H12" s="153" t="str">
        <f>IF('AW Schüler'!$C24=0,"x",C12/'AW Schüler'!$C24)</f>
        <v>x</v>
      </c>
      <c r="I12" s="153" t="str">
        <f>IF('AW Schüler'!$F24=0,"x",D12/'AW Schüler'!$F24)</f>
        <v>x</v>
      </c>
      <c r="J12" s="153" t="str">
        <f>IF('AW Schüler'!$I24=0,"x",E12/'AW Schüler'!$I24)</f>
        <v>x</v>
      </c>
      <c r="K12" s="153" t="str">
        <f>IF('AW Schüler'!$L24=0,"x",F12/'AW Schüler'!$L24)</f>
        <v>x</v>
      </c>
      <c r="L12" s="154" t="str">
        <f>IF('AW Schüler'!$O24=0,"x",G12/'AW Schüler'!$O24)</f>
        <v>x</v>
      </c>
    </row>
    <row r="13" spans="1:13" ht="9" customHeight="1">
      <c r="A13" s="21" t="s">
        <v>81</v>
      </c>
      <c r="B13" s="120"/>
      <c r="C13" s="149">
        <f t="shared" si="0"/>
        <v>0</v>
      </c>
      <c r="D13" s="149">
        <f t="shared" si="0"/>
        <v>0</v>
      </c>
      <c r="E13" s="149">
        <f t="shared" ref="E13:F13" si="3">SUM(E31+E49)</f>
        <v>0</v>
      </c>
      <c r="F13" s="149" t="e">
        <f t="shared" si="3"/>
        <v>#VALUE!</v>
      </c>
      <c r="G13" s="150">
        <f t="shared" ref="G13" si="4">SUM(G31+G49)</f>
        <v>0</v>
      </c>
      <c r="H13" s="153" t="str">
        <f>IF('AW Schüler'!$C25=0,"x",C13/'AW Schüler'!$C25)</f>
        <v>x</v>
      </c>
      <c r="I13" s="153" t="str">
        <f>IF('AW Schüler'!$F25=0,"x",D13/'AW Schüler'!$F25)</f>
        <v>x</v>
      </c>
      <c r="J13" s="153" t="str">
        <f>IF('AW Schüler'!$I25=0,"x",E13/'AW Schüler'!$I25)</f>
        <v>x</v>
      </c>
      <c r="K13" s="153" t="str">
        <f>IF('AW Schüler'!$L25=0,"x",F13/'AW Schüler'!$L25)</f>
        <v>x</v>
      </c>
      <c r="L13" s="154" t="str">
        <f>IF('AW Schüler'!$O25=0,"x",G13/'AW Schüler'!$O25)</f>
        <v>x</v>
      </c>
    </row>
    <row r="14" spans="1:13" ht="9" customHeight="1">
      <c r="A14" s="21" t="s">
        <v>82</v>
      </c>
      <c r="B14" s="120"/>
      <c r="C14" s="42">
        <f t="shared" si="0"/>
        <v>658</v>
      </c>
      <c r="D14" s="42">
        <f t="shared" si="0"/>
        <v>1534</v>
      </c>
      <c r="E14" s="42">
        <f t="shared" ref="E14:F14" si="5">SUM(E32+E50)</f>
        <v>1071</v>
      </c>
      <c r="F14" s="42">
        <f t="shared" si="5"/>
        <v>1877</v>
      </c>
      <c r="G14" s="44">
        <f t="shared" ref="G14" si="6">SUM(G32+G50)</f>
        <v>1807</v>
      </c>
      <c r="H14" s="153">
        <f>IF('AW Schüler'!$C26=0,"x",C14/'AW Schüler'!$C26)</f>
        <v>0.22426721199727334</v>
      </c>
      <c r="I14" s="153">
        <f>IF('AW Schüler'!$F26=0,"x",D14/'AW Schüler'!$F26)</f>
        <v>0.47243609485679089</v>
      </c>
      <c r="J14" s="153">
        <f>IF('AW Schüler'!$I26=0,"x",E14/'AW Schüler'!$I26)</f>
        <v>0.31097560975609756</v>
      </c>
      <c r="K14" s="153">
        <f>IF('AW Schüler'!$L26=0,"x",F14/'AW Schüler'!$L26)</f>
        <v>0.53399715504978662</v>
      </c>
      <c r="L14" s="154">
        <f>IF('AW Schüler'!$O26=0,"x",G14/'AW Schüler'!$O26)</f>
        <v>0.49076588810429117</v>
      </c>
    </row>
    <row r="15" spans="1:13" ht="9" customHeight="1">
      <c r="A15" s="21" t="s">
        <v>83</v>
      </c>
      <c r="B15" s="120"/>
      <c r="C15" s="42">
        <f t="shared" si="0"/>
        <v>2080</v>
      </c>
      <c r="D15" s="42">
        <f t="shared" si="0"/>
        <v>2076</v>
      </c>
      <c r="E15" s="42">
        <f t="shared" ref="E15:F15" si="7">SUM(E33+E51)</f>
        <v>2196</v>
      </c>
      <c r="F15" s="42">
        <f t="shared" si="7"/>
        <v>2327</v>
      </c>
      <c r="G15" s="44">
        <f t="shared" ref="G15" si="8">SUM(G33+G51)</f>
        <v>2313</v>
      </c>
      <c r="H15" s="153">
        <f>IF('AW Schüler'!$C27=0,"x",C15/'AW Schüler'!$C27)</f>
        <v>0.83972547436415013</v>
      </c>
      <c r="I15" s="153">
        <f>IF('AW Schüler'!$F27=0,"x",D15/'AW Schüler'!$F27)</f>
        <v>0.78398791540785495</v>
      </c>
      <c r="J15" s="153">
        <f>IF('AW Schüler'!$I27=0,"x",E15/'AW Schüler'!$I27)</f>
        <v>0.77927608232789214</v>
      </c>
      <c r="K15" s="153">
        <f>IF('AW Schüler'!$L27=0,"x",F15/'AW Schüler'!$L27)</f>
        <v>0.78961655921275875</v>
      </c>
      <c r="L15" s="154">
        <f>IF('AW Schüler'!$O27=0,"x",G15/'AW Schüler'!$O27)</f>
        <v>0.77983816587997301</v>
      </c>
    </row>
    <row r="16" spans="1:13" ht="9" customHeight="1">
      <c r="A16" s="21" t="s">
        <v>84</v>
      </c>
      <c r="B16" s="120"/>
      <c r="C16" s="149">
        <f t="shared" si="0"/>
        <v>0</v>
      </c>
      <c r="D16" s="149">
        <f t="shared" si="0"/>
        <v>0</v>
      </c>
      <c r="E16" s="149">
        <f t="shared" ref="E16:F16" si="9">SUM(E34+E52)</f>
        <v>0</v>
      </c>
      <c r="F16" s="149">
        <f t="shared" si="9"/>
        <v>0</v>
      </c>
      <c r="G16" s="150">
        <f t="shared" ref="G16" si="10">SUM(G34+G52)</f>
        <v>0</v>
      </c>
      <c r="H16" s="153" t="str">
        <f>IF('AW Schüler'!$C28=0,"x",C16/'AW Schüler'!$C28)</f>
        <v>x</v>
      </c>
      <c r="I16" s="153" t="str">
        <f>IF('AW Schüler'!$F28=0,"x",D16/'AW Schüler'!$F28)</f>
        <v>x</v>
      </c>
      <c r="J16" s="153" t="str">
        <f>IF('AW Schüler'!$I28=0,"x",E16/'AW Schüler'!$I28)</f>
        <v>x</v>
      </c>
      <c r="K16" s="153" t="str">
        <f>IF('AW Schüler'!$L28=0,"x",F16/'AW Schüler'!$L28)</f>
        <v>x</v>
      </c>
      <c r="L16" s="154" t="str">
        <f>IF('AW Schüler'!$O28=0,"x",G16/'AW Schüler'!$O28)</f>
        <v>x</v>
      </c>
    </row>
    <row r="17" spans="1:12" ht="9" customHeight="1">
      <c r="A17" s="21" t="s">
        <v>85</v>
      </c>
      <c r="B17" s="120"/>
      <c r="C17" s="149">
        <f t="shared" si="0"/>
        <v>0</v>
      </c>
      <c r="D17" s="149">
        <f t="shared" si="0"/>
        <v>0</v>
      </c>
      <c r="E17" s="149">
        <f t="shared" ref="E17:F17" si="11">SUM(E35+E53)</f>
        <v>0</v>
      </c>
      <c r="F17" s="149">
        <f t="shared" si="11"/>
        <v>64</v>
      </c>
      <c r="G17" s="150">
        <f t="shared" ref="G17" si="12">SUM(G35+G53)</f>
        <v>68</v>
      </c>
      <c r="H17" s="153" t="str">
        <f>IF('AW Schüler'!$C29=0,"x",C17/'AW Schüler'!$C29)</f>
        <v>x</v>
      </c>
      <c r="I17" s="153">
        <f>IF('AW Schüler'!$F29=0,"x",D17/'AW Schüler'!$F29)</f>
        <v>0</v>
      </c>
      <c r="J17" s="153">
        <f>IF('AW Schüler'!$I29=0,"x",E17/'AW Schüler'!$I29)</f>
        <v>0</v>
      </c>
      <c r="K17" s="153">
        <f>IF('AW Schüler'!$L29=0,"x",F17/'AW Schüler'!$L29)</f>
        <v>1</v>
      </c>
      <c r="L17" s="154">
        <f>IF('AW Schüler'!$O29=0,"x",G17/'AW Schüler'!$O29)</f>
        <v>1</v>
      </c>
    </row>
    <row r="18" spans="1:12" ht="9" customHeight="1">
      <c r="A18" s="21" t="s">
        <v>86</v>
      </c>
      <c r="B18" s="120"/>
      <c r="C18" s="184">
        <f t="shared" si="0"/>
        <v>0</v>
      </c>
      <c r="D18" s="184">
        <f t="shared" si="0"/>
        <v>0</v>
      </c>
      <c r="E18" s="184">
        <f t="shared" ref="E18:F18" si="13">SUM(E36+E54)</f>
        <v>0</v>
      </c>
      <c r="F18" s="184">
        <f t="shared" si="13"/>
        <v>0</v>
      </c>
      <c r="G18" s="185">
        <f t="shared" ref="G18" si="14">SUM(G36+G54)</f>
        <v>0</v>
      </c>
      <c r="H18" s="186">
        <f>IF('AW Schüler'!$C30=0,"x",C18/'AW Schüler'!$C30)</f>
        <v>0</v>
      </c>
      <c r="I18" s="186">
        <f>IF('AW Schüler'!$F30=0,"x",D18/'AW Schüler'!$F30)</f>
        <v>0</v>
      </c>
      <c r="J18" s="186">
        <f>IF('AW Schüler'!$I30=0,"x",E18/'AW Schüler'!$I30)</f>
        <v>0</v>
      </c>
      <c r="K18" s="186">
        <f>IF('AW Schüler'!$L30=0,"x",F18/'AW Schüler'!$L30)</f>
        <v>0</v>
      </c>
      <c r="L18" s="187">
        <f>IF('AW Schüler'!$O30=0,"x",G18/'AW Schüler'!$O30)</f>
        <v>0</v>
      </c>
    </row>
    <row r="19" spans="1:12" ht="9" customHeight="1">
      <c r="A19" s="21" t="s">
        <v>87</v>
      </c>
      <c r="B19" s="120"/>
      <c r="C19" s="149">
        <f t="shared" si="0"/>
        <v>0</v>
      </c>
      <c r="D19" s="149">
        <f t="shared" si="0"/>
        <v>0</v>
      </c>
      <c r="E19" s="149">
        <f t="shared" ref="E19:F19" si="15">SUM(E37+E55)</f>
        <v>0</v>
      </c>
      <c r="F19" s="149">
        <f t="shared" si="15"/>
        <v>0</v>
      </c>
      <c r="G19" s="150">
        <f t="shared" ref="G19" si="16">SUM(G37+G55)</f>
        <v>0</v>
      </c>
      <c r="H19" s="153" t="str">
        <f>IF('AW Schüler'!$C31=0,"x",C19/'AW Schüler'!$C31)</f>
        <v>x</v>
      </c>
      <c r="I19" s="153" t="str">
        <f>IF('AW Schüler'!$F31=0,"x",D19/'AW Schüler'!$F31)</f>
        <v>x</v>
      </c>
      <c r="J19" s="153" t="str">
        <f>IF('AW Schüler'!$I31=0,"x",E19/'AW Schüler'!$I31)</f>
        <v>x</v>
      </c>
      <c r="K19" s="153" t="str">
        <f>IF('AW Schüler'!$L31=0,"x",F19/'AW Schüler'!$L31)</f>
        <v>x</v>
      </c>
      <c r="L19" s="154" t="str">
        <f>IF('AW Schüler'!$O31=0,"x",G19/'AW Schüler'!$O31)</f>
        <v>x</v>
      </c>
    </row>
    <row r="20" spans="1:12" ht="9" customHeight="1">
      <c r="A20" s="21" t="s">
        <v>88</v>
      </c>
      <c r="B20" s="120"/>
      <c r="C20" s="149">
        <f t="shared" si="0"/>
        <v>0</v>
      </c>
      <c r="D20" s="149">
        <f t="shared" si="0"/>
        <v>0</v>
      </c>
      <c r="E20" s="149">
        <f t="shared" ref="E20:F20" si="17">SUM(E38+E56)</f>
        <v>0</v>
      </c>
      <c r="F20" s="149">
        <f t="shared" si="17"/>
        <v>0</v>
      </c>
      <c r="G20" s="150">
        <f t="shared" ref="G20" si="18">SUM(G38+G56)</f>
        <v>0</v>
      </c>
      <c r="H20" s="186" t="str">
        <f>IF('AW Schüler'!$C32=0,"x",C20/'AW Schüler'!$C32)</f>
        <v>x</v>
      </c>
      <c r="I20" s="186" t="str">
        <f>IF('AW Schüler'!$F32=0,"x",D20/'AW Schüler'!$F32)</f>
        <v>x</v>
      </c>
      <c r="J20" s="186" t="str">
        <f>IF('AW Schüler'!$I32=0,"x",E20/'AW Schüler'!$I32)</f>
        <v>x</v>
      </c>
      <c r="K20" s="186" t="str">
        <f>IF('AW Schüler'!$L32=0,"x",F20/'AW Schüler'!$L32)</f>
        <v>x</v>
      </c>
      <c r="L20" s="187" t="str">
        <f>IF('AW Schüler'!$O32=0,"x",G20/'AW Schüler'!$O32)</f>
        <v>x</v>
      </c>
    </row>
    <row r="21" spans="1:12" ht="9" customHeight="1">
      <c r="A21" s="21" t="s">
        <v>89</v>
      </c>
      <c r="B21" s="120"/>
      <c r="C21" s="149">
        <f t="shared" si="0"/>
        <v>0</v>
      </c>
      <c r="D21" s="149">
        <f t="shared" si="0"/>
        <v>0</v>
      </c>
      <c r="E21" s="149">
        <f t="shared" ref="E21:F21" si="19">SUM(E39+E57)</f>
        <v>0</v>
      </c>
      <c r="F21" s="149">
        <f t="shared" si="19"/>
        <v>0</v>
      </c>
      <c r="G21" s="150">
        <f t="shared" ref="G21" si="20">SUM(G39+G57)</f>
        <v>0</v>
      </c>
      <c r="H21" s="153" t="str">
        <f>IF('AW Schüler'!$C33=0,"x",C21/'AW Schüler'!$C33)</f>
        <v>x</v>
      </c>
      <c r="I21" s="153" t="str">
        <f>IF('AW Schüler'!$F33=0,"x",D21/'AW Schüler'!$F33)</f>
        <v>x</v>
      </c>
      <c r="J21" s="153" t="str">
        <f>IF('AW Schüler'!$I33=0,"x",E21/'AW Schüler'!$I33)</f>
        <v>x</v>
      </c>
      <c r="K21" s="153" t="str">
        <f>IF('AW Schüler'!$L33=0,"x",F21/'AW Schüler'!$L33)</f>
        <v>x</v>
      </c>
      <c r="L21" s="154" t="str">
        <f>IF('AW Schüler'!$O33=0,"x",G21/'AW Schüler'!$O33)</f>
        <v>x</v>
      </c>
    </row>
    <row r="22" spans="1:12" ht="9" customHeight="1">
      <c r="A22" s="21" t="s">
        <v>90</v>
      </c>
      <c r="B22" s="120"/>
      <c r="C22" s="149">
        <f t="shared" si="0"/>
        <v>0</v>
      </c>
      <c r="D22" s="149">
        <f t="shared" si="0"/>
        <v>0</v>
      </c>
      <c r="E22" s="149">
        <f t="shared" ref="E22:F22" si="21">SUM(E40+E58)</f>
        <v>0</v>
      </c>
      <c r="F22" s="149">
        <f t="shared" si="21"/>
        <v>0</v>
      </c>
      <c r="G22" s="150">
        <f t="shared" ref="G22" si="22">SUM(G40+G58)</f>
        <v>0</v>
      </c>
      <c r="H22" s="153" t="str">
        <f>IF('AW Schüler'!$C34=0,"x",C22/'AW Schüler'!$C34)</f>
        <v>x</v>
      </c>
      <c r="I22" s="153" t="str">
        <f>IF('AW Schüler'!$F34=0,"x",D22/'AW Schüler'!$F34)</f>
        <v>x</v>
      </c>
      <c r="J22" s="153" t="str">
        <f>IF('AW Schüler'!$I34=0,"x",E22/'AW Schüler'!$I34)</f>
        <v>x</v>
      </c>
      <c r="K22" s="153" t="str">
        <f>IF('AW Schüler'!$L34=0,"x",F22/'AW Schüler'!$L34)</f>
        <v>x</v>
      </c>
      <c r="L22" s="154" t="str">
        <f>IF('AW Schüler'!$O34=0,"x",G22/'AW Schüler'!$O34)</f>
        <v>x</v>
      </c>
    </row>
    <row r="23" spans="1:12" ht="9" customHeight="1">
      <c r="A23" s="21" t="s">
        <v>91</v>
      </c>
      <c r="B23" s="120"/>
      <c r="C23" s="149">
        <f t="shared" si="0"/>
        <v>0</v>
      </c>
      <c r="D23" s="149">
        <f t="shared" si="0"/>
        <v>0</v>
      </c>
      <c r="E23" s="149">
        <f t="shared" ref="E23:F23" si="23">SUM(E41+E59)</f>
        <v>0</v>
      </c>
      <c r="F23" s="149">
        <f t="shared" si="23"/>
        <v>0</v>
      </c>
      <c r="G23" s="150">
        <f t="shared" ref="G23" si="24">SUM(G41+G59)</f>
        <v>0</v>
      </c>
      <c r="H23" s="153" t="str">
        <f>IF('AW Schüler'!$C35=0,"x",C23/'AW Schüler'!$C35)</f>
        <v>x</v>
      </c>
      <c r="I23" s="153" t="str">
        <f>IF('AW Schüler'!$F35=0,"x",D23/'AW Schüler'!$F35)</f>
        <v>x</v>
      </c>
      <c r="J23" s="153" t="str">
        <f>IF('AW Schüler'!$I35=0,"x",E23/'AW Schüler'!$I35)</f>
        <v>x</v>
      </c>
      <c r="K23" s="153" t="str">
        <f>IF('AW Schüler'!$L35=0,"x",F23/'AW Schüler'!$L35)</f>
        <v>x</v>
      </c>
      <c r="L23" s="154" t="str">
        <f>IF('AW Schüler'!$O35=0,"x",G23/'AW Schüler'!$O35)</f>
        <v>x</v>
      </c>
    </row>
    <row r="24" spans="1:12" ht="9" customHeight="1">
      <c r="A24" s="21" t="s">
        <v>92</v>
      </c>
      <c r="B24" s="120"/>
      <c r="C24" s="149">
        <f t="shared" si="0"/>
        <v>0</v>
      </c>
      <c r="D24" s="149">
        <f t="shared" si="0"/>
        <v>0</v>
      </c>
      <c r="E24" s="149">
        <f t="shared" ref="E24:F24" si="25">SUM(E42+E60)</f>
        <v>0</v>
      </c>
      <c r="F24" s="149">
        <f t="shared" si="25"/>
        <v>0</v>
      </c>
      <c r="G24" s="150">
        <f t="shared" ref="G24" si="26">SUM(G42+G60)</f>
        <v>0</v>
      </c>
      <c r="H24" s="153" t="str">
        <f>IF('AW Schüler'!$C36=0,"x",C24/'AW Schüler'!$C36)</f>
        <v>x</v>
      </c>
      <c r="I24" s="153" t="str">
        <f>IF('AW Schüler'!$F36=0,"x",D24/'AW Schüler'!$F36)</f>
        <v>x</v>
      </c>
      <c r="J24" s="153" t="str">
        <f>IF('AW Schüler'!$I36=0,"x",E24/'AW Schüler'!$I36)</f>
        <v>x</v>
      </c>
      <c r="K24" s="153" t="str">
        <f>IF('AW Schüler'!$L36=0,"x",F24/'AW Schüler'!$L36)</f>
        <v>x</v>
      </c>
      <c r="L24" s="154" t="str">
        <f>IF('AW Schüler'!$O36=0,"x",G24/'AW Schüler'!$O36)</f>
        <v>x</v>
      </c>
    </row>
    <row r="25" spans="1:12" ht="9" customHeight="1">
      <c r="A25" s="21" t="s">
        <v>93</v>
      </c>
      <c r="B25" s="120"/>
      <c r="C25" s="149">
        <f t="shared" si="0"/>
        <v>0</v>
      </c>
      <c r="D25" s="149">
        <f t="shared" si="0"/>
        <v>0</v>
      </c>
      <c r="E25" s="149">
        <f t="shared" ref="E25:F25" si="27">SUM(E43+E61)</f>
        <v>0</v>
      </c>
      <c r="F25" s="149">
        <f t="shared" si="27"/>
        <v>0</v>
      </c>
      <c r="G25" s="150">
        <f t="shared" ref="G25" si="28">SUM(G43+G61)</f>
        <v>0</v>
      </c>
      <c r="H25" s="186" t="str">
        <f>IF('AW Schüler'!$C37=0,"x",C25/'AW Schüler'!$C37)</f>
        <v>x</v>
      </c>
      <c r="I25" s="186" t="str">
        <f>IF('AW Schüler'!$F37=0,"x",D25/'AW Schüler'!$F37)</f>
        <v>x</v>
      </c>
      <c r="J25" s="186" t="str">
        <f>IF('AW Schüler'!$I37=0,"x",E25/'AW Schüler'!$I37)</f>
        <v>x</v>
      </c>
      <c r="K25" s="186" t="str">
        <f>IF('AW Schüler'!$L37=0,"x",F25/'AW Schüler'!$L37)</f>
        <v>x</v>
      </c>
      <c r="L25" s="187" t="str">
        <f>IF('AW Schüler'!$O37=0,"x",G25/'AW Schüler'!$O37)</f>
        <v>x</v>
      </c>
    </row>
    <row r="26" spans="1:12" ht="9" customHeight="1">
      <c r="A26" s="21" t="s">
        <v>94</v>
      </c>
      <c r="B26" s="120"/>
      <c r="C26" s="149">
        <f t="shared" si="0"/>
        <v>0</v>
      </c>
      <c r="D26" s="149">
        <f t="shared" si="0"/>
        <v>0</v>
      </c>
      <c r="E26" s="149">
        <f t="shared" ref="E26:F26" si="29">SUM(E44+E62)</f>
        <v>0</v>
      </c>
      <c r="F26" s="149">
        <f t="shared" si="29"/>
        <v>0</v>
      </c>
      <c r="G26" s="150">
        <f t="shared" ref="G26" si="30">SUM(G44+G62)</f>
        <v>0</v>
      </c>
      <c r="H26" s="153" t="str">
        <f>IF('AW Schüler'!$C38=0,"x",C26/'AW Schüler'!$C38)</f>
        <v>x</v>
      </c>
      <c r="I26" s="153" t="str">
        <f>IF('AW Schüler'!$F38=0,"x",D26/'AW Schüler'!$F38)</f>
        <v>x</v>
      </c>
      <c r="J26" s="153" t="str">
        <f>IF('AW Schüler'!$I38=0,"x",E26/'AW Schüler'!$I38)</f>
        <v>x</v>
      </c>
      <c r="K26" s="153" t="str">
        <f>IF('AW Schüler'!$L38=0,"x",F26/'AW Schüler'!$L38)</f>
        <v>x</v>
      </c>
      <c r="L26" s="154" t="str">
        <f>IF('AW Schüler'!$O38=0,"x",G26/'AW Schüler'!$O38)</f>
        <v>x</v>
      </c>
    </row>
    <row r="27" spans="1:12" ht="9" customHeight="1">
      <c r="A27" s="21" t="s">
        <v>95</v>
      </c>
      <c r="B27" s="120"/>
      <c r="C27" s="149">
        <f t="shared" si="0"/>
        <v>0</v>
      </c>
      <c r="D27" s="149">
        <f t="shared" si="0"/>
        <v>0</v>
      </c>
      <c r="E27" s="149">
        <f t="shared" ref="E27:F27" si="31">SUM(E45+E63)</f>
        <v>0</v>
      </c>
      <c r="F27" s="149">
        <f t="shared" si="31"/>
        <v>0</v>
      </c>
      <c r="G27" s="150">
        <f t="shared" ref="G27" si="32">SUM(G45+G63)</f>
        <v>0</v>
      </c>
      <c r="H27" s="153" t="str">
        <f>IF('AW Schüler'!$C39=0,"x",C27/'AW Schüler'!$C39)</f>
        <v>x</v>
      </c>
      <c r="I27" s="153" t="str">
        <f>IF('AW Schüler'!$F39=0,"x",D27/'AW Schüler'!$F39)</f>
        <v>x</v>
      </c>
      <c r="J27" s="153" t="str">
        <f>IF('AW Schüler'!$I39=0,"x",E27/'AW Schüler'!$I39)</f>
        <v>x</v>
      </c>
      <c r="K27" s="153" t="str">
        <f>IF('AW Schüler'!$L39=0,"x",F27/'AW Schüler'!$L39)</f>
        <v>x</v>
      </c>
      <c r="L27" s="154" t="str">
        <f>IF('AW Schüler'!$O39=0,"x",G27/'AW Schüler'!$O39)</f>
        <v>x</v>
      </c>
    </row>
    <row r="28" spans="1:12" ht="9" customHeight="1">
      <c r="A28" s="21" t="s">
        <v>96</v>
      </c>
      <c r="B28" s="120"/>
      <c r="C28" s="42">
        <f t="shared" si="0"/>
        <v>2738</v>
      </c>
      <c r="D28" s="42">
        <f t="shared" si="0"/>
        <v>3610</v>
      </c>
      <c r="E28" s="42">
        <f t="shared" ref="E28:F28" si="33">SUM(E46+E64)</f>
        <v>3267</v>
      </c>
      <c r="F28" s="42">
        <f t="shared" si="33"/>
        <v>4268</v>
      </c>
      <c r="G28" s="44">
        <f t="shared" ref="G28" si="34">SUM(G46+G64)</f>
        <v>4188</v>
      </c>
      <c r="H28" s="153">
        <f>IF('AW Schüler'!$C40=0,"x",C28/'AW Schüler'!$C40)</f>
        <v>0.50600628349658106</v>
      </c>
      <c r="I28" s="153">
        <f>IF('AW Schüler'!$F40=0,"x",D28/'AW Schüler'!$F40)</f>
        <v>0.60866632945540378</v>
      </c>
      <c r="J28" s="153">
        <f>IF('AW Schüler'!$I40=0,"x",E28/'AW Schüler'!$I40)</f>
        <v>0.5160322223977255</v>
      </c>
      <c r="K28" s="153">
        <f>IF('AW Schüler'!$L40=0,"x",F28/'AW Schüler'!$L40)</f>
        <v>0.65399938706711613</v>
      </c>
      <c r="L28" s="154">
        <f>IF('AW Schüler'!$O40=0,"x",G28/'AW Schüler'!$O40)</f>
        <v>0.6235854675402025</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151">
        <f>[1]GtS!$E$67</f>
        <v>0</v>
      </c>
      <c r="D30" s="151">
        <f>[2]GtS!$E$71</f>
        <v>0</v>
      </c>
      <c r="E30" s="151">
        <f>[3]GtS!$E$71</f>
        <v>0</v>
      </c>
      <c r="F30" s="151">
        <f>[4]GtS!$E$71</f>
        <v>0</v>
      </c>
      <c r="G30" s="152">
        <f>[5]GtS!$E$71</f>
        <v>0</v>
      </c>
      <c r="H30" s="155" t="str">
        <f>IF('AW Schüler'!$C24=0,"x",C30/'AW Schüler'!$C24)</f>
        <v>x</v>
      </c>
      <c r="I30" s="155" t="str">
        <f>IF('AW Schüler'!$F24=0,"x",D30/'AW Schüler'!$F24)</f>
        <v>x</v>
      </c>
      <c r="J30" s="155" t="str">
        <f>IF('AW Schüler'!$I24=0,"x",E30/'AW Schüler'!$I24)</f>
        <v>x</v>
      </c>
      <c r="K30" s="155" t="str">
        <f>IF('AW Schüler'!$L24=0,"x",F30/'AW Schüler'!$L24)</f>
        <v>x</v>
      </c>
      <c r="L30" s="156" t="str">
        <f>IF('AW Schüler'!$O24=0,"x",G30/'AW Schüler'!$O24)</f>
        <v>x</v>
      </c>
    </row>
    <row r="31" spans="1:12" ht="9" customHeight="1">
      <c r="A31" s="21" t="s">
        <v>81</v>
      </c>
      <c r="B31" s="120"/>
      <c r="C31" s="151">
        <f>[6]GtS!$E$67</f>
        <v>0</v>
      </c>
      <c r="D31" s="151">
        <f>[7]GtS!$E$71</f>
        <v>0</v>
      </c>
      <c r="E31" s="151">
        <f>[8]GtS!$E$71</f>
        <v>0</v>
      </c>
      <c r="F31" s="151" t="str">
        <f>[9]GtS!$E$71</f>
        <v xml:space="preserve">                                      -   </v>
      </c>
      <c r="G31" s="152">
        <f>[10]GtS!$E$71</f>
        <v>0</v>
      </c>
      <c r="H31" s="155" t="str">
        <f>IF('AW Schüler'!$C25=0,"x",C31/'AW Schüler'!$C25)</f>
        <v>x</v>
      </c>
      <c r="I31" s="155" t="str">
        <f>IF('AW Schüler'!$F25=0,"x",D31/'AW Schüler'!$F25)</f>
        <v>x</v>
      </c>
      <c r="J31" s="155" t="str">
        <f>IF('AW Schüler'!$I25=0,"x",E31/'AW Schüler'!$I25)</f>
        <v>x</v>
      </c>
      <c r="K31" s="155" t="str">
        <f>IF('AW Schüler'!$L25=0,"x",F31/'AW Schüler'!$L25)</f>
        <v>x</v>
      </c>
      <c r="L31" s="156" t="str">
        <f>IF('AW Schüler'!$O25=0,"x",G31/'AW Schüler'!$O25)</f>
        <v>x</v>
      </c>
    </row>
    <row r="32" spans="1:12" ht="9" customHeight="1">
      <c r="A32" s="21" t="s">
        <v>82</v>
      </c>
      <c r="B32" s="120"/>
      <c r="C32" s="23">
        <f>[11]GtS!$E$67</f>
        <v>280</v>
      </c>
      <c r="D32" s="23">
        <f>[12]GtS!$E$71</f>
        <v>321</v>
      </c>
      <c r="E32" s="23">
        <f>[13]GtS!$E$71</f>
        <v>373</v>
      </c>
      <c r="F32" s="23">
        <f>[14]GtS!$E$71</f>
        <v>891</v>
      </c>
      <c r="G32" s="34">
        <f>[15]GtS!$E$71</f>
        <v>866</v>
      </c>
      <c r="H32" s="155">
        <f>IF('AW Schüler'!$C26=0,"x",C32/'AW Schüler'!$C26)</f>
        <v>9.5432856169052491E-2</v>
      </c>
      <c r="I32" s="155">
        <f>IF('AW Schüler'!$F26=0,"x",D32/'AW Schüler'!$F26)</f>
        <v>9.8860486603018174E-2</v>
      </c>
      <c r="J32" s="155">
        <f>IF('AW Schüler'!$I26=0,"x",E32/'AW Schüler'!$I26)</f>
        <v>0.10830429732868757</v>
      </c>
      <c r="K32" s="155">
        <f>IF('AW Schüler'!$L26=0,"x",F32/'AW Schüler'!$L26)</f>
        <v>0.25348506401137982</v>
      </c>
      <c r="L32" s="156">
        <f>IF('AW Schüler'!$O26=0,"x",G32/'AW Schüler'!$O26)</f>
        <v>0.2351982618142314</v>
      </c>
    </row>
    <row r="33" spans="1:12" ht="9" customHeight="1">
      <c r="A33" s="21" t="s">
        <v>83</v>
      </c>
      <c r="B33" s="120"/>
      <c r="C33" s="23">
        <f>[16]GtS!$E$67</f>
        <v>0</v>
      </c>
      <c r="D33" s="23">
        <f>[17]GtS!$E$71</f>
        <v>0</v>
      </c>
      <c r="E33" s="23">
        <f>[18]GtS!$E$71</f>
        <v>0</v>
      </c>
      <c r="F33" s="23">
        <f>[19]GtS!$E$71</f>
        <v>0</v>
      </c>
      <c r="G33" s="34">
        <f>[20]GtS!$E$71</f>
        <v>1752</v>
      </c>
      <c r="H33" s="155">
        <f>IF('AW Schüler'!$C27=0,"x",C33/'AW Schüler'!$C27)</f>
        <v>0</v>
      </c>
      <c r="I33" s="155">
        <f>IF('AW Schüler'!$F27=0,"x",D33/'AW Schüler'!$F27)</f>
        <v>0</v>
      </c>
      <c r="J33" s="155">
        <f>IF('AW Schüler'!$I27=0,"x",E33/'AW Schüler'!$I27)</f>
        <v>0</v>
      </c>
      <c r="K33" s="155">
        <f>IF('AW Schüler'!$L27=0,"x",F33/'AW Schüler'!$L27)</f>
        <v>0</v>
      </c>
      <c r="L33" s="156">
        <f>IF('AW Schüler'!$O27=0,"x",G33/'AW Schüler'!$O27)</f>
        <v>0.59069453809844907</v>
      </c>
    </row>
    <row r="34" spans="1:12" ht="9" customHeight="1">
      <c r="A34" s="21" t="s">
        <v>84</v>
      </c>
      <c r="B34" s="120"/>
      <c r="C34" s="151">
        <f>[21]GtS!$E$67</f>
        <v>0</v>
      </c>
      <c r="D34" s="151">
        <f>[22]GtS!$E$71</f>
        <v>0</v>
      </c>
      <c r="E34" s="151">
        <f>[23]GtS!$E$71</f>
        <v>0</v>
      </c>
      <c r="F34" s="151">
        <f>[24]GtS!$E$71</f>
        <v>0</v>
      </c>
      <c r="G34" s="152">
        <f>[25]GtS!$E$71</f>
        <v>0</v>
      </c>
      <c r="H34" s="155" t="str">
        <f>IF('AW Schüler'!$C28=0,"x",C34/'AW Schüler'!$C28)</f>
        <v>x</v>
      </c>
      <c r="I34" s="155" t="str">
        <f>IF('AW Schüler'!$F28=0,"x",D34/'AW Schüler'!$F28)</f>
        <v>x</v>
      </c>
      <c r="J34" s="155" t="str">
        <f>IF('AW Schüler'!$I28=0,"x",E34/'AW Schüler'!$I28)</f>
        <v>x</v>
      </c>
      <c r="K34" s="155" t="str">
        <f>IF('AW Schüler'!$L28=0,"x",F34/'AW Schüler'!$L28)</f>
        <v>x</v>
      </c>
      <c r="L34" s="156" t="str">
        <f>IF('AW Schüler'!$O28=0,"x",G34/'AW Schüler'!$O28)</f>
        <v>x</v>
      </c>
    </row>
    <row r="35" spans="1:12" ht="9" customHeight="1">
      <c r="A35" s="21" t="s">
        <v>85</v>
      </c>
      <c r="B35" s="120"/>
      <c r="C35" s="151">
        <f>[26]GtS!$E$67</f>
        <v>0</v>
      </c>
      <c r="D35" s="151">
        <f>[27]GtS!$E$71</f>
        <v>0</v>
      </c>
      <c r="E35" s="151">
        <f>[28]GtS!$E$71</f>
        <v>0</v>
      </c>
      <c r="F35" s="151">
        <f>[29]GtS!$E$71</f>
        <v>0</v>
      </c>
      <c r="G35" s="152">
        <f>[30]GtS!$E$71</f>
        <v>0</v>
      </c>
      <c r="H35" s="155" t="str">
        <f>IF('AW Schüler'!$C29=0,"x",C35/'AW Schüler'!$C29)</f>
        <v>x</v>
      </c>
      <c r="I35" s="155">
        <f>IF('AW Schüler'!$F29=0,"x",D35/'AW Schüler'!$F29)</f>
        <v>0</v>
      </c>
      <c r="J35" s="155">
        <f>IF('AW Schüler'!$I29=0,"x",E35/'AW Schüler'!$I29)</f>
        <v>0</v>
      </c>
      <c r="K35" s="155">
        <f>IF('AW Schüler'!$L29=0,"x",F35/'AW Schüler'!$L29)</f>
        <v>0</v>
      </c>
      <c r="L35" s="156">
        <f>IF('AW Schüler'!$O29=0,"x",G35/'AW Schüler'!$O29)</f>
        <v>0</v>
      </c>
    </row>
    <row r="36" spans="1:12" ht="9" customHeight="1">
      <c r="A36" s="21" t="s">
        <v>86</v>
      </c>
      <c r="B36" s="120"/>
      <c r="C36" s="124">
        <f>[66]GtS!$E$67</f>
        <v>0</v>
      </c>
      <c r="D36" s="124">
        <f>[67]GtS!$E$71</f>
        <v>0</v>
      </c>
      <c r="E36" s="124">
        <f>[68]GtS!$E$71</f>
        <v>0</v>
      </c>
      <c r="F36" s="124">
        <f>[69]GtS!$E$71</f>
        <v>0</v>
      </c>
      <c r="G36" s="188">
        <f>[70]GtS!$E$71</f>
        <v>0</v>
      </c>
      <c r="H36" s="189">
        <f>IF('AW Schüler'!$C30=0,"x",C36/'AW Schüler'!$C30)</f>
        <v>0</v>
      </c>
      <c r="I36" s="189">
        <f>IF('AW Schüler'!$F30=0,"x",D36/'AW Schüler'!$F30)</f>
        <v>0</v>
      </c>
      <c r="J36" s="189">
        <f>IF('AW Schüler'!$I30=0,"x",E36/'AW Schüler'!$I30)</f>
        <v>0</v>
      </c>
      <c r="K36" s="189">
        <f>IF('AW Schüler'!$L30=0,"x",F36/'AW Schüler'!$L30)</f>
        <v>0</v>
      </c>
      <c r="L36" s="190">
        <f>IF('AW Schüler'!$O30=0,"x",G36/'AW Schüler'!$O30)</f>
        <v>0</v>
      </c>
    </row>
    <row r="37" spans="1:12" ht="9" customHeight="1">
      <c r="A37" s="21" t="s">
        <v>87</v>
      </c>
      <c r="B37" s="120"/>
      <c r="C37" s="151">
        <f>[31]GtS!$E$67</f>
        <v>0</v>
      </c>
      <c r="D37" s="151">
        <f>[32]GtS!$E$71</f>
        <v>0</v>
      </c>
      <c r="E37" s="151">
        <f>[33]GtS!$E$71</f>
        <v>0</v>
      </c>
      <c r="F37" s="151">
        <f>[34]GtS!$E$71</f>
        <v>0</v>
      </c>
      <c r="G37" s="152">
        <f>[35]GtS!$E$71</f>
        <v>0</v>
      </c>
      <c r="H37" s="155" t="str">
        <f>IF('AW Schüler'!$C31=0,"x",C37/'AW Schüler'!$C31)</f>
        <v>x</v>
      </c>
      <c r="I37" s="155" t="str">
        <f>IF('AW Schüler'!$F31=0,"x",D37/'AW Schüler'!$F31)</f>
        <v>x</v>
      </c>
      <c r="J37" s="155" t="str">
        <f>IF('AW Schüler'!$I31=0,"x",E37/'AW Schüler'!$I31)</f>
        <v>x</v>
      </c>
      <c r="K37" s="155" t="str">
        <f>IF('AW Schüler'!$L31=0,"x",F37/'AW Schüler'!$L31)</f>
        <v>x</v>
      </c>
      <c r="L37" s="156" t="str">
        <f>IF('AW Schüler'!$O31=0,"x",G37/'AW Schüler'!$O31)</f>
        <v>x</v>
      </c>
    </row>
    <row r="38" spans="1:12" ht="9" customHeight="1">
      <c r="A38" s="21" t="s">
        <v>88</v>
      </c>
      <c r="B38" s="120"/>
      <c r="C38" s="151">
        <f>[71]GtS!$E$67</f>
        <v>0</v>
      </c>
      <c r="D38" s="151">
        <f>[72]GtS!$E$71</f>
        <v>0</v>
      </c>
      <c r="E38" s="151">
        <f>[73]GtS!$E$71</f>
        <v>0</v>
      </c>
      <c r="F38" s="151">
        <f>[74]GtS!$E$71</f>
        <v>0</v>
      </c>
      <c r="G38" s="152">
        <f>[75]GtS!$E$71</f>
        <v>0</v>
      </c>
      <c r="H38" s="189" t="str">
        <f>IF('AW Schüler'!$C32=0,"x",C38/'AW Schüler'!$C32)</f>
        <v>x</v>
      </c>
      <c r="I38" s="189" t="str">
        <f>IF('AW Schüler'!$F32=0,"x",D38/'AW Schüler'!$F32)</f>
        <v>x</v>
      </c>
      <c r="J38" s="189" t="str">
        <f>IF('AW Schüler'!$I32=0,"x",E38/'AW Schüler'!$I32)</f>
        <v>x</v>
      </c>
      <c r="K38" s="189" t="str">
        <f>IF('AW Schüler'!$L32=0,"x",F38/'AW Schüler'!$L32)</f>
        <v>x</v>
      </c>
      <c r="L38" s="190" t="str">
        <f>IF('AW Schüler'!$O32=0,"x",G38/'AW Schüler'!$O32)</f>
        <v>x</v>
      </c>
    </row>
    <row r="39" spans="1:12" ht="9" customHeight="1">
      <c r="A39" s="21" t="s">
        <v>89</v>
      </c>
      <c r="B39" s="120"/>
      <c r="C39" s="151">
        <f>[36]GtS!$E$67</f>
        <v>0</v>
      </c>
      <c r="D39" s="151">
        <f>[37]GtS!$E$71</f>
        <v>0</v>
      </c>
      <c r="E39" s="151">
        <f>[38]GtS!$E$71</f>
        <v>0</v>
      </c>
      <c r="F39" s="151">
        <f>[39]GtS!$E$71</f>
        <v>0</v>
      </c>
      <c r="G39" s="152">
        <f>[40]GtS!$E$71</f>
        <v>0</v>
      </c>
      <c r="H39" s="155" t="str">
        <f>IF('AW Schüler'!$C33=0,"x",C39/'AW Schüler'!$C33)</f>
        <v>x</v>
      </c>
      <c r="I39" s="155" t="str">
        <f>IF('AW Schüler'!$F33=0,"x",D39/'AW Schüler'!$F33)</f>
        <v>x</v>
      </c>
      <c r="J39" s="155" t="str">
        <f>IF('AW Schüler'!$I33=0,"x",E39/'AW Schüler'!$I33)</f>
        <v>x</v>
      </c>
      <c r="K39" s="155" t="str">
        <f>IF('AW Schüler'!$L33=0,"x",F39/'AW Schüler'!$L33)</f>
        <v>x</v>
      </c>
      <c r="L39" s="156" t="str">
        <f>IF('AW Schüler'!$O33=0,"x",G39/'AW Schüler'!$O33)</f>
        <v>x</v>
      </c>
    </row>
    <row r="40" spans="1:12" ht="9" customHeight="1">
      <c r="A40" s="21" t="s">
        <v>90</v>
      </c>
      <c r="B40" s="120"/>
      <c r="C40" s="151">
        <f>[41]GtS!$E$67</f>
        <v>0</v>
      </c>
      <c r="D40" s="151">
        <f>[42]GtS!$E$71</f>
        <v>0</v>
      </c>
      <c r="E40" s="151">
        <f>[43]GtS!$E$71</f>
        <v>0</v>
      </c>
      <c r="F40" s="151">
        <f>[44]GtS!$E$71</f>
        <v>0</v>
      </c>
      <c r="G40" s="152">
        <f>[45]GtS!$E$71</f>
        <v>0</v>
      </c>
      <c r="H40" s="155" t="str">
        <f>IF('AW Schüler'!$C34=0,"x",C40/'AW Schüler'!$C34)</f>
        <v>x</v>
      </c>
      <c r="I40" s="155" t="str">
        <f>IF('AW Schüler'!$F34=0,"x",D40/'AW Schüler'!$F34)</f>
        <v>x</v>
      </c>
      <c r="J40" s="155" t="str">
        <f>IF('AW Schüler'!$I34=0,"x",E40/'AW Schüler'!$I34)</f>
        <v>x</v>
      </c>
      <c r="K40" s="155" t="str">
        <f>IF('AW Schüler'!$L34=0,"x",F40/'AW Schüler'!$L34)</f>
        <v>x</v>
      </c>
      <c r="L40" s="156" t="str">
        <f>IF('AW Schüler'!$O34=0,"x",G40/'AW Schüler'!$O34)</f>
        <v>x</v>
      </c>
    </row>
    <row r="41" spans="1:12" ht="9" customHeight="1">
      <c r="A41" s="21" t="s">
        <v>91</v>
      </c>
      <c r="B41" s="120"/>
      <c r="C41" s="151">
        <f>[46]GtS!$E$67</f>
        <v>0</v>
      </c>
      <c r="D41" s="151">
        <f>[47]GtS!$E$71</f>
        <v>0</v>
      </c>
      <c r="E41" s="151">
        <f>[48]GtS!$E$71</f>
        <v>0</v>
      </c>
      <c r="F41" s="151">
        <f>[49]GtS!$E$71</f>
        <v>0</v>
      </c>
      <c r="G41" s="152">
        <f>[50]GtS!$E$71</f>
        <v>0</v>
      </c>
      <c r="H41" s="155" t="str">
        <f>IF('AW Schüler'!$C35=0,"x",C41/'AW Schüler'!$C35)</f>
        <v>x</v>
      </c>
      <c r="I41" s="155" t="str">
        <f>IF('AW Schüler'!$F35=0,"x",D41/'AW Schüler'!$F35)</f>
        <v>x</v>
      </c>
      <c r="J41" s="155" t="str">
        <f>IF('AW Schüler'!$I35=0,"x",E41/'AW Schüler'!$I35)</f>
        <v>x</v>
      </c>
      <c r="K41" s="155" t="str">
        <f>IF('AW Schüler'!$L35=0,"x",F41/'AW Schüler'!$L35)</f>
        <v>x</v>
      </c>
      <c r="L41" s="156" t="str">
        <f>IF('AW Schüler'!$O35=0,"x",G41/'AW Schüler'!$O35)</f>
        <v>x</v>
      </c>
    </row>
    <row r="42" spans="1:12" ht="9" customHeight="1">
      <c r="A42" s="21" t="s">
        <v>92</v>
      </c>
      <c r="B42" s="120"/>
      <c r="C42" s="151">
        <f>[51]GtS!$E$67</f>
        <v>0</v>
      </c>
      <c r="D42" s="151">
        <f>[52]GtS!$E$71</f>
        <v>0</v>
      </c>
      <c r="E42" s="151">
        <f>[53]GtS!$E$71</f>
        <v>0</v>
      </c>
      <c r="F42" s="151">
        <f>[54]GtS!$E$71</f>
        <v>0</v>
      </c>
      <c r="G42" s="152">
        <f>[55]GtS!$E$71</f>
        <v>0</v>
      </c>
      <c r="H42" s="155" t="str">
        <f>IF('AW Schüler'!$C36=0,"x",C42/'AW Schüler'!$C36)</f>
        <v>x</v>
      </c>
      <c r="I42" s="155" t="str">
        <f>IF('AW Schüler'!$F36=0,"x",D42/'AW Schüler'!$F36)</f>
        <v>x</v>
      </c>
      <c r="J42" s="155" t="str">
        <f>IF('AW Schüler'!$I36=0,"x",E42/'AW Schüler'!$I36)</f>
        <v>x</v>
      </c>
      <c r="K42" s="155" t="str">
        <f>IF('AW Schüler'!$L36=0,"x",F42/'AW Schüler'!$L36)</f>
        <v>x</v>
      </c>
      <c r="L42" s="156" t="str">
        <f>IF('AW Schüler'!$O36=0,"x",G42/'AW Schüler'!$O36)</f>
        <v>x</v>
      </c>
    </row>
    <row r="43" spans="1:12" ht="9" customHeight="1">
      <c r="A43" s="21" t="s">
        <v>93</v>
      </c>
      <c r="B43" s="120"/>
      <c r="C43" s="151">
        <f>[76]GtS!$E$67</f>
        <v>0</v>
      </c>
      <c r="D43" s="151">
        <f>[77]GtS!$E$71</f>
        <v>0</v>
      </c>
      <c r="E43" s="151">
        <f>[78]GtS!$E$71</f>
        <v>0</v>
      </c>
      <c r="F43" s="151">
        <f>[79]GtS!$E$71</f>
        <v>0</v>
      </c>
      <c r="G43" s="152">
        <f>[80]GtS!$E$71</f>
        <v>0</v>
      </c>
      <c r="H43" s="189" t="str">
        <f>IF('AW Schüler'!$C37=0,"x",C43/'AW Schüler'!$C37)</f>
        <v>x</v>
      </c>
      <c r="I43" s="189" t="str">
        <f>IF('AW Schüler'!$F37=0,"x",D43/'AW Schüler'!$F37)</f>
        <v>x</v>
      </c>
      <c r="J43" s="189" t="str">
        <f>IF('AW Schüler'!$I37=0,"x",E43/'AW Schüler'!$I37)</f>
        <v>x</v>
      </c>
      <c r="K43" s="189" t="str">
        <f>IF('AW Schüler'!$L37=0,"x",F43/'AW Schüler'!$L37)</f>
        <v>x</v>
      </c>
      <c r="L43" s="190" t="str">
        <f>IF('AW Schüler'!$O37=0,"x",G43/'AW Schüler'!$O37)</f>
        <v>x</v>
      </c>
    </row>
    <row r="44" spans="1:12" ht="9" customHeight="1">
      <c r="A44" s="21" t="s">
        <v>94</v>
      </c>
      <c r="B44" s="120"/>
      <c r="C44" s="151">
        <f>[56]GtS!$E$67</f>
        <v>0</v>
      </c>
      <c r="D44" s="151">
        <f>[57]GtS!$E$71</f>
        <v>0</v>
      </c>
      <c r="E44" s="151">
        <f>[58]GtS!$E$71</f>
        <v>0</v>
      </c>
      <c r="F44" s="151">
        <f>[59]GtS!$E$71</f>
        <v>0</v>
      </c>
      <c r="G44" s="152">
        <f>[60]GtS!$E$71</f>
        <v>0</v>
      </c>
      <c r="H44" s="155" t="str">
        <f>IF('AW Schüler'!$C38=0,"x",C44/'AW Schüler'!$C38)</f>
        <v>x</v>
      </c>
      <c r="I44" s="155" t="str">
        <f>IF('AW Schüler'!$F38=0,"x",D44/'AW Schüler'!$F38)</f>
        <v>x</v>
      </c>
      <c r="J44" s="155" t="str">
        <f>IF('AW Schüler'!$I38=0,"x",E44/'AW Schüler'!$I38)</f>
        <v>x</v>
      </c>
      <c r="K44" s="155" t="str">
        <f>IF('AW Schüler'!$L38=0,"x",F44/'AW Schüler'!$L38)</f>
        <v>x</v>
      </c>
      <c r="L44" s="156" t="str">
        <f>IF('AW Schüler'!$O38=0,"x",G44/'AW Schüler'!$O38)</f>
        <v>x</v>
      </c>
    </row>
    <row r="45" spans="1:12" ht="9" customHeight="1">
      <c r="A45" s="21" t="s">
        <v>95</v>
      </c>
      <c r="B45" s="120"/>
      <c r="C45" s="151">
        <f>[61]GtS!$E$67</f>
        <v>0</v>
      </c>
      <c r="D45" s="151">
        <f>[62]GtS!$E$71</f>
        <v>0</v>
      </c>
      <c r="E45" s="151">
        <f>[63]GtS!$E$71</f>
        <v>0</v>
      </c>
      <c r="F45" s="151">
        <f>[64]GtS!$E$71</f>
        <v>0</v>
      </c>
      <c r="G45" s="152">
        <f>[65]GtS!$E$71</f>
        <v>0</v>
      </c>
      <c r="H45" s="155" t="str">
        <f>IF('AW Schüler'!$C39=0,"x",C45/'AW Schüler'!$C39)</f>
        <v>x</v>
      </c>
      <c r="I45" s="155" t="str">
        <f>IF('AW Schüler'!$F39=0,"x",D45/'AW Schüler'!$F39)</f>
        <v>x</v>
      </c>
      <c r="J45" s="155" t="str">
        <f>IF('AW Schüler'!$I39=0,"x",E45/'AW Schüler'!$I39)</f>
        <v>x</v>
      </c>
      <c r="K45" s="155" t="str">
        <f>IF('AW Schüler'!$L39=0,"x",F45/'AW Schüler'!$L39)</f>
        <v>x</v>
      </c>
      <c r="L45" s="156" t="str">
        <f>IF('AW Schüler'!$O39=0,"x",G45/'AW Schüler'!$O39)</f>
        <v>x</v>
      </c>
    </row>
    <row r="46" spans="1:12" ht="9" customHeight="1">
      <c r="A46" s="21" t="s">
        <v>96</v>
      </c>
      <c r="B46" s="120"/>
      <c r="C46" s="23">
        <f>SUM(C30:C45)</f>
        <v>280</v>
      </c>
      <c r="D46" s="23">
        <f>SUM(D30:D45)</f>
        <v>321</v>
      </c>
      <c r="E46" s="23">
        <f>SUM(E30:E45)</f>
        <v>373</v>
      </c>
      <c r="F46" s="23">
        <f>SUM(F30:F45)</f>
        <v>891</v>
      </c>
      <c r="G46" s="34">
        <f>SUM(G30:G45)</f>
        <v>2618</v>
      </c>
      <c r="H46" s="155">
        <f>IF('AW Schüler'!$C40=0,"x",C46/'AW Schüler'!$C40)</f>
        <v>5.1746442432082797E-2</v>
      </c>
      <c r="I46" s="155">
        <f>IF('AW Schüler'!$F40=0,"x",D46/'AW Schüler'!$F40)</f>
        <v>5.4122407688416793E-2</v>
      </c>
      <c r="J46" s="155">
        <f>IF('AW Schüler'!$I40=0,"x",E46/'AW Schüler'!$I40)</f>
        <v>5.8916442900015797E-2</v>
      </c>
      <c r="K46" s="155">
        <f>IF('AW Schüler'!$L40=0,"x",F46/'AW Schüler'!$L40)</f>
        <v>0.13653079987741343</v>
      </c>
      <c r="L46" s="156">
        <f>IF('AW Schüler'!$O40=0,"x",G46/'AW Schüler'!$O40)</f>
        <v>0.38981536628945801</v>
      </c>
    </row>
    <row r="47" spans="1:12" ht="11.25" customHeight="1">
      <c r="A47" s="391" t="s">
        <v>100</v>
      </c>
      <c r="B47" s="392"/>
      <c r="C47" s="392"/>
      <c r="D47" s="392"/>
      <c r="E47" s="392"/>
      <c r="F47" s="392"/>
      <c r="G47" s="392"/>
      <c r="H47" s="392"/>
      <c r="I47" s="392"/>
      <c r="J47" s="392"/>
      <c r="K47" s="392"/>
      <c r="L47" s="393"/>
    </row>
    <row r="48" spans="1:12" ht="9" customHeight="1">
      <c r="A48" s="21" t="s">
        <v>80</v>
      </c>
      <c r="B48" s="120"/>
      <c r="C48" s="151">
        <f>[1]GtS!$H$67</f>
        <v>0</v>
      </c>
      <c r="D48" s="151">
        <f>[2]GtS!$H$71</f>
        <v>0</v>
      </c>
      <c r="E48" s="151">
        <f>[3]GtS!$H$71</f>
        <v>0</v>
      </c>
      <c r="F48" s="151">
        <f>[4]GtS!$H$71</f>
        <v>0</v>
      </c>
      <c r="G48" s="152">
        <f>[5]GtS!$H$71</f>
        <v>0</v>
      </c>
      <c r="H48" s="155" t="str">
        <f>IF('AW Schüler'!$C24=0,"x",C48/'AW Schüler'!$C24)</f>
        <v>x</v>
      </c>
      <c r="I48" s="155" t="str">
        <f>IF('AW Schüler'!$F24=0,"x",D48/'AW Schüler'!$F24)</f>
        <v>x</v>
      </c>
      <c r="J48" s="155" t="str">
        <f>IF('AW Schüler'!$I24=0,"x",E48/'AW Schüler'!$I24)</f>
        <v>x</v>
      </c>
      <c r="K48" s="155" t="str">
        <f>IF('AW Schüler'!$L24=0,"x",F48/'AW Schüler'!$L24)</f>
        <v>x</v>
      </c>
      <c r="L48" s="156" t="str">
        <f>IF('AW Schüler'!$O24=0,"x",G48/'AW Schüler'!$O24)</f>
        <v>x</v>
      </c>
    </row>
    <row r="49" spans="1:12" ht="9" customHeight="1">
      <c r="A49" s="21" t="s">
        <v>81</v>
      </c>
      <c r="B49" s="120"/>
      <c r="C49" s="151">
        <f>[6]GtS!$H$67</f>
        <v>0</v>
      </c>
      <c r="D49" s="151">
        <f>[7]GtS!$H$71</f>
        <v>0</v>
      </c>
      <c r="E49" s="151">
        <f>[8]GtS!$H$71</f>
        <v>0</v>
      </c>
      <c r="F49" s="151" t="str">
        <f>[9]GtS!$H$71</f>
        <v xml:space="preserve">                                      -   </v>
      </c>
      <c r="G49" s="152">
        <f>[10]GtS!$H$71</f>
        <v>0</v>
      </c>
      <c r="H49" s="155" t="str">
        <f>IF('AW Schüler'!$C25=0,"x",C49/'AW Schüler'!$C25)</f>
        <v>x</v>
      </c>
      <c r="I49" s="155" t="str">
        <f>IF('AW Schüler'!$F25=0,"x",D49/'AW Schüler'!$F25)</f>
        <v>x</v>
      </c>
      <c r="J49" s="155" t="str">
        <f>IF('AW Schüler'!$I25=0,"x",E49/'AW Schüler'!$I25)</f>
        <v>x</v>
      </c>
      <c r="K49" s="155" t="str">
        <f>IF('AW Schüler'!$L25=0,"x",F49/'AW Schüler'!$L25)</f>
        <v>x</v>
      </c>
      <c r="L49" s="156" t="str">
        <f>IF('AW Schüler'!$O25=0,"x",G49/'AW Schüler'!$O25)</f>
        <v>x</v>
      </c>
    </row>
    <row r="50" spans="1:12" ht="9" customHeight="1">
      <c r="A50" s="21" t="s">
        <v>82</v>
      </c>
      <c r="B50" s="120"/>
      <c r="C50" s="23">
        <f>[11]GtS!$H$67</f>
        <v>378</v>
      </c>
      <c r="D50" s="23">
        <f>[12]GtS!$H$71</f>
        <v>1213</v>
      </c>
      <c r="E50" s="23">
        <f>[13]GtS!$H$71</f>
        <v>698</v>
      </c>
      <c r="F50" s="23">
        <f>[14]GtS!$H$71</f>
        <v>986</v>
      </c>
      <c r="G50" s="34">
        <f>[15]GtS!$H$71</f>
        <v>941</v>
      </c>
      <c r="H50" s="155">
        <f>IF('AW Schüler'!$C26=0,"x",C50/'AW Schüler'!$C26)</f>
        <v>0.12883435582822086</v>
      </c>
      <c r="I50" s="155">
        <f>IF('AW Schüler'!$F26=0,"x",D50/'AW Schüler'!$F26)</f>
        <v>0.37357560825377273</v>
      </c>
      <c r="J50" s="155">
        <f>IF('AW Schüler'!$I26=0,"x",E50/'AW Schüler'!$I26)</f>
        <v>0.20267131242740999</v>
      </c>
      <c r="K50" s="155">
        <f>IF('AW Schüler'!$L26=0,"x",F50/'AW Schüler'!$L26)</f>
        <v>0.28051209103840685</v>
      </c>
      <c r="L50" s="156">
        <f>IF('AW Schüler'!$O26=0,"x",G50/'AW Schüler'!$O26)</f>
        <v>0.25556762629005975</v>
      </c>
    </row>
    <row r="51" spans="1:12" ht="9" customHeight="1">
      <c r="A51" s="21" t="s">
        <v>83</v>
      </c>
      <c r="B51" s="120"/>
      <c r="C51" s="23">
        <f>[16]GtS!$H$67</f>
        <v>2080</v>
      </c>
      <c r="D51" s="23">
        <f>[17]GtS!$H$71</f>
        <v>2076</v>
      </c>
      <c r="E51" s="23">
        <f>[18]GtS!$H$71</f>
        <v>2196</v>
      </c>
      <c r="F51" s="23">
        <f>[19]GtS!$H$71</f>
        <v>2327</v>
      </c>
      <c r="G51" s="34">
        <f>[20]GtS!$H$71</f>
        <v>561</v>
      </c>
      <c r="H51" s="155">
        <f>IF('AW Schüler'!$C27=0,"x",C51/'AW Schüler'!$C27)</f>
        <v>0.83972547436415013</v>
      </c>
      <c r="I51" s="155">
        <f>IF('AW Schüler'!$F27=0,"x",D51/'AW Schüler'!$F27)</f>
        <v>0.78398791540785495</v>
      </c>
      <c r="J51" s="155">
        <f>IF('AW Schüler'!$I27=0,"x",E51/'AW Schüler'!$I27)</f>
        <v>0.77927608232789214</v>
      </c>
      <c r="K51" s="155">
        <f>IF('AW Schüler'!$L27=0,"x",F51/'AW Schüler'!$L27)</f>
        <v>0.78961655921275875</v>
      </c>
      <c r="L51" s="156">
        <f>IF('AW Schüler'!$O27=0,"x",G51/'AW Schüler'!$O27)</f>
        <v>0.18914362778152394</v>
      </c>
    </row>
    <row r="52" spans="1:12" ht="9" customHeight="1">
      <c r="A52" s="21" t="s">
        <v>84</v>
      </c>
      <c r="B52" s="120"/>
      <c r="C52" s="151">
        <f>[21]GtS!$H$68</f>
        <v>0</v>
      </c>
      <c r="D52" s="151">
        <f>[22]GtS!$H$68</f>
        <v>0</v>
      </c>
      <c r="E52" s="151">
        <f>[23]GtS!$H$68</f>
        <v>0</v>
      </c>
      <c r="F52" s="151">
        <f>[24]GtS!$H$68</f>
        <v>0</v>
      </c>
      <c r="G52" s="152">
        <f>[25]GtS!$H$68</f>
        <v>0</v>
      </c>
      <c r="H52" s="155" t="str">
        <f>IF('AW Schüler'!$C28=0,"x",C52/'AW Schüler'!$C28)</f>
        <v>x</v>
      </c>
      <c r="I52" s="155" t="str">
        <f>IF('AW Schüler'!$F28=0,"x",D52/'AW Schüler'!$F28)</f>
        <v>x</v>
      </c>
      <c r="J52" s="155" t="str">
        <f>IF('AW Schüler'!$I28=0,"x",E52/'AW Schüler'!$I28)</f>
        <v>x</v>
      </c>
      <c r="K52" s="155" t="str">
        <f>IF('AW Schüler'!$L28=0,"x",F52/'AW Schüler'!$L28)</f>
        <v>x</v>
      </c>
      <c r="L52" s="156" t="str">
        <f>IF('AW Schüler'!$O28=0,"x",G52/'AW Schüler'!$O28)</f>
        <v>x</v>
      </c>
    </row>
    <row r="53" spans="1:12" ht="9" customHeight="1">
      <c r="A53" s="21" t="s">
        <v>85</v>
      </c>
      <c r="B53" s="120"/>
      <c r="C53" s="151">
        <f>[26]GtS!$H$67</f>
        <v>0</v>
      </c>
      <c r="D53" s="151">
        <f>[27]GtS!$H$71</f>
        <v>0</v>
      </c>
      <c r="E53" s="151">
        <f>[28]GtS!$H$71</f>
        <v>0</v>
      </c>
      <c r="F53" s="151">
        <f>[29]GtS!$H$71</f>
        <v>64</v>
      </c>
      <c r="G53" s="152">
        <f>[30]GtS!$H$71</f>
        <v>68</v>
      </c>
      <c r="H53" s="155" t="str">
        <f>IF('AW Schüler'!$C29=0,"x",C53/'AW Schüler'!$C29)</f>
        <v>x</v>
      </c>
      <c r="I53" s="155">
        <f>IF('AW Schüler'!$F29=0,"x",D53/'AW Schüler'!$F29)</f>
        <v>0</v>
      </c>
      <c r="J53" s="155">
        <f>IF('AW Schüler'!$I29=0,"x",E53/'AW Schüler'!$I29)</f>
        <v>0</v>
      </c>
      <c r="K53" s="155">
        <f>IF('AW Schüler'!$L29=0,"x",F53/'AW Schüler'!$L29)</f>
        <v>1</v>
      </c>
      <c r="L53" s="156">
        <f>IF('AW Schüler'!$O29=0,"x",G53/'AW Schüler'!$O29)</f>
        <v>1</v>
      </c>
    </row>
    <row r="54" spans="1:12" ht="9" customHeight="1">
      <c r="A54" s="21" t="s">
        <v>86</v>
      </c>
      <c r="B54" s="120"/>
      <c r="C54" s="124">
        <f>[66]GtS!$H$67</f>
        <v>0</v>
      </c>
      <c r="D54" s="124">
        <f>[67]GtS!$H$71</f>
        <v>0</v>
      </c>
      <c r="E54" s="124">
        <f>[68]GtS!$H$71</f>
        <v>0</v>
      </c>
      <c r="F54" s="124">
        <f>[69]GtS!$H$71</f>
        <v>0</v>
      </c>
      <c r="G54" s="188">
        <f>[70]GtS!$H$71</f>
        <v>0</v>
      </c>
      <c r="H54" s="189">
        <f>IF('AW Schüler'!$C30=0,"x",C54/'AW Schüler'!$C30)</f>
        <v>0</v>
      </c>
      <c r="I54" s="189">
        <f>IF('AW Schüler'!$F30=0,"x",D54/'AW Schüler'!$F30)</f>
        <v>0</v>
      </c>
      <c r="J54" s="189">
        <f>IF('AW Schüler'!$I30=0,"x",E54/'AW Schüler'!$I30)</f>
        <v>0</v>
      </c>
      <c r="K54" s="189">
        <f>IF('AW Schüler'!$L30=0,"x",F54/'AW Schüler'!$L30)</f>
        <v>0</v>
      </c>
      <c r="L54" s="190">
        <f>IF('AW Schüler'!$O30=0,"x",G54/'AW Schüler'!$O30)</f>
        <v>0</v>
      </c>
    </row>
    <row r="55" spans="1:12" ht="9" customHeight="1">
      <c r="A55" s="21" t="s">
        <v>87</v>
      </c>
      <c r="B55" s="120"/>
      <c r="C55" s="151">
        <f>[31]GtS!$H$67</f>
        <v>0</v>
      </c>
      <c r="D55" s="151">
        <f>[32]GtS!$H$71</f>
        <v>0</v>
      </c>
      <c r="E55" s="151">
        <f>[33]GtS!$H$71</f>
        <v>0</v>
      </c>
      <c r="F55" s="151">
        <f>[34]GtS!$H$71</f>
        <v>0</v>
      </c>
      <c r="G55" s="152">
        <f>[35]GtS!$H$71</f>
        <v>0</v>
      </c>
      <c r="H55" s="155" t="str">
        <f>IF('AW Schüler'!$C31=0,"x",C55/'AW Schüler'!$C31)</f>
        <v>x</v>
      </c>
      <c r="I55" s="155" t="str">
        <f>IF('AW Schüler'!$F31=0,"x",D55/'AW Schüler'!$F31)</f>
        <v>x</v>
      </c>
      <c r="J55" s="155" t="str">
        <f>IF('AW Schüler'!$I31=0,"x",E55/'AW Schüler'!$I31)</f>
        <v>x</v>
      </c>
      <c r="K55" s="155" t="str">
        <f>IF('AW Schüler'!$L31=0,"x",F55/'AW Schüler'!$L31)</f>
        <v>x</v>
      </c>
      <c r="L55" s="156" t="str">
        <f>IF('AW Schüler'!$O31=0,"x",G55/'AW Schüler'!$O31)</f>
        <v>x</v>
      </c>
    </row>
    <row r="56" spans="1:12" ht="9" customHeight="1">
      <c r="A56" s="21" t="s">
        <v>88</v>
      </c>
      <c r="B56" s="120"/>
      <c r="C56" s="151">
        <f>[71]GtS!$H$67</f>
        <v>0</v>
      </c>
      <c r="D56" s="151">
        <f>[72]GtS!$H$71</f>
        <v>0</v>
      </c>
      <c r="E56" s="151">
        <f>[73]GtS!$H$71</f>
        <v>0</v>
      </c>
      <c r="F56" s="151">
        <f>[74]GtS!$H$71</f>
        <v>0</v>
      </c>
      <c r="G56" s="152">
        <f>[75]GtS!$H$71</f>
        <v>0</v>
      </c>
      <c r="H56" s="189" t="str">
        <f>IF('AW Schüler'!$C32=0,"x",C56/'AW Schüler'!$C32)</f>
        <v>x</v>
      </c>
      <c r="I56" s="189" t="str">
        <f>IF('AW Schüler'!$F32=0,"x",D56/'AW Schüler'!$F32)</f>
        <v>x</v>
      </c>
      <c r="J56" s="189" t="str">
        <f>IF('AW Schüler'!$I32=0,"x",E56/'AW Schüler'!$I32)</f>
        <v>x</v>
      </c>
      <c r="K56" s="189" t="str">
        <f>IF('AW Schüler'!$L32=0,"x",F56/'AW Schüler'!$L32)</f>
        <v>x</v>
      </c>
      <c r="L56" s="190" t="str">
        <f>IF('AW Schüler'!$O32=0,"x",G56/'AW Schüler'!$O32)</f>
        <v>x</v>
      </c>
    </row>
    <row r="57" spans="1:12" ht="9" customHeight="1">
      <c r="A57" s="21" t="s">
        <v>89</v>
      </c>
      <c r="B57" s="120"/>
      <c r="C57" s="151">
        <f>[36]GtS!$H$67</f>
        <v>0</v>
      </c>
      <c r="D57" s="151">
        <f>[37]GtS!$H$71</f>
        <v>0</v>
      </c>
      <c r="E57" s="151">
        <f>[38]GtS!$H$71</f>
        <v>0</v>
      </c>
      <c r="F57" s="151">
        <f>[39]GtS!$H$71</f>
        <v>0</v>
      </c>
      <c r="G57" s="152">
        <f>[40]GtS!$H$71</f>
        <v>0</v>
      </c>
      <c r="H57" s="155" t="str">
        <f>IF('AW Schüler'!$C33=0,"x",C57/'AW Schüler'!$C33)</f>
        <v>x</v>
      </c>
      <c r="I57" s="155" t="str">
        <f>IF('AW Schüler'!$F33=0,"x",D57/'AW Schüler'!$F33)</f>
        <v>x</v>
      </c>
      <c r="J57" s="155" t="str">
        <f>IF('AW Schüler'!$I33=0,"x",E57/'AW Schüler'!$I33)</f>
        <v>x</v>
      </c>
      <c r="K57" s="155" t="str">
        <f>IF('AW Schüler'!$L33=0,"x",F57/'AW Schüler'!$L33)</f>
        <v>x</v>
      </c>
      <c r="L57" s="156" t="str">
        <f>IF('AW Schüler'!$O33=0,"x",G57/'AW Schüler'!$O33)</f>
        <v>x</v>
      </c>
    </row>
    <row r="58" spans="1:12" ht="9" customHeight="1">
      <c r="A58" s="21" t="s">
        <v>90</v>
      </c>
      <c r="B58" s="120"/>
      <c r="C58" s="151">
        <f>[41]GtS!$H$67</f>
        <v>0</v>
      </c>
      <c r="D58" s="151">
        <f>[42]GtS!$H$71</f>
        <v>0</v>
      </c>
      <c r="E58" s="151">
        <f>[43]GtS!$H$71</f>
        <v>0</v>
      </c>
      <c r="F58" s="151">
        <f>[44]GtS!$H$71</f>
        <v>0</v>
      </c>
      <c r="G58" s="152">
        <f>[45]GtS!$H$71</f>
        <v>0</v>
      </c>
      <c r="H58" s="155" t="str">
        <f>IF('AW Schüler'!$C34=0,"x",C58/'AW Schüler'!$C34)</f>
        <v>x</v>
      </c>
      <c r="I58" s="155" t="str">
        <f>IF('AW Schüler'!$F34=0,"x",D58/'AW Schüler'!$F34)</f>
        <v>x</v>
      </c>
      <c r="J58" s="155" t="str">
        <f>IF('AW Schüler'!$I34=0,"x",E58/'AW Schüler'!$I34)</f>
        <v>x</v>
      </c>
      <c r="K58" s="155" t="str">
        <f>IF('AW Schüler'!$L34=0,"x",F58/'AW Schüler'!$L34)</f>
        <v>x</v>
      </c>
      <c r="L58" s="156" t="str">
        <f>IF('AW Schüler'!$O34=0,"x",G58/'AW Schüler'!$O34)</f>
        <v>x</v>
      </c>
    </row>
    <row r="59" spans="1:12" ht="9" customHeight="1">
      <c r="A59" s="21" t="s">
        <v>91</v>
      </c>
      <c r="B59" s="120"/>
      <c r="C59" s="151">
        <f>[46]GtS!$H$67</f>
        <v>0</v>
      </c>
      <c r="D59" s="151">
        <f>[47]GtS!$H$71</f>
        <v>0</v>
      </c>
      <c r="E59" s="151">
        <f>[48]GtS!$H$71</f>
        <v>0</v>
      </c>
      <c r="F59" s="151">
        <f>[49]GtS!$H$71</f>
        <v>0</v>
      </c>
      <c r="G59" s="152">
        <f>[50]GtS!$H$71</f>
        <v>0</v>
      </c>
      <c r="H59" s="155" t="str">
        <f>IF('AW Schüler'!$C35=0,"x",C59/'AW Schüler'!$C35)</f>
        <v>x</v>
      </c>
      <c r="I59" s="155" t="str">
        <f>IF('AW Schüler'!$F35=0,"x",D59/'AW Schüler'!$F35)</f>
        <v>x</v>
      </c>
      <c r="J59" s="155" t="str">
        <f>IF('AW Schüler'!$I35=0,"x",E59/'AW Schüler'!$I35)</f>
        <v>x</v>
      </c>
      <c r="K59" s="155" t="str">
        <f>IF('AW Schüler'!$L35=0,"x",F59/'AW Schüler'!$L35)</f>
        <v>x</v>
      </c>
      <c r="L59" s="156" t="str">
        <f>IF('AW Schüler'!$O35=0,"x",G59/'AW Schüler'!$O35)</f>
        <v>x</v>
      </c>
    </row>
    <row r="60" spans="1:12" ht="9" customHeight="1">
      <c r="A60" s="21" t="s">
        <v>92</v>
      </c>
      <c r="B60" s="120"/>
      <c r="C60" s="151">
        <f>[51]GtS!$H$67</f>
        <v>0</v>
      </c>
      <c r="D60" s="151">
        <f>[52]GtS!$H$71</f>
        <v>0</v>
      </c>
      <c r="E60" s="151">
        <f>[53]GtS!$H$71</f>
        <v>0</v>
      </c>
      <c r="F60" s="151">
        <f>[54]GtS!$H$71</f>
        <v>0</v>
      </c>
      <c r="G60" s="152">
        <f>[55]GtS!$H$71</f>
        <v>0</v>
      </c>
      <c r="H60" s="155" t="str">
        <f>IF('AW Schüler'!$C36=0,"x",C60/'AW Schüler'!$C36)</f>
        <v>x</v>
      </c>
      <c r="I60" s="155" t="str">
        <f>IF('AW Schüler'!$F36=0,"x",D60/'AW Schüler'!$F36)</f>
        <v>x</v>
      </c>
      <c r="J60" s="155" t="str">
        <f>IF('AW Schüler'!$I36=0,"x",E60/'AW Schüler'!$I36)</f>
        <v>x</v>
      </c>
      <c r="K60" s="155" t="str">
        <f>IF('AW Schüler'!$L36=0,"x",F60/'AW Schüler'!$L36)</f>
        <v>x</v>
      </c>
      <c r="L60" s="156" t="str">
        <f>IF('AW Schüler'!$O36=0,"x",G60/'AW Schüler'!$O36)</f>
        <v>x</v>
      </c>
    </row>
    <row r="61" spans="1:12" ht="9" customHeight="1">
      <c r="A61" s="21" t="s">
        <v>93</v>
      </c>
      <c r="B61" s="120"/>
      <c r="C61" s="151">
        <f>[76]GtS!$H$67</f>
        <v>0</v>
      </c>
      <c r="D61" s="151">
        <f>[77]GtS!$H$71</f>
        <v>0</v>
      </c>
      <c r="E61" s="151">
        <f>[78]GtS!$H$71</f>
        <v>0</v>
      </c>
      <c r="F61" s="151">
        <f>[79]GtS!$H$71</f>
        <v>0</v>
      </c>
      <c r="G61" s="152">
        <f>[80]GtS!$H$71</f>
        <v>0</v>
      </c>
      <c r="H61" s="189" t="str">
        <f>IF('AW Schüler'!$C37=0,"x",C61/'AW Schüler'!$C37)</f>
        <v>x</v>
      </c>
      <c r="I61" s="189" t="str">
        <f>IF('AW Schüler'!$F37=0,"x",D61/'AW Schüler'!$F37)</f>
        <v>x</v>
      </c>
      <c r="J61" s="189" t="str">
        <f>IF('AW Schüler'!$I37=0,"x",E61/'AW Schüler'!$I37)</f>
        <v>x</v>
      </c>
      <c r="K61" s="189" t="str">
        <f>IF('AW Schüler'!$L37=0,"x",F61/'AW Schüler'!$L37)</f>
        <v>x</v>
      </c>
      <c r="L61" s="190" t="str">
        <f>IF('AW Schüler'!$O37=0,"x",G61/'AW Schüler'!$O37)</f>
        <v>x</v>
      </c>
    </row>
    <row r="62" spans="1:12" ht="9" customHeight="1">
      <c r="A62" s="21" t="s">
        <v>94</v>
      </c>
      <c r="B62" s="120"/>
      <c r="C62" s="151">
        <f>[56]GtS!$H$67</f>
        <v>0</v>
      </c>
      <c r="D62" s="151">
        <f>[57]GtS!$H$71</f>
        <v>0</v>
      </c>
      <c r="E62" s="151">
        <f>[58]GtS!$H$71</f>
        <v>0</v>
      </c>
      <c r="F62" s="151">
        <f>[59]GtS!$H$71</f>
        <v>0</v>
      </c>
      <c r="G62" s="152">
        <f>[60]GtS!$H$71</f>
        <v>0</v>
      </c>
      <c r="H62" s="155" t="str">
        <f>IF('AW Schüler'!$C38=0,"x",C62/'AW Schüler'!$C38)</f>
        <v>x</v>
      </c>
      <c r="I62" s="155" t="str">
        <f>IF('AW Schüler'!$F38=0,"x",D62/'AW Schüler'!$F38)</f>
        <v>x</v>
      </c>
      <c r="J62" s="155" t="str">
        <f>IF('AW Schüler'!$I38=0,"x",E62/'AW Schüler'!$I38)</f>
        <v>x</v>
      </c>
      <c r="K62" s="155" t="str">
        <f>IF('AW Schüler'!$L38=0,"x",F62/'AW Schüler'!$L38)</f>
        <v>x</v>
      </c>
      <c r="L62" s="156" t="str">
        <f>IF('AW Schüler'!$O38=0,"x",G62/'AW Schüler'!$O38)</f>
        <v>x</v>
      </c>
    </row>
    <row r="63" spans="1:12" ht="9" customHeight="1">
      <c r="A63" s="21" t="s">
        <v>95</v>
      </c>
      <c r="B63" s="120"/>
      <c r="C63" s="151">
        <f>[61]GtS!$H$67</f>
        <v>0</v>
      </c>
      <c r="D63" s="151">
        <f>[62]GtS!$H$71</f>
        <v>0</v>
      </c>
      <c r="E63" s="151">
        <f>[63]GtS!$H$71</f>
        <v>0</v>
      </c>
      <c r="F63" s="151">
        <f>[64]GtS!$H$71</f>
        <v>0</v>
      </c>
      <c r="G63" s="152">
        <f>[65]GtS!$H$71</f>
        <v>0</v>
      </c>
      <c r="H63" s="155" t="str">
        <f>IF('AW Schüler'!$C39=0,"x",C63/'AW Schüler'!$C39)</f>
        <v>x</v>
      </c>
      <c r="I63" s="155" t="str">
        <f>IF('AW Schüler'!$F39=0,"x",D63/'AW Schüler'!$F39)</f>
        <v>x</v>
      </c>
      <c r="J63" s="155" t="str">
        <f>IF('AW Schüler'!$I39=0,"x",E63/'AW Schüler'!$I39)</f>
        <v>x</v>
      </c>
      <c r="K63" s="155" t="str">
        <f>IF('AW Schüler'!$L39=0,"x",F63/'AW Schüler'!$L39)</f>
        <v>x</v>
      </c>
      <c r="L63" s="156" t="str">
        <f>IF('AW Schüler'!$O39=0,"x",G63/'AW Schüler'!$O39)</f>
        <v>x</v>
      </c>
    </row>
    <row r="64" spans="1:12" ht="8.65" customHeight="1">
      <c r="A64" s="24" t="s">
        <v>96</v>
      </c>
      <c r="B64" s="121"/>
      <c r="C64" s="26">
        <f>SUM(C48:C63)</f>
        <v>2458</v>
      </c>
      <c r="D64" s="26">
        <f>SUM(D48:D63)</f>
        <v>3289</v>
      </c>
      <c r="E64" s="26">
        <f>SUM(E48:E63)</f>
        <v>2894</v>
      </c>
      <c r="F64" s="26">
        <f>SUM(F48:F63)</f>
        <v>3377</v>
      </c>
      <c r="G64" s="47">
        <f>SUM(G48:G63)</f>
        <v>1570</v>
      </c>
      <c r="H64" s="157">
        <f>IF('AW Schüler'!$C40=0,"x",C64/'AW Schüler'!$C40)</f>
        <v>0.45425984106449824</v>
      </c>
      <c r="I64" s="157">
        <f>IF('AW Schüler'!$F40=0,"x",D64/'AW Schüler'!$F40)</f>
        <v>0.55454392176698697</v>
      </c>
      <c r="J64" s="157">
        <f>IF('AW Schüler'!$I40=0,"x",E64/'AW Schüler'!$I40)</f>
        <v>0.45711577949770971</v>
      </c>
      <c r="K64" s="157">
        <f>IF('AW Schüler'!$L40=0,"x",F64/'AW Schüler'!$L40)</f>
        <v>0.51746858718970268</v>
      </c>
      <c r="L64" s="158">
        <f>IF('AW Schüler'!$O40=0,"x",G64/'AW Schüler'!$O40)</f>
        <v>0.23377010125074449</v>
      </c>
    </row>
    <row r="65" spans="1:12" ht="18.75" customHeight="1">
      <c r="A65" s="396" t="s">
        <v>312</v>
      </c>
      <c r="B65" s="396"/>
      <c r="C65" s="396"/>
      <c r="D65" s="396"/>
      <c r="E65" s="396"/>
      <c r="F65" s="396"/>
      <c r="G65" s="396"/>
      <c r="H65" s="396"/>
      <c r="I65" s="396"/>
      <c r="J65" s="396"/>
      <c r="K65" s="396"/>
      <c r="L65" s="396"/>
    </row>
    <row r="66" spans="1:12" ht="10.15" customHeight="1">
      <c r="A66" s="408" t="s">
        <v>297</v>
      </c>
      <c r="B66" s="408"/>
      <c r="C66" s="408"/>
      <c r="D66" s="408"/>
      <c r="E66" s="408"/>
      <c r="F66" s="408"/>
      <c r="G66" s="408"/>
      <c r="H66" s="408"/>
      <c r="I66" s="408"/>
      <c r="J66" s="258"/>
      <c r="K66" s="278"/>
      <c r="L66" s="278"/>
    </row>
    <row r="67" spans="1:12" ht="10.15" customHeight="1">
      <c r="A67" s="399" t="s">
        <v>169</v>
      </c>
      <c r="B67" s="399"/>
      <c r="C67" s="399"/>
      <c r="D67" s="399"/>
      <c r="E67" s="399"/>
      <c r="F67" s="399"/>
      <c r="G67" s="399"/>
      <c r="H67" s="399"/>
      <c r="I67" s="399"/>
      <c r="J67" s="257"/>
      <c r="K67" s="325"/>
      <c r="L67" s="350"/>
    </row>
    <row r="68" spans="1:12" ht="10.15" customHeight="1">
      <c r="A68" s="214"/>
    </row>
    <row r="83" spans="1:1" ht="10.5" customHeight="1"/>
    <row r="84" spans="1:1" ht="10.15" customHeight="1">
      <c r="A84" s="214"/>
    </row>
  </sheetData>
  <mergeCells count="9">
    <mergeCell ref="A1:L1"/>
    <mergeCell ref="A66:I66"/>
    <mergeCell ref="A67:I67"/>
    <mergeCell ref="C9:G9"/>
    <mergeCell ref="H9:L9"/>
    <mergeCell ref="A11:L11"/>
    <mergeCell ref="A29:L29"/>
    <mergeCell ref="A47:L47"/>
    <mergeCell ref="A65:L65"/>
  </mergeCells>
  <phoneticPr fontId="18" type="noConversion"/>
  <conditionalFormatting sqref="M25">
    <cfRule type="cellIs" dxfId="11"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M83"/>
  <sheetViews>
    <sheetView view="pageBreakPreview" topLeftCell="A44" zoomScale="175" zoomScaleNormal="55" zoomScaleSheetLayoutView="175" workbookViewId="0">
      <selection activeCell="N63" sqref="N63"/>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'3.3.3'!A1:F1+1</f>
        <v>60</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2.6" customHeight="1">
      <c r="A5" s="13" t="s">
        <v>63</v>
      </c>
      <c r="B5" s="39" t="s">
        <v>11</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1959</v>
      </c>
      <c r="D12" s="42">
        <f t="shared" ref="D12:E12" si="1">SUM(D30+D48)</f>
        <v>1378</v>
      </c>
      <c r="E12" s="42">
        <f t="shared" si="1"/>
        <v>1227</v>
      </c>
      <c r="F12" s="42">
        <f t="shared" ref="F12:G12" si="2">SUM(F30+F48)</f>
        <v>1307</v>
      </c>
      <c r="G12" s="44">
        <f t="shared" si="2"/>
        <v>1033</v>
      </c>
      <c r="H12" s="153">
        <f>IF('AW Schüler'!$C42=0,"x",C12/'AW Schüler'!$C42)</f>
        <v>0.38600985221674877</v>
      </c>
      <c r="I12" s="153">
        <f>IF('AW Schüler'!$F42=0,"x",D12/'AW Schüler'!$F42)</f>
        <v>0.29145516074450084</v>
      </c>
      <c r="J12" s="153">
        <f>IF('AW Schüler'!$I42=0,"x",E12/'AW Schüler'!$I42)</f>
        <v>0.27735081374321879</v>
      </c>
      <c r="K12" s="153">
        <f>IF('AW Schüler'!$L42=0,"x",F12/'AW Schüler'!$L42)</f>
        <v>0.31388088376560996</v>
      </c>
      <c r="L12" s="154">
        <f>IF('AW Schüler'!$O42=0,"x",G12/'AW Schüler'!$O42)</f>
        <v>0.26338602753697093</v>
      </c>
    </row>
    <row r="13" spans="1:13" ht="9" customHeight="1">
      <c r="A13" s="21" t="s">
        <v>81</v>
      </c>
      <c r="B13" s="120"/>
      <c r="C13" s="42">
        <f t="shared" si="0"/>
        <v>4784</v>
      </c>
      <c r="D13" s="42">
        <f t="shared" ref="D13:E13" si="3">SUM(D31+D49)</f>
        <v>5646</v>
      </c>
      <c r="E13" s="42">
        <f t="shared" si="3"/>
        <v>6156</v>
      </c>
      <c r="F13" s="42">
        <f t="shared" ref="F13:G13" si="4">SUM(F31+F49)</f>
        <v>6831</v>
      </c>
      <c r="G13" s="44">
        <f t="shared" si="4"/>
        <v>7494</v>
      </c>
      <c r="H13" s="153">
        <f>IF('AW Schüler'!$C43=0,"x",C13/'AW Schüler'!$C43)</f>
        <v>0.36936380481778874</v>
      </c>
      <c r="I13" s="153">
        <f>IF('AW Schüler'!$F43=0,"x",D13/'AW Schüler'!$F43)</f>
        <v>0.42919042189281642</v>
      </c>
      <c r="J13" s="153">
        <f>IF('AW Schüler'!$I43=0,"x",E13/'AW Schüler'!$I43)</f>
        <v>0.46043380703066566</v>
      </c>
      <c r="K13" s="153">
        <f>IF('AW Schüler'!$L43=0,"x",F13/'AW Schüler'!$L43)</f>
        <v>0.50021968365553604</v>
      </c>
      <c r="L13" s="154">
        <f>IF('AW Schüler'!$O43=0,"x",G13/'AW Schüler'!$O43)</f>
        <v>0.53643521832498209</v>
      </c>
    </row>
    <row r="14" spans="1:13" ht="9" customHeight="1">
      <c r="A14" s="21" t="s">
        <v>82</v>
      </c>
      <c r="B14" s="120"/>
      <c r="C14" s="149">
        <f t="shared" si="0"/>
        <v>0</v>
      </c>
      <c r="D14" s="149">
        <f t="shared" ref="D14:E14" si="5">SUM(D32+D50)</f>
        <v>0</v>
      </c>
      <c r="E14" s="149">
        <f t="shared" si="5"/>
        <v>0</v>
      </c>
      <c r="F14" s="149">
        <f t="shared" ref="F14:G14" si="6">SUM(F32+F50)</f>
        <v>0</v>
      </c>
      <c r="G14" s="150">
        <f t="shared" si="6"/>
        <v>0</v>
      </c>
      <c r="H14" s="198">
        <f>IF('AW Schüler'!$C44=0,"x",C14/'AW Schüler'!$C44)</f>
        <v>0</v>
      </c>
      <c r="I14" s="198">
        <f>IF('AW Schüler'!$F44=0,"x",D14/'AW Schüler'!$F44)</f>
        <v>0</v>
      </c>
      <c r="J14" s="198" t="str">
        <f>IF('AW Schüler'!$I44=0,"x",E14/'AW Schüler'!$I44)</f>
        <v>x</v>
      </c>
      <c r="K14" s="198" t="str">
        <f>IF('AW Schüler'!$L44=0,"x",F14/'AW Schüler'!$L44)</f>
        <v>x</v>
      </c>
      <c r="L14" s="199" t="str">
        <f>IF('AW Schüler'!$O44=0,"x",G14/'AW Schüler'!$O44)</f>
        <v>x</v>
      </c>
    </row>
    <row r="15" spans="1:13" ht="9" customHeight="1">
      <c r="A15" s="21" t="s">
        <v>83</v>
      </c>
      <c r="B15" s="120"/>
      <c r="C15" s="149">
        <f t="shared" si="0"/>
        <v>0</v>
      </c>
      <c r="D15" s="149">
        <f t="shared" ref="D15:E15" si="7">SUM(D33+D51)</f>
        <v>0</v>
      </c>
      <c r="E15" s="149">
        <f t="shared" si="7"/>
        <v>0</v>
      </c>
      <c r="F15" s="149">
        <f t="shared" ref="F15:G15" si="8">SUM(F33+F51)</f>
        <v>0</v>
      </c>
      <c r="G15" s="150">
        <f t="shared" si="8"/>
        <v>0</v>
      </c>
      <c r="H15" s="153" t="str">
        <f>IF('AW Schüler'!$C45=0,"x",C15/'AW Schüler'!$C45)</f>
        <v>x</v>
      </c>
      <c r="I15" s="153" t="str">
        <f>IF('AW Schüler'!$F45=0,"x",D15/'AW Schüler'!$F45)</f>
        <v>x</v>
      </c>
      <c r="J15" s="153" t="str">
        <f>IF('AW Schüler'!$I45=0,"x",E15/'AW Schüler'!$I45)</f>
        <v>x</v>
      </c>
      <c r="K15" s="153" t="str">
        <f>IF('AW Schüler'!$L45=0,"x",F15/'AW Schüler'!$L45)</f>
        <v>x</v>
      </c>
      <c r="L15" s="154" t="str">
        <f>IF('AW Schüler'!$O45=0,"x",G15/'AW Schüler'!$O45)</f>
        <v>x</v>
      </c>
    </row>
    <row r="16" spans="1:13" ht="9" customHeight="1">
      <c r="A16" s="21" t="s">
        <v>84</v>
      </c>
      <c r="B16" s="120"/>
      <c r="C16" s="149">
        <f t="shared" si="0"/>
        <v>0</v>
      </c>
      <c r="D16" s="149">
        <f t="shared" ref="D16:E16" si="9">SUM(D34+D52)</f>
        <v>0</v>
      </c>
      <c r="E16" s="149">
        <f t="shared" si="9"/>
        <v>0</v>
      </c>
      <c r="F16" s="149">
        <f t="shared" ref="F16:G16" si="10">SUM(F34+F52)</f>
        <v>0</v>
      </c>
      <c r="G16" s="150">
        <f t="shared" si="10"/>
        <v>0</v>
      </c>
      <c r="H16" s="153" t="str">
        <f>IF('AW Schüler'!$C46=0,"x",C16/'AW Schüler'!$C46)</f>
        <v>x</v>
      </c>
      <c r="I16" s="153" t="str">
        <f>IF('AW Schüler'!$F46=0,"x",D16/'AW Schüler'!$F46)</f>
        <v>x</v>
      </c>
      <c r="J16" s="153" t="str">
        <f>IF('AW Schüler'!$I46=0,"x",E16/'AW Schüler'!$I46)</f>
        <v>x</v>
      </c>
      <c r="K16" s="153" t="str">
        <f>IF('AW Schüler'!$L46=0,"x",F16/'AW Schüler'!$L46)</f>
        <v>x</v>
      </c>
      <c r="L16" s="154" t="str">
        <f>IF('AW Schüler'!$O46=0,"x",G16/'AW Schüler'!$O46)</f>
        <v>x</v>
      </c>
    </row>
    <row r="17" spans="1:12" ht="9" customHeight="1">
      <c r="A17" s="21" t="s">
        <v>85</v>
      </c>
      <c r="B17" s="120"/>
      <c r="C17" s="149">
        <f t="shared" si="0"/>
        <v>0</v>
      </c>
      <c r="D17" s="149">
        <f t="shared" ref="D17:E17" si="11">SUM(D35+D53)</f>
        <v>0</v>
      </c>
      <c r="E17" s="149">
        <f t="shared" si="11"/>
        <v>0</v>
      </c>
      <c r="F17" s="149">
        <f t="shared" ref="F17:G17" si="12">SUM(F35+F53)</f>
        <v>0</v>
      </c>
      <c r="G17" s="150">
        <f t="shared" si="12"/>
        <v>0</v>
      </c>
      <c r="H17" s="153" t="str">
        <f>IF('AW Schüler'!$C47=0,"x",C17/'AW Schüler'!$C47)</f>
        <v>x</v>
      </c>
      <c r="I17" s="153" t="str">
        <f>IF('AW Schüler'!$F47=0,"x",D17/'AW Schüler'!$F47)</f>
        <v>x</v>
      </c>
      <c r="J17" s="153" t="str">
        <f>IF('AW Schüler'!$I47=0,"x",E17/'AW Schüler'!$I47)</f>
        <v>x</v>
      </c>
      <c r="K17" s="153" t="str">
        <f>IF('AW Schüler'!$L47=0,"x",F17/'AW Schüler'!$L47)</f>
        <v>x</v>
      </c>
      <c r="L17" s="154" t="str">
        <f>IF('AW Schüler'!$O47=0,"x",G17/'AW Schüler'!$O47)</f>
        <v>x</v>
      </c>
    </row>
    <row r="18" spans="1:12" ht="9" customHeight="1">
      <c r="A18" s="21" t="s">
        <v>86</v>
      </c>
      <c r="B18" s="120"/>
      <c r="C18" s="184">
        <f t="shared" si="0"/>
        <v>0</v>
      </c>
      <c r="D18" s="184">
        <f t="shared" ref="D18:E18" si="13">SUM(D36+D54)</f>
        <v>0</v>
      </c>
      <c r="E18" s="184">
        <f t="shared" si="13"/>
        <v>0</v>
      </c>
      <c r="F18" s="184">
        <f t="shared" ref="F18:G18" si="14">SUM(F36+F54)</f>
        <v>0</v>
      </c>
      <c r="G18" s="185">
        <f t="shared" si="14"/>
        <v>0</v>
      </c>
      <c r="H18" s="186">
        <f>IF('AW Schüler'!$C48=0,"x",C18/'AW Schüler'!$C48)</f>
        <v>0</v>
      </c>
      <c r="I18" s="186">
        <f>IF('AW Schüler'!$F48=0,"x",D18/'AW Schüler'!$F48)</f>
        <v>0</v>
      </c>
      <c r="J18" s="186">
        <f>IF('AW Schüler'!$I48=0,"x",E18/'AW Schüler'!$I48)</f>
        <v>0</v>
      </c>
      <c r="K18" s="186">
        <f>IF('AW Schüler'!$L48=0,"x",F18/'AW Schüler'!$L48)</f>
        <v>0</v>
      </c>
      <c r="L18" s="187">
        <f>IF('AW Schüler'!$O48=0,"x",G18/'AW Schüler'!$O48)</f>
        <v>0</v>
      </c>
    </row>
    <row r="19" spans="1:12" ht="9" customHeight="1">
      <c r="A19" s="21" t="s">
        <v>87</v>
      </c>
      <c r="B19" s="120"/>
      <c r="C19" s="149">
        <f t="shared" si="0"/>
        <v>0</v>
      </c>
      <c r="D19" s="149">
        <f t="shared" ref="D19:E19" si="15">SUM(D37+D55)</f>
        <v>0</v>
      </c>
      <c r="E19" s="149">
        <f t="shared" si="15"/>
        <v>0</v>
      </c>
      <c r="F19" s="149">
        <f t="shared" ref="F19:G19" si="16">SUM(F37+F55)</f>
        <v>0</v>
      </c>
      <c r="G19" s="150">
        <f t="shared" si="16"/>
        <v>0</v>
      </c>
      <c r="H19" s="153" t="str">
        <f>IF('AW Schüler'!$C49=0,"x",C19/'AW Schüler'!$C49)</f>
        <v>x</v>
      </c>
      <c r="I19" s="153" t="str">
        <f>IF('AW Schüler'!$F49=0,"x",D19/'AW Schüler'!$F49)</f>
        <v>x</v>
      </c>
      <c r="J19" s="153" t="str">
        <f>IF('AW Schüler'!$I49=0,"x",E19/'AW Schüler'!$I49)</f>
        <v>x</v>
      </c>
      <c r="K19" s="153" t="str">
        <f>IF('AW Schüler'!$L49=0,"x",F19/'AW Schüler'!$L49)</f>
        <v>x</v>
      </c>
      <c r="L19" s="154" t="str">
        <f>IF('AW Schüler'!$O49=0,"x",G19/'AW Schüler'!$O49)</f>
        <v>x</v>
      </c>
    </row>
    <row r="20" spans="1:12" ht="9" customHeight="1">
      <c r="A20" s="21" t="s">
        <v>88</v>
      </c>
      <c r="B20" s="120"/>
      <c r="C20" s="184">
        <f t="shared" si="0"/>
        <v>0</v>
      </c>
      <c r="D20" s="184">
        <f t="shared" ref="D20:E20" si="17">SUM(D38+D56)</f>
        <v>0</v>
      </c>
      <c r="E20" s="184">
        <f t="shared" si="17"/>
        <v>0</v>
      </c>
      <c r="F20" s="184">
        <f t="shared" ref="F20:G20" si="18">SUM(F38+F56)</f>
        <v>0</v>
      </c>
      <c r="G20" s="185">
        <f t="shared" si="18"/>
        <v>0</v>
      </c>
      <c r="H20" s="186">
        <f>IF('AW Schüler'!$C50=0,"x",C20/'AW Schüler'!$C50)</f>
        <v>0</v>
      </c>
      <c r="I20" s="186">
        <f>IF('AW Schüler'!$F50=0,"x",D20/'AW Schüler'!$F50)</f>
        <v>0</v>
      </c>
      <c r="J20" s="186">
        <f>IF('AW Schüler'!$I50=0,"x",E20/'AW Schüler'!$I50)</f>
        <v>0</v>
      </c>
      <c r="K20" s="186">
        <f>IF('AW Schüler'!$L50=0,"x",F20/'AW Schüler'!$L50)</f>
        <v>0</v>
      </c>
      <c r="L20" s="187">
        <f>IF('AW Schüler'!$O50=0,"x",G20/'AW Schüler'!$O50)</f>
        <v>0</v>
      </c>
    </row>
    <row r="21" spans="1:12" ht="9" customHeight="1">
      <c r="A21" s="21" t="s">
        <v>89</v>
      </c>
      <c r="B21" s="120"/>
      <c r="C21" s="42">
        <f t="shared" si="0"/>
        <v>601</v>
      </c>
      <c r="D21" s="42">
        <f t="shared" ref="D21:E21" si="19">SUM(D39+D57)</f>
        <v>500</v>
      </c>
      <c r="E21" s="42">
        <f t="shared" si="19"/>
        <v>456</v>
      </c>
      <c r="F21" s="42">
        <f t="shared" ref="F21:G21" si="20">SUM(F39+F57)</f>
        <v>374</v>
      </c>
      <c r="G21" s="44">
        <f t="shared" si="20"/>
        <v>301</v>
      </c>
      <c r="H21" s="153">
        <f>IF('AW Schüler'!$C51=0,"x",C21/'AW Schüler'!$C51)</f>
        <v>0.33688340807174888</v>
      </c>
      <c r="I21" s="153">
        <f>IF('AW Schüler'!$F51=0,"x",D21/'AW Schüler'!$F51)</f>
        <v>0.27932960893854747</v>
      </c>
      <c r="J21" s="153">
        <f>IF('AW Schüler'!$I51=0,"x",E21/'AW Schüler'!$I51)</f>
        <v>0.26776277157956546</v>
      </c>
      <c r="K21" s="153">
        <f>IF('AW Schüler'!$L51=0,"x",F21/'AW Schüler'!$L51)</f>
        <v>0.23086419753086421</v>
      </c>
      <c r="L21" s="154">
        <f>IF('AW Schüler'!$O51=0,"x",G21/'AW Schüler'!$O51)</f>
        <v>0.19841793012524719</v>
      </c>
    </row>
    <row r="22" spans="1:12" ht="9" customHeight="1">
      <c r="A22" s="21" t="s">
        <v>90</v>
      </c>
      <c r="B22" s="120"/>
      <c r="C22" s="42">
        <f t="shared" si="0"/>
        <v>118</v>
      </c>
      <c r="D22" s="42">
        <f t="shared" ref="D22:E22" si="21">SUM(D40+D58)</f>
        <v>101</v>
      </c>
      <c r="E22" s="42">
        <f t="shared" si="21"/>
        <v>111</v>
      </c>
      <c r="F22" s="42">
        <f t="shared" ref="F22:G22" si="22">SUM(F40+F58)</f>
        <v>99</v>
      </c>
      <c r="G22" s="44">
        <f t="shared" si="22"/>
        <v>66</v>
      </c>
      <c r="H22" s="153">
        <f>IF('AW Schüler'!$C52=0,"x",C22/'AW Schüler'!$C52)</f>
        <v>0.20136518771331058</v>
      </c>
      <c r="I22" s="153">
        <f>IF('AW Schüler'!$F52=0,"x",D22/'AW Schüler'!$F52)</f>
        <v>0.18003565062388591</v>
      </c>
      <c r="J22" s="153">
        <f>IF('AW Schüler'!$I52=0,"x",E22/'AW Schüler'!$I52)</f>
        <v>0.23319327731092437</v>
      </c>
      <c r="K22" s="153">
        <f>IF('AW Schüler'!$L52=0,"x",F22/'AW Schüler'!$L52)</f>
        <v>0.22</v>
      </c>
      <c r="L22" s="154">
        <f>IF('AW Schüler'!$O52=0,"x",G22/'AW Schüler'!$O52)</f>
        <v>0.15</v>
      </c>
    </row>
    <row r="23" spans="1:12" ht="9" customHeight="1">
      <c r="A23" s="21" t="s">
        <v>91</v>
      </c>
      <c r="B23" s="120"/>
      <c r="C23" s="42">
        <f t="shared" si="0"/>
        <v>47</v>
      </c>
      <c r="D23" s="42">
        <f t="shared" ref="D23:E23" si="23">SUM(D41+D59)</f>
        <v>16</v>
      </c>
      <c r="E23" s="42">
        <f t="shared" si="23"/>
        <v>21</v>
      </c>
      <c r="F23" s="149">
        <f t="shared" ref="F23:G23" si="24">SUM(F41+F59)</f>
        <v>0</v>
      </c>
      <c r="G23" s="150">
        <f t="shared" si="24"/>
        <v>0</v>
      </c>
      <c r="H23" s="153">
        <f>IF('AW Schüler'!$C53=0,"x",C23/'AW Schüler'!$C53)</f>
        <v>0.17602996254681649</v>
      </c>
      <c r="I23" s="153">
        <f>IF('AW Schüler'!$F53=0,"x",D23/'AW Schüler'!$F53)</f>
        <v>6.1068702290076333E-2</v>
      </c>
      <c r="J23" s="153">
        <f>IF('AW Schüler'!$I53=0,"x",E23/'AW Schüler'!$I53)</f>
        <v>7.7490774907749083E-2</v>
      </c>
      <c r="K23" s="153" t="str">
        <f>IF('AW Schüler'!$L53=0,"x",F23/'AW Schüler'!$L53)</f>
        <v>x</v>
      </c>
      <c r="L23" s="154" t="str">
        <f>IF('AW Schüler'!$O53=0,"x",G23/'AW Schüler'!$O53)</f>
        <v>x</v>
      </c>
    </row>
    <row r="24" spans="1:12" ht="9" customHeight="1">
      <c r="A24" s="21" t="s">
        <v>92</v>
      </c>
      <c r="B24" s="120"/>
      <c r="C24" s="149">
        <f t="shared" si="0"/>
        <v>0</v>
      </c>
      <c r="D24" s="149">
        <f t="shared" ref="D24:E24" si="25">SUM(D42+D60)</f>
        <v>0</v>
      </c>
      <c r="E24" s="149">
        <f t="shared" si="25"/>
        <v>0</v>
      </c>
      <c r="F24" s="149">
        <f t="shared" ref="F24:G24" si="26">SUM(F42+F60)</f>
        <v>0</v>
      </c>
      <c r="G24" s="150">
        <f t="shared" si="26"/>
        <v>0</v>
      </c>
      <c r="H24" s="153" t="str">
        <f>IF('AW Schüler'!$C54=0,"x",C24/'AW Schüler'!$C54)</f>
        <v>x</v>
      </c>
      <c r="I24" s="153" t="str">
        <f>IF('AW Schüler'!$F54=0,"x",D24/'AW Schüler'!$F54)</f>
        <v>x</v>
      </c>
      <c r="J24" s="153" t="str">
        <f>IF('AW Schüler'!$I54=0,"x",E24/'AW Schüler'!$I54)</f>
        <v>x</v>
      </c>
      <c r="K24" s="153" t="str">
        <f>IF('AW Schüler'!$L54=0,"x",F24/'AW Schüler'!$L54)</f>
        <v>x</v>
      </c>
      <c r="L24" s="154" t="str">
        <f>IF('AW Schüler'!$O54=0,"x",G24/'AW Schüler'!$O54)</f>
        <v>x</v>
      </c>
    </row>
    <row r="25" spans="1:12" ht="9" customHeight="1">
      <c r="A25" s="21" t="s">
        <v>93</v>
      </c>
      <c r="B25" s="120"/>
      <c r="C25" s="184">
        <f t="shared" si="0"/>
        <v>0</v>
      </c>
      <c r="D25" s="184">
        <f t="shared" ref="D25:E25" si="27">SUM(D43+D61)</f>
        <v>0</v>
      </c>
      <c r="E25" s="184">
        <f t="shared" si="27"/>
        <v>0</v>
      </c>
      <c r="F25" s="184">
        <f t="shared" ref="F25:G25" si="28">SUM(F43+F61)</f>
        <v>0</v>
      </c>
      <c r="G25" s="185">
        <f t="shared" si="28"/>
        <v>0</v>
      </c>
      <c r="H25" s="186" t="str">
        <f>IF('AW Schüler'!$C55=0,".",C25/'AW Schüler'!$C55)</f>
        <v>.</v>
      </c>
      <c r="I25" s="186" t="str">
        <f>IF('AW Schüler'!$F55=0,".",D25/'AW Schüler'!$F55)</f>
        <v>.</v>
      </c>
      <c r="J25" s="186" t="str">
        <f>IF('AW Schüler'!$I55=0,".",E25/'AW Schüler'!$I55)</f>
        <v>.</v>
      </c>
      <c r="K25" s="186" t="str">
        <f>IF('AW Schüler'!$L55=0,".",F25/'AW Schüler'!$L55)</f>
        <v>.</v>
      </c>
      <c r="L25" s="187" t="str">
        <f>IF('AW Schüler'!$O55=0,".",G25/'AW Schüler'!$O55)</f>
        <v>.</v>
      </c>
    </row>
    <row r="26" spans="1:12" ht="9" customHeight="1">
      <c r="A26" s="21" t="s">
        <v>94</v>
      </c>
      <c r="B26" s="120"/>
      <c r="C26" s="149">
        <f t="shared" si="0"/>
        <v>0</v>
      </c>
      <c r="D26" s="149">
        <f t="shared" ref="D26:E26" si="29">SUM(D44+D62)</f>
        <v>0</v>
      </c>
      <c r="E26" s="149">
        <f t="shared" si="29"/>
        <v>0</v>
      </c>
      <c r="F26" s="149">
        <f t="shared" ref="F26:G26" si="30">SUM(F44+F62)</f>
        <v>0</v>
      </c>
      <c r="G26" s="150">
        <f t="shared" si="30"/>
        <v>0</v>
      </c>
      <c r="H26" s="153" t="str">
        <f>IF('AW Schüler'!$C56=0,"x",C26/'AW Schüler'!$C56)</f>
        <v>x</v>
      </c>
      <c r="I26" s="153" t="str">
        <f>IF('AW Schüler'!$F56=0,"x",D26/'AW Schüler'!$F56)</f>
        <v>x</v>
      </c>
      <c r="J26" s="153" t="str">
        <f>IF('AW Schüler'!$I56=0,"x",E26/'AW Schüler'!$I56)</f>
        <v>x</v>
      </c>
      <c r="K26" s="153" t="str">
        <f>IF('AW Schüler'!$L56=0,"x",F26/'AW Schüler'!$L56)</f>
        <v>x</v>
      </c>
      <c r="L26" s="154" t="str">
        <f>IF('AW Schüler'!$O56=0,"x",G26/'AW Schüler'!$O56)</f>
        <v>x</v>
      </c>
    </row>
    <row r="27" spans="1:12" ht="9" customHeight="1">
      <c r="A27" s="21" t="s">
        <v>95</v>
      </c>
      <c r="B27" s="120"/>
      <c r="C27" s="149">
        <f t="shared" si="0"/>
        <v>0</v>
      </c>
      <c r="D27" s="149">
        <f t="shared" ref="D27:E27" si="31">SUM(D45+D63)</f>
        <v>0</v>
      </c>
      <c r="E27" s="149">
        <f t="shared" si="31"/>
        <v>0</v>
      </c>
      <c r="F27" s="149">
        <f t="shared" ref="F27:G27" si="32">SUM(F45+F63)</f>
        <v>0</v>
      </c>
      <c r="G27" s="150">
        <f t="shared" si="32"/>
        <v>0</v>
      </c>
      <c r="H27" s="153" t="str">
        <f>IF('AW Schüler'!$C57=0,"x",C27/'AW Schüler'!$C57)</f>
        <v>x</v>
      </c>
      <c r="I27" s="153" t="str">
        <f>IF('AW Schüler'!$F57=0,"x",D27/'AW Schüler'!$F57)</f>
        <v>x</v>
      </c>
      <c r="J27" s="153" t="str">
        <f>IF('AW Schüler'!$I57=0,"x",E27/'AW Schüler'!$I57)</f>
        <v>x</v>
      </c>
      <c r="K27" s="153" t="str">
        <f>IF('AW Schüler'!$L57=0,"x",F27/'AW Schüler'!$L57)</f>
        <v>x</v>
      </c>
      <c r="L27" s="154" t="str">
        <f>IF('AW Schüler'!$O57=0,"x",G27/'AW Schüler'!$O57)</f>
        <v>x</v>
      </c>
    </row>
    <row r="28" spans="1:12" ht="9" customHeight="1">
      <c r="A28" s="21" t="s">
        <v>96</v>
      </c>
      <c r="B28" s="120"/>
      <c r="C28" s="42">
        <f t="shared" si="0"/>
        <v>7509</v>
      </c>
      <c r="D28" s="42">
        <f t="shared" ref="D28:E28" si="33">SUM(D46+D64)</f>
        <v>7641</v>
      </c>
      <c r="E28" s="42">
        <f t="shared" si="33"/>
        <v>7971</v>
      </c>
      <c r="F28" s="42">
        <f t="shared" ref="F28:G28" si="34">SUM(F46+F64)</f>
        <v>8611</v>
      </c>
      <c r="G28" s="44">
        <f t="shared" si="34"/>
        <v>8894</v>
      </c>
      <c r="H28" s="153">
        <f>IF('AW Schüler'!$C58=0,"x",C28/'AW Schüler'!$C58)</f>
        <v>0.36235101095401245</v>
      </c>
      <c r="I28" s="153">
        <f>IF('AW Schüler'!$F58=0,"x",D28/'AW Schüler'!$F58)</f>
        <v>0.37227771010962241</v>
      </c>
      <c r="J28" s="153">
        <f>IF('AW Schüler'!$I58=0,"x",E28/'AW Schüler'!$I58)</f>
        <v>0.39374629519857735</v>
      </c>
      <c r="K28" s="153">
        <f>IF('AW Schüler'!$L58=0,"x",F28/'AW Schüler'!$L58)</f>
        <v>0.4329311211664153</v>
      </c>
      <c r="L28" s="154">
        <f>IF('AW Schüler'!$O58=0,"x",G28/'AW Schüler'!$O58)</f>
        <v>0.44808302685273815</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[1]GtS!$E$68</f>
        <v>1888</v>
      </c>
      <c r="D30" s="23">
        <f>[2]GtS!$E$72</f>
        <v>1307</v>
      </c>
      <c r="E30" s="23">
        <f>[3]GtS!$E$72</f>
        <v>1155</v>
      </c>
      <c r="F30" s="23">
        <f>[4]GtS!$E$72</f>
        <v>1247</v>
      </c>
      <c r="G30" s="34">
        <f>[5]GtS!$E$72</f>
        <v>849</v>
      </c>
      <c r="H30" s="155">
        <f>IF('AW Schüler'!$C42=0,"x",C30/'AW Schüler'!$C42)</f>
        <v>0.37201970443349752</v>
      </c>
      <c r="I30" s="155">
        <f>IF('AW Schüler'!$F42=0,"x",D30/'AW Schüler'!$F42)</f>
        <v>0.27643824027072755</v>
      </c>
      <c r="J30" s="155">
        <f>IF('AW Schüler'!$I42=0,"x",E30/'AW Schüler'!$I42)</f>
        <v>0.26107594936708861</v>
      </c>
      <c r="K30" s="155">
        <f>IF('AW Schüler'!$L42=0,"x",F30/'AW Schüler'!$L42)</f>
        <v>0.2994716618635927</v>
      </c>
      <c r="L30" s="156">
        <f>IF('AW Schüler'!$O42=0,"x",G30/'AW Schüler'!$O42)</f>
        <v>0.21647118816930139</v>
      </c>
    </row>
    <row r="31" spans="1:12" ht="9" customHeight="1">
      <c r="A31" s="21" t="s">
        <v>81</v>
      </c>
      <c r="B31" s="120"/>
      <c r="C31" s="23">
        <f>[6]GtS!$E$68</f>
        <v>2305</v>
      </c>
      <c r="D31" s="23">
        <f>[7]GtS!$E$72</f>
        <v>2472</v>
      </c>
      <c r="E31" s="23">
        <f>[8]GtS!$E$72</f>
        <v>2660</v>
      </c>
      <c r="F31" s="23">
        <f>[9]GtS!$E$72</f>
        <v>2832</v>
      </c>
      <c r="G31" s="34">
        <f>[10]GtS!$E$72</f>
        <v>3098</v>
      </c>
      <c r="H31" s="155">
        <f>IF('AW Schüler'!$C43=0,"x",C31/'AW Schüler'!$C43)</f>
        <v>0.17796479308214946</v>
      </c>
      <c r="I31" s="155">
        <f>IF('AW Schüler'!$F43=0,"x",D31/'AW Schüler'!$F43)</f>
        <v>0.1879133409350057</v>
      </c>
      <c r="J31" s="155">
        <f>IF('AW Schüler'!$I43=0,"x",E31/'AW Schüler'!$I43)</f>
        <v>0.19895287958115182</v>
      </c>
      <c r="K31" s="155">
        <f>IF('AW Schüler'!$L43=0,"x",F31/'AW Schüler'!$L43)</f>
        <v>0.20738137082601055</v>
      </c>
      <c r="L31" s="156">
        <f>IF('AW Schüler'!$O43=0,"x",G31/'AW Schüler'!$O43)</f>
        <v>0.22176091624910524</v>
      </c>
    </row>
    <row r="32" spans="1:12" ht="9" customHeight="1">
      <c r="A32" s="21" t="s">
        <v>82</v>
      </c>
      <c r="B32" s="120"/>
      <c r="C32" s="151">
        <f>[11]GtS!$E$68</f>
        <v>0</v>
      </c>
      <c r="D32" s="151">
        <f>[12]GtS!$E$72</f>
        <v>0</v>
      </c>
      <c r="E32" s="151">
        <f>[13]GtS!$E$72</f>
        <v>0</v>
      </c>
      <c r="F32" s="151">
        <f>[14]GtS!$E$72</f>
        <v>0</v>
      </c>
      <c r="G32" s="152">
        <f>[15]GtS!$E$72</f>
        <v>0</v>
      </c>
      <c r="H32" s="193">
        <f>IF('AW Schüler'!$C44=0,"x",C32/'AW Schüler'!$C44)</f>
        <v>0</v>
      </c>
      <c r="I32" s="193">
        <f>IF('AW Schüler'!$F44=0,"x",D32/'AW Schüler'!$F44)</f>
        <v>0</v>
      </c>
      <c r="J32" s="193" t="str">
        <f>IF('AW Schüler'!$I44=0,"x",E32/'AW Schüler'!$I44)</f>
        <v>x</v>
      </c>
      <c r="K32" s="193" t="str">
        <f>IF('AW Schüler'!$L44=0,"x",F32/'AW Schüler'!$L44)</f>
        <v>x</v>
      </c>
      <c r="L32" s="194" t="str">
        <f>IF('AW Schüler'!$O44=0,"x",G32/'AW Schüler'!$O44)</f>
        <v>x</v>
      </c>
    </row>
    <row r="33" spans="1:12" ht="9" customHeight="1">
      <c r="A33" s="21" t="s">
        <v>83</v>
      </c>
      <c r="B33" s="120"/>
      <c r="C33" s="151">
        <f>[16]GtS!$E$68</f>
        <v>0</v>
      </c>
      <c r="D33" s="151">
        <f>[17]GtS!$E$72</f>
        <v>0</v>
      </c>
      <c r="E33" s="151">
        <f>[18]GtS!$E$72</f>
        <v>0</v>
      </c>
      <c r="F33" s="151">
        <f>[19]GtS!$E$72</f>
        <v>0</v>
      </c>
      <c r="G33" s="152">
        <f>[20]GtS!$E$72</f>
        <v>0</v>
      </c>
      <c r="H33" s="155" t="str">
        <f>IF('AW Schüler'!$C45=0,"x",C33/'AW Schüler'!$C45)</f>
        <v>x</v>
      </c>
      <c r="I33" s="155" t="str">
        <f>IF('AW Schüler'!$F45=0,"x",D33/'AW Schüler'!$F45)</f>
        <v>x</v>
      </c>
      <c r="J33" s="155" t="str">
        <f>IF('AW Schüler'!$I45=0,"x",E33/'AW Schüler'!$I45)</f>
        <v>x</v>
      </c>
      <c r="K33" s="155" t="str">
        <f>IF('AW Schüler'!$L45=0,"x",F33/'AW Schüler'!$L45)</f>
        <v>x</v>
      </c>
      <c r="L33" s="156" t="str">
        <f>IF('AW Schüler'!$O45=0,"x",G33/'AW Schüler'!$O45)</f>
        <v>x</v>
      </c>
    </row>
    <row r="34" spans="1:12" ht="9" customHeight="1">
      <c r="A34" s="21" t="s">
        <v>84</v>
      </c>
      <c r="B34" s="120"/>
      <c r="C34" s="151">
        <f>[21]GtS!$E$68</f>
        <v>0</v>
      </c>
      <c r="D34" s="151">
        <f>[22]GtS!$E$72</f>
        <v>0</v>
      </c>
      <c r="E34" s="151">
        <f>[23]GtS!$E$72</f>
        <v>0</v>
      </c>
      <c r="F34" s="151">
        <f>[24]GtS!$E$72</f>
        <v>0</v>
      </c>
      <c r="G34" s="152">
        <f>[25]GtS!$E$72</f>
        <v>0</v>
      </c>
      <c r="H34" s="155" t="str">
        <f>IF('AW Schüler'!$C46=0,"x",C34/'AW Schüler'!$C46)</f>
        <v>x</v>
      </c>
      <c r="I34" s="155" t="str">
        <f>IF('AW Schüler'!$F46=0,"x",D34/'AW Schüler'!$F46)</f>
        <v>x</v>
      </c>
      <c r="J34" s="155" t="str">
        <f>IF('AW Schüler'!$I46=0,"x",E34/'AW Schüler'!$I46)</f>
        <v>x</v>
      </c>
      <c r="K34" s="155" t="str">
        <f>IF('AW Schüler'!$L46=0,"x",F34/'AW Schüler'!$L46)</f>
        <v>x</v>
      </c>
      <c r="L34" s="156" t="str">
        <f>IF('AW Schüler'!$O46=0,"x",G34/'AW Schüler'!$O46)</f>
        <v>x</v>
      </c>
    </row>
    <row r="35" spans="1:12" ht="9" customHeight="1">
      <c r="A35" s="21" t="s">
        <v>85</v>
      </c>
      <c r="B35" s="120"/>
      <c r="C35" s="151">
        <f>[26]GtS!$E$68</f>
        <v>0</v>
      </c>
      <c r="D35" s="151">
        <f>[27]GtS!$E$72</f>
        <v>0</v>
      </c>
      <c r="E35" s="151">
        <f>[28]GtS!$E$72</f>
        <v>0</v>
      </c>
      <c r="F35" s="151">
        <f>[29]GtS!$E$72</f>
        <v>0</v>
      </c>
      <c r="G35" s="152">
        <f>[30]GtS!$E$72</f>
        <v>0</v>
      </c>
      <c r="H35" s="155" t="str">
        <f>IF('AW Schüler'!$C47=0,"x",C35/'AW Schüler'!$C47)</f>
        <v>x</v>
      </c>
      <c r="I35" s="155" t="str">
        <f>IF('AW Schüler'!$F47=0,"x",D35/'AW Schüler'!$F47)</f>
        <v>x</v>
      </c>
      <c r="J35" s="155" t="str">
        <f>IF('AW Schüler'!$I47=0,"x",E35/'AW Schüler'!$I47)</f>
        <v>x</v>
      </c>
      <c r="K35" s="155" t="str">
        <f>IF('AW Schüler'!$L47=0,"x",F35/'AW Schüler'!$L47)</f>
        <v>x</v>
      </c>
      <c r="L35" s="156" t="str">
        <f>IF('AW Schüler'!$O47=0,"x",G35/'AW Schüler'!$O47)</f>
        <v>x</v>
      </c>
    </row>
    <row r="36" spans="1:12" ht="9" customHeight="1">
      <c r="A36" s="21" t="s">
        <v>86</v>
      </c>
      <c r="B36" s="120"/>
      <c r="C36" s="124">
        <f>[66]GtS!$E$68</f>
        <v>0</v>
      </c>
      <c r="D36" s="124">
        <f>[67]GtS!$E$72</f>
        <v>0</v>
      </c>
      <c r="E36" s="124">
        <f>[68]GtS!$E$72</f>
        <v>0</v>
      </c>
      <c r="F36" s="124">
        <f>[69]GtS!$E$72</f>
        <v>0</v>
      </c>
      <c r="G36" s="188">
        <f>[70]GtS!$E$72</f>
        <v>0</v>
      </c>
      <c r="H36" s="189">
        <f>IF('AW Schüler'!$C48=0,"x",C36/'AW Schüler'!$C48)</f>
        <v>0</v>
      </c>
      <c r="I36" s="189">
        <f>IF('AW Schüler'!$F48=0,"x",D36/'AW Schüler'!$F48)</f>
        <v>0</v>
      </c>
      <c r="J36" s="189">
        <f>IF('AW Schüler'!$I48=0,"x",E36/'AW Schüler'!$I48)</f>
        <v>0</v>
      </c>
      <c r="K36" s="189">
        <f>IF('AW Schüler'!$L48=0,"x",F36/'AW Schüler'!$L48)</f>
        <v>0</v>
      </c>
      <c r="L36" s="190">
        <f>IF('AW Schüler'!$O48=0,"x",G36/'AW Schüler'!$O48)</f>
        <v>0</v>
      </c>
    </row>
    <row r="37" spans="1:12" ht="9" customHeight="1">
      <c r="A37" s="21" t="s">
        <v>87</v>
      </c>
      <c r="B37" s="120"/>
      <c r="C37" s="151">
        <f>[31]GtS!$E$68</f>
        <v>0</v>
      </c>
      <c r="D37" s="151">
        <f>[32]GtS!$E$72</f>
        <v>0</v>
      </c>
      <c r="E37" s="151">
        <f>[33]GtS!$E$72</f>
        <v>0</v>
      </c>
      <c r="F37" s="151">
        <f>[34]GtS!$E$72</f>
        <v>0</v>
      </c>
      <c r="G37" s="152">
        <f>[35]GtS!$E$72</f>
        <v>0</v>
      </c>
      <c r="H37" s="155" t="str">
        <f>IF('AW Schüler'!$C49=0,"x",C37/'AW Schüler'!$C49)</f>
        <v>x</v>
      </c>
      <c r="I37" s="155" t="str">
        <f>IF('AW Schüler'!$F49=0,"x",D37/'AW Schüler'!$F49)</f>
        <v>x</v>
      </c>
      <c r="J37" s="155" t="str">
        <f>IF('AW Schüler'!$I49=0,"x",E37/'AW Schüler'!$I49)</f>
        <v>x</v>
      </c>
      <c r="K37" s="155" t="str">
        <f>IF('AW Schüler'!$L49=0,"x",F37/'AW Schüler'!$L49)</f>
        <v>x</v>
      </c>
      <c r="L37" s="156" t="str">
        <f>IF('AW Schüler'!$O49=0,"x",G37/'AW Schüler'!$O49)</f>
        <v>x</v>
      </c>
    </row>
    <row r="38" spans="1:12" ht="9" customHeight="1">
      <c r="A38" s="21" t="s">
        <v>88</v>
      </c>
      <c r="B38" s="120"/>
      <c r="C38" s="124">
        <f>[71]GtS!$E$68</f>
        <v>0</v>
      </c>
      <c r="D38" s="124">
        <f>[72]GtS!$E$72</f>
        <v>0</v>
      </c>
      <c r="E38" s="124">
        <f>[73]GtS!$E$72</f>
        <v>0</v>
      </c>
      <c r="F38" s="124">
        <f>[74]GtS!$E$72</f>
        <v>0</v>
      </c>
      <c r="G38" s="188">
        <f>[75]GtS!$E$72</f>
        <v>0</v>
      </c>
      <c r="H38" s="189">
        <f>IF('AW Schüler'!$C50=0,"x",C38/'AW Schüler'!$C50)</f>
        <v>0</v>
      </c>
      <c r="I38" s="189">
        <f>IF('AW Schüler'!$F50=0,"x",D38/'AW Schüler'!$F50)</f>
        <v>0</v>
      </c>
      <c r="J38" s="189">
        <f>IF('AW Schüler'!$I50=0,"x",E38/'AW Schüler'!$I50)</f>
        <v>0</v>
      </c>
      <c r="K38" s="189">
        <f>IF('AW Schüler'!$L50=0,"x",F38/'AW Schüler'!$L50)</f>
        <v>0</v>
      </c>
      <c r="L38" s="190">
        <f>IF('AW Schüler'!$O50=0,"x",G38/'AW Schüler'!$O50)</f>
        <v>0</v>
      </c>
    </row>
    <row r="39" spans="1:12" ht="9" customHeight="1">
      <c r="A39" s="21" t="s">
        <v>89</v>
      </c>
      <c r="B39" s="120"/>
      <c r="C39" s="23">
        <f>[36]GtS!$E$68</f>
        <v>601</v>
      </c>
      <c r="D39" s="23">
        <f>[37]GtS!$E$72</f>
        <v>500</v>
      </c>
      <c r="E39" s="23">
        <f>[38]GtS!$E$72</f>
        <v>456</v>
      </c>
      <c r="F39" s="23">
        <f>[39]GtS!$E$72</f>
        <v>374</v>
      </c>
      <c r="G39" s="34">
        <f>[40]GtS!$E$72</f>
        <v>301</v>
      </c>
      <c r="H39" s="155">
        <f>IF('AW Schüler'!$C51=0,"x",C39/'AW Schüler'!$C51)</f>
        <v>0.33688340807174888</v>
      </c>
      <c r="I39" s="155">
        <f>IF('AW Schüler'!$F51=0,"x",D39/'AW Schüler'!$F51)</f>
        <v>0.27932960893854747</v>
      </c>
      <c r="J39" s="155">
        <f>IF('AW Schüler'!$I51=0,"x",E39/'AW Schüler'!$I51)</f>
        <v>0.26776277157956546</v>
      </c>
      <c r="K39" s="155">
        <f>IF('AW Schüler'!$L51=0,"x",F39/'AW Schüler'!$L51)</f>
        <v>0.23086419753086421</v>
      </c>
      <c r="L39" s="156">
        <f>IF('AW Schüler'!$O51=0,"x",G39/'AW Schüler'!$O51)</f>
        <v>0.19841793012524719</v>
      </c>
    </row>
    <row r="40" spans="1:12" ht="9" customHeight="1">
      <c r="A40" s="21" t="s">
        <v>90</v>
      </c>
      <c r="B40" s="120"/>
      <c r="C40" s="23">
        <f>[41]GtS!$E$68</f>
        <v>118</v>
      </c>
      <c r="D40" s="23">
        <f>[42]GtS!$E$72</f>
        <v>101</v>
      </c>
      <c r="E40" s="23">
        <f>[43]GtS!$E$72</f>
        <v>111</v>
      </c>
      <c r="F40" s="23">
        <f>[44]GtS!$E$72</f>
        <v>99</v>
      </c>
      <c r="G40" s="34">
        <f>[45]GtS!$E$72</f>
        <v>66</v>
      </c>
      <c r="H40" s="155">
        <f>IF('AW Schüler'!$C52=0,"x",C40/'AW Schüler'!$C52)</f>
        <v>0.20136518771331058</v>
      </c>
      <c r="I40" s="155">
        <f>IF('AW Schüler'!$F52=0,"x",D40/'AW Schüler'!$F52)</f>
        <v>0.18003565062388591</v>
      </c>
      <c r="J40" s="155">
        <f>IF('AW Schüler'!$I52=0,"x",E40/'AW Schüler'!$I52)</f>
        <v>0.23319327731092437</v>
      </c>
      <c r="K40" s="155">
        <f>IF('AW Schüler'!$L52=0,"x",F40/'AW Schüler'!$L52)</f>
        <v>0.22</v>
      </c>
      <c r="L40" s="156">
        <f>IF('AW Schüler'!$O52=0,"x",G40/'AW Schüler'!$O52)</f>
        <v>0.15</v>
      </c>
    </row>
    <row r="41" spans="1:12" ht="9" customHeight="1">
      <c r="A41" s="21" t="s">
        <v>91</v>
      </c>
      <c r="B41" s="120"/>
      <c r="C41" s="23">
        <f>[46]GtS!$E$68</f>
        <v>0</v>
      </c>
      <c r="D41" s="23">
        <f>[47]GtS!$E$72</f>
        <v>0</v>
      </c>
      <c r="E41" s="23">
        <f>[48]GtS!$E$72</f>
        <v>0</v>
      </c>
      <c r="F41" s="151">
        <f>[49]GtS!$E$72</f>
        <v>0</v>
      </c>
      <c r="G41" s="152">
        <f>[50]GtS!$E$72</f>
        <v>0</v>
      </c>
      <c r="H41" s="155">
        <f>IF('AW Schüler'!$C53=0,"x",C41/'AW Schüler'!$C53)</f>
        <v>0</v>
      </c>
      <c r="I41" s="155">
        <f>IF('AW Schüler'!$F53=0,"x",D41/'AW Schüler'!$F53)</f>
        <v>0</v>
      </c>
      <c r="J41" s="155">
        <f>IF('AW Schüler'!$I53=0,"x",E41/'AW Schüler'!$I53)</f>
        <v>0</v>
      </c>
      <c r="K41" s="155" t="str">
        <f>IF('AW Schüler'!$L53=0,"x",F41/'AW Schüler'!$L53)</f>
        <v>x</v>
      </c>
      <c r="L41" s="156" t="str">
        <f>IF('AW Schüler'!$O53=0,"x",G41/'AW Schüler'!$O53)</f>
        <v>x</v>
      </c>
    </row>
    <row r="42" spans="1:12" ht="9" customHeight="1">
      <c r="A42" s="21" t="s">
        <v>92</v>
      </c>
      <c r="B42" s="120"/>
      <c r="C42" s="151">
        <f>[51]GtS!$E$68</f>
        <v>0</v>
      </c>
      <c r="D42" s="151">
        <f>[52]GtS!$E$72</f>
        <v>0</v>
      </c>
      <c r="E42" s="151">
        <f>[53]GtS!$E$72</f>
        <v>0</v>
      </c>
      <c r="F42" s="151">
        <f>[54]GtS!$E$72</f>
        <v>0</v>
      </c>
      <c r="G42" s="152">
        <f>[55]GtS!$E$72</f>
        <v>0</v>
      </c>
      <c r="H42" s="155" t="str">
        <f>IF('AW Schüler'!$C54=0,"x",C42/'AW Schüler'!$C54)</f>
        <v>x</v>
      </c>
      <c r="I42" s="155" t="str">
        <f>IF('AW Schüler'!$F54=0,"x",D42/'AW Schüler'!$F54)</f>
        <v>x</v>
      </c>
      <c r="J42" s="155" t="str">
        <f>IF('AW Schüler'!$I54=0,"x",E42/'AW Schüler'!$I54)</f>
        <v>x</v>
      </c>
      <c r="K42" s="155" t="str">
        <f>IF('AW Schüler'!$L54=0,"x",F42/'AW Schüler'!$L54)</f>
        <v>x</v>
      </c>
      <c r="L42" s="156" t="str">
        <f>IF('AW Schüler'!$O54=0,"x",G42/'AW Schüler'!$O54)</f>
        <v>x</v>
      </c>
    </row>
    <row r="43" spans="1:12" ht="9" customHeight="1">
      <c r="A43" s="21" t="s">
        <v>93</v>
      </c>
      <c r="B43" s="120"/>
      <c r="C43" s="124">
        <f>[76]GtS!$E$68</f>
        <v>0</v>
      </c>
      <c r="D43" s="124">
        <f>[77]GtS!$E$72</f>
        <v>0</v>
      </c>
      <c r="E43" s="124">
        <f>[78]GtS!$E$72</f>
        <v>0</v>
      </c>
      <c r="F43" s="124">
        <f>[79]GtS!$E$72</f>
        <v>0</v>
      </c>
      <c r="G43" s="188">
        <f>[80]GtS!$E$72</f>
        <v>0</v>
      </c>
      <c r="H43" s="189" t="str">
        <f>IF('AW Schüler'!$C55=0,".",C43/'AW Schüler'!$C55)</f>
        <v>.</v>
      </c>
      <c r="I43" s="189" t="str">
        <f>IF('AW Schüler'!$F55=0,".",D43/'AW Schüler'!$F55)</f>
        <v>.</v>
      </c>
      <c r="J43" s="189" t="str">
        <f>IF('AW Schüler'!$I55=0,".",E43/'AW Schüler'!$I55)</f>
        <v>.</v>
      </c>
      <c r="K43" s="189" t="str">
        <f>IF('AW Schüler'!$L55=0,".",F43/'AW Schüler'!$L55)</f>
        <v>.</v>
      </c>
      <c r="L43" s="190" t="str">
        <f>IF('AW Schüler'!$O55=0,".",G43/'AW Schüler'!$O55)</f>
        <v>.</v>
      </c>
    </row>
    <row r="44" spans="1:12" ht="9" customHeight="1">
      <c r="A44" s="21" t="s">
        <v>94</v>
      </c>
      <c r="B44" s="120"/>
      <c r="C44" s="151">
        <f>[56]GtS!$E$68</f>
        <v>0</v>
      </c>
      <c r="D44" s="151">
        <f>[57]GtS!$E$72</f>
        <v>0</v>
      </c>
      <c r="E44" s="151">
        <f>[58]GtS!$E$72</f>
        <v>0</v>
      </c>
      <c r="F44" s="151">
        <f>[59]GtS!$E$72</f>
        <v>0</v>
      </c>
      <c r="G44" s="152">
        <f>[60]GtS!$E$72</f>
        <v>0</v>
      </c>
      <c r="H44" s="155" t="str">
        <f>IF('AW Schüler'!$C56=0,"x",C44/'AW Schüler'!$C56)</f>
        <v>x</v>
      </c>
      <c r="I44" s="155" t="str">
        <f>IF('AW Schüler'!$F56=0,"x",D44/'AW Schüler'!$F56)</f>
        <v>x</v>
      </c>
      <c r="J44" s="155" t="str">
        <f>IF('AW Schüler'!$I56=0,"x",E44/'AW Schüler'!$I56)</f>
        <v>x</v>
      </c>
      <c r="K44" s="155" t="str">
        <f>IF('AW Schüler'!$L56=0,"x",F44/'AW Schüler'!$L56)</f>
        <v>x</v>
      </c>
      <c r="L44" s="156" t="str">
        <f>IF('AW Schüler'!$O56=0,"x",G44/'AW Schüler'!$O56)</f>
        <v>x</v>
      </c>
    </row>
    <row r="45" spans="1:12" ht="9" customHeight="1">
      <c r="A45" s="21" t="s">
        <v>95</v>
      </c>
      <c r="B45" s="120"/>
      <c r="C45" s="151">
        <f>[61]GtS!$E$68</f>
        <v>0</v>
      </c>
      <c r="D45" s="151">
        <f>[62]GtS!$E$72</f>
        <v>0</v>
      </c>
      <c r="E45" s="151">
        <f>[63]GtS!$E$72</f>
        <v>0</v>
      </c>
      <c r="F45" s="151">
        <f>[64]GtS!$E$72</f>
        <v>0</v>
      </c>
      <c r="G45" s="152">
        <f>[65]GtS!$E$72</f>
        <v>0</v>
      </c>
      <c r="H45" s="155" t="str">
        <f>IF('AW Schüler'!$C57=0,"x",C45/'AW Schüler'!$C57)</f>
        <v>x</v>
      </c>
      <c r="I45" s="155" t="str">
        <f>IF('AW Schüler'!$F57=0,"x",D45/'AW Schüler'!$F57)</f>
        <v>x</v>
      </c>
      <c r="J45" s="155" t="str">
        <f>IF('AW Schüler'!$I57=0,"x",E45/'AW Schüler'!$I57)</f>
        <v>x</v>
      </c>
      <c r="K45" s="155" t="str">
        <f>IF('AW Schüler'!$L57=0,"x",F45/'AW Schüler'!$L57)</f>
        <v>x</v>
      </c>
      <c r="L45" s="156" t="str">
        <f>IF('AW Schüler'!$O57=0,"x",G45/'AW Schüler'!$O57)</f>
        <v>x</v>
      </c>
    </row>
    <row r="46" spans="1:12" ht="9" customHeight="1">
      <c r="A46" s="21" t="s">
        <v>96</v>
      </c>
      <c r="B46" s="120"/>
      <c r="C46" s="23">
        <f>SUM(C30:C45)</f>
        <v>4912</v>
      </c>
      <c r="D46" s="23">
        <f>SUM(D30:D45)</f>
        <v>4380</v>
      </c>
      <c r="E46" s="23">
        <f>SUM(E30:E45)</f>
        <v>4382</v>
      </c>
      <c r="F46" s="23">
        <f>SUM(F30:F45)</f>
        <v>4552</v>
      </c>
      <c r="G46" s="34">
        <f>SUM(G30:G45)</f>
        <v>4314</v>
      </c>
      <c r="H46" s="155">
        <f>IF('AW Schüler'!$C58=0,"x",C46/'AW Schüler'!$C58)</f>
        <v>0.23703131785938331</v>
      </c>
      <c r="I46" s="155">
        <f>IF('AW Schüler'!$F58=0,"x",D46/'AW Schüler'!$F58)</f>
        <v>0.21339829476248479</v>
      </c>
      <c r="J46" s="155">
        <f>IF('AW Schüler'!$I58=0,"x",E46/'AW Schüler'!$I58)</f>
        <v>0.21645919778699863</v>
      </c>
      <c r="K46" s="155">
        <f>IF('AW Schüler'!$L58=0,"x",F46/'AW Schüler'!$L58)</f>
        <v>0.22885872297637003</v>
      </c>
      <c r="L46" s="156">
        <f>IF('AW Schüler'!$O58=0,"x",G46/'AW Schüler'!$O58)</f>
        <v>0.21734092397601895</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[1]GtS!$H$68</f>
        <v>71</v>
      </c>
      <c r="D48" s="23">
        <f>[2]GtS!$H$72</f>
        <v>71</v>
      </c>
      <c r="E48" s="23">
        <f>[3]GtS!$H$72</f>
        <v>72</v>
      </c>
      <c r="F48" s="23">
        <f>[4]GtS!$H$72</f>
        <v>60</v>
      </c>
      <c r="G48" s="34">
        <f>[5]GtS!$H$72</f>
        <v>184</v>
      </c>
      <c r="H48" s="155">
        <f>IF('AW Schüler'!$C42=0,"x",C48/'AW Schüler'!$C42)</f>
        <v>1.3990147783251231E-2</v>
      </c>
      <c r="I48" s="155">
        <f>IF('AW Schüler'!$F42=0,"x",D48/'AW Schüler'!$F42)</f>
        <v>1.5016920473773265E-2</v>
      </c>
      <c r="J48" s="155">
        <f>IF('AW Schüler'!$I42=0,"x",E48/'AW Schüler'!$I42)</f>
        <v>1.62748643761302E-2</v>
      </c>
      <c r="K48" s="155">
        <f>IF('AW Schüler'!$L42=0,"x",F48/'AW Schüler'!$L42)</f>
        <v>1.4409221902017291E-2</v>
      </c>
      <c r="L48" s="156">
        <f>IF('AW Schüler'!$O42=0,"x",G48/'AW Schüler'!$O42)</f>
        <v>4.6914839367669554E-2</v>
      </c>
    </row>
    <row r="49" spans="1:12" ht="9" customHeight="1">
      <c r="A49" s="21" t="s">
        <v>81</v>
      </c>
      <c r="B49" s="120"/>
      <c r="C49" s="23">
        <f>[6]GtS!$H$68</f>
        <v>2479</v>
      </c>
      <c r="D49" s="23">
        <f>[7]GtS!$H$72</f>
        <v>3174</v>
      </c>
      <c r="E49" s="23">
        <f>[8]GtS!$H$72</f>
        <v>3496</v>
      </c>
      <c r="F49" s="23">
        <f>[9]GtS!$H$72</f>
        <v>3999</v>
      </c>
      <c r="G49" s="34">
        <f>[10]GtS!$H$72</f>
        <v>4396</v>
      </c>
      <c r="H49" s="155">
        <f>IF('AW Schüler'!$C43=0,"x",C49/'AW Schüler'!$C43)</f>
        <v>0.19139901173563928</v>
      </c>
      <c r="I49" s="155">
        <f>IF('AW Schüler'!$F43=0,"x",D49/'AW Schüler'!$F43)</f>
        <v>0.24127708095781072</v>
      </c>
      <c r="J49" s="155">
        <f>IF('AW Schüler'!$I43=0,"x",E49/'AW Schüler'!$I43)</f>
        <v>0.26148092744951384</v>
      </c>
      <c r="K49" s="155">
        <f>IF('AW Schüler'!$L43=0,"x",F49/'AW Schüler'!$L43)</f>
        <v>0.29283831282952549</v>
      </c>
      <c r="L49" s="156">
        <f>IF('AW Schüler'!$O43=0,"x",G49/'AW Schüler'!$O43)</f>
        <v>0.31467430207587688</v>
      </c>
    </row>
    <row r="50" spans="1:12" ht="9" customHeight="1">
      <c r="A50" s="21" t="s">
        <v>82</v>
      </c>
      <c r="B50" s="120"/>
      <c r="C50" s="151">
        <f>[11]GtS!$H$68</f>
        <v>0</v>
      </c>
      <c r="D50" s="151">
        <f>[12]GtS!$H$72</f>
        <v>0</v>
      </c>
      <c r="E50" s="151">
        <f>[13]GtS!$H$72</f>
        <v>0</v>
      </c>
      <c r="F50" s="151">
        <f>[14]GtS!$H$72</f>
        <v>0</v>
      </c>
      <c r="G50" s="152">
        <f>[15]GtS!$H$72</f>
        <v>0</v>
      </c>
      <c r="H50" s="193">
        <f>IF('AW Schüler'!$C44=0,"x",C50/'AW Schüler'!$C44)</f>
        <v>0</v>
      </c>
      <c r="I50" s="193">
        <f>IF('AW Schüler'!$F44=0,"x",D50/'AW Schüler'!$F44)</f>
        <v>0</v>
      </c>
      <c r="J50" s="193" t="str">
        <f>IF('AW Schüler'!$I44=0,"x",E50/'AW Schüler'!$I44)</f>
        <v>x</v>
      </c>
      <c r="K50" s="193" t="str">
        <f>IF('AW Schüler'!$L44=0,"x",F50/'AW Schüler'!$L44)</f>
        <v>x</v>
      </c>
      <c r="L50" s="194" t="str">
        <f>IF('AW Schüler'!$O44=0,"x",G50/'AW Schüler'!$O44)</f>
        <v>x</v>
      </c>
    </row>
    <row r="51" spans="1:12" ht="9" customHeight="1">
      <c r="A51" s="21" t="s">
        <v>83</v>
      </c>
      <c r="B51" s="120"/>
      <c r="C51" s="151">
        <f>[16]GtS!$H$68</f>
        <v>0</v>
      </c>
      <c r="D51" s="151">
        <f>[17]GtS!$H$72</f>
        <v>0</v>
      </c>
      <c r="E51" s="151">
        <f>[18]GtS!$H$72</f>
        <v>0</v>
      </c>
      <c r="F51" s="151">
        <f>[19]GtS!$H$72</f>
        <v>0</v>
      </c>
      <c r="G51" s="152">
        <f>[20]GtS!$H$72</f>
        <v>0</v>
      </c>
      <c r="H51" s="155" t="str">
        <f>IF('AW Schüler'!$C45=0,"x",C51/'AW Schüler'!$C45)</f>
        <v>x</v>
      </c>
      <c r="I51" s="155" t="str">
        <f>IF('AW Schüler'!$F45=0,"x",D51/'AW Schüler'!$F45)</f>
        <v>x</v>
      </c>
      <c r="J51" s="155" t="str">
        <f>IF('AW Schüler'!$I45=0,"x",E51/'AW Schüler'!$I45)</f>
        <v>x</v>
      </c>
      <c r="K51" s="155" t="str">
        <f>IF('AW Schüler'!$L45=0,"x",F51/'AW Schüler'!$L45)</f>
        <v>x</v>
      </c>
      <c r="L51" s="156" t="str">
        <f>IF('AW Schüler'!$O45=0,"x",G51/'AW Schüler'!$O45)</f>
        <v>x</v>
      </c>
    </row>
    <row r="52" spans="1:12" ht="9" customHeight="1">
      <c r="A52" s="21" t="s">
        <v>84</v>
      </c>
      <c r="B52" s="120"/>
      <c r="C52" s="151">
        <f>[21]GtS!$H$68</f>
        <v>0</v>
      </c>
      <c r="D52" s="151">
        <f>[22]GtS!$H$72</f>
        <v>0</v>
      </c>
      <c r="E52" s="151">
        <f>[23]GtS!$H$72</f>
        <v>0</v>
      </c>
      <c r="F52" s="151">
        <f>[24]GtS!$H$72</f>
        <v>0</v>
      </c>
      <c r="G52" s="152">
        <f>[25]GtS!$H$72</f>
        <v>0</v>
      </c>
      <c r="H52" s="155" t="str">
        <f>IF('AW Schüler'!$C46=0,"x",C52/'AW Schüler'!$C46)</f>
        <v>x</v>
      </c>
      <c r="I52" s="155" t="str">
        <f>IF('AW Schüler'!$F46=0,"x",D52/'AW Schüler'!$F46)</f>
        <v>x</v>
      </c>
      <c r="J52" s="155" t="str">
        <f>IF('AW Schüler'!$I46=0,"x",E52/'AW Schüler'!$I46)</f>
        <v>x</v>
      </c>
      <c r="K52" s="155" t="str">
        <f>IF('AW Schüler'!$L46=0,"x",F52/'AW Schüler'!$L46)</f>
        <v>x</v>
      </c>
      <c r="L52" s="156" t="str">
        <f>IF('AW Schüler'!$O46=0,"x",G52/'AW Schüler'!$O46)</f>
        <v>x</v>
      </c>
    </row>
    <row r="53" spans="1:12" ht="9" customHeight="1">
      <c r="A53" s="21" t="s">
        <v>85</v>
      </c>
      <c r="B53" s="120"/>
      <c r="C53" s="151">
        <f>[26]GtS!$H$68</f>
        <v>0</v>
      </c>
      <c r="D53" s="151">
        <f>[27]GtS!$H$72</f>
        <v>0</v>
      </c>
      <c r="E53" s="151">
        <f>[28]GtS!$H$72</f>
        <v>0</v>
      </c>
      <c r="F53" s="151">
        <f>[29]GtS!$H$72</f>
        <v>0</v>
      </c>
      <c r="G53" s="152">
        <f>[30]GtS!$H$72</f>
        <v>0</v>
      </c>
      <c r="H53" s="155" t="str">
        <f>IF('AW Schüler'!$C47=0,"x",C53/'AW Schüler'!$C47)</f>
        <v>x</v>
      </c>
      <c r="I53" s="155" t="str">
        <f>IF('AW Schüler'!$F47=0,"x",D53/'AW Schüler'!$F47)</f>
        <v>x</v>
      </c>
      <c r="J53" s="155" t="str">
        <f>IF('AW Schüler'!$I47=0,"x",E53/'AW Schüler'!$I47)</f>
        <v>x</v>
      </c>
      <c r="K53" s="155" t="str">
        <f>IF('AW Schüler'!$L47=0,"x",F53/'AW Schüler'!$L47)</f>
        <v>x</v>
      </c>
      <c r="L53" s="156" t="str">
        <f>IF('AW Schüler'!$O47=0,"x",G53/'AW Schüler'!$O47)</f>
        <v>x</v>
      </c>
    </row>
    <row r="54" spans="1:12" ht="9" customHeight="1">
      <c r="A54" s="21" t="s">
        <v>86</v>
      </c>
      <c r="B54" s="120"/>
      <c r="C54" s="124">
        <f>[66]GtS!$H$68</f>
        <v>0</v>
      </c>
      <c r="D54" s="124">
        <f>[67]GtS!$H$72</f>
        <v>0</v>
      </c>
      <c r="E54" s="124">
        <f>[68]GtS!$H$72</f>
        <v>0</v>
      </c>
      <c r="F54" s="124">
        <f>[69]GtS!$H$72</f>
        <v>0</v>
      </c>
      <c r="G54" s="188">
        <f>[70]GtS!$H$72</f>
        <v>0</v>
      </c>
      <c r="H54" s="189">
        <f>IF('AW Schüler'!$C48=0,"x",C54/'AW Schüler'!$C48)</f>
        <v>0</v>
      </c>
      <c r="I54" s="189">
        <f>IF('AW Schüler'!$F48=0,"x",D54/'AW Schüler'!$F48)</f>
        <v>0</v>
      </c>
      <c r="J54" s="189">
        <f>IF('AW Schüler'!$I48=0,"x",E54/'AW Schüler'!$I48)</f>
        <v>0</v>
      </c>
      <c r="K54" s="189">
        <f>IF('AW Schüler'!$L48=0,"x",F54/'AW Schüler'!$L48)</f>
        <v>0</v>
      </c>
      <c r="L54" s="190">
        <f>IF('AW Schüler'!$O48=0,"x",G54/'AW Schüler'!$O48)</f>
        <v>0</v>
      </c>
    </row>
    <row r="55" spans="1:12" ht="9" customHeight="1">
      <c r="A55" s="21" t="s">
        <v>87</v>
      </c>
      <c r="B55" s="120"/>
      <c r="C55" s="151">
        <f>[31]GtS!$H$68</f>
        <v>0</v>
      </c>
      <c r="D55" s="151">
        <f>[32]GtS!$H$72</f>
        <v>0</v>
      </c>
      <c r="E55" s="151">
        <f>[33]GtS!$H$72</f>
        <v>0</v>
      </c>
      <c r="F55" s="151">
        <f>[34]GtS!$H$72</f>
        <v>0</v>
      </c>
      <c r="G55" s="152">
        <f>[35]GtS!$H$72</f>
        <v>0</v>
      </c>
      <c r="H55" s="155" t="str">
        <f>IF('AW Schüler'!$C49=0,"x",C55/'AW Schüler'!$C49)</f>
        <v>x</v>
      </c>
      <c r="I55" s="155" t="str">
        <f>IF('AW Schüler'!$F49=0,"x",D55/'AW Schüler'!$F49)</f>
        <v>x</v>
      </c>
      <c r="J55" s="155" t="str">
        <f>IF('AW Schüler'!$I49=0,"x",E55/'AW Schüler'!$I49)</f>
        <v>x</v>
      </c>
      <c r="K55" s="155" t="str">
        <f>IF('AW Schüler'!$L49=0,"x",F55/'AW Schüler'!$L49)</f>
        <v>x</v>
      </c>
      <c r="L55" s="156" t="str">
        <f>IF('AW Schüler'!$O49=0,"x",G55/'AW Schüler'!$O49)</f>
        <v>x</v>
      </c>
    </row>
    <row r="56" spans="1:12" ht="9" customHeight="1">
      <c r="A56" s="21" t="s">
        <v>88</v>
      </c>
      <c r="B56" s="120"/>
      <c r="C56" s="124">
        <f>[71]GtS!$H$68</f>
        <v>0</v>
      </c>
      <c r="D56" s="124">
        <f>[72]GtS!$H$72</f>
        <v>0</v>
      </c>
      <c r="E56" s="124">
        <f>[73]GtS!$H$72</f>
        <v>0</v>
      </c>
      <c r="F56" s="124">
        <f>[74]GtS!$H$72</f>
        <v>0</v>
      </c>
      <c r="G56" s="188">
        <f>[75]GtS!$H$72</f>
        <v>0</v>
      </c>
      <c r="H56" s="189">
        <f>IF('AW Schüler'!$C50=0,"x",C56/'AW Schüler'!$C50)</f>
        <v>0</v>
      </c>
      <c r="I56" s="189">
        <f>IF('AW Schüler'!$F50=0,"x",D56/'AW Schüler'!$F50)</f>
        <v>0</v>
      </c>
      <c r="J56" s="189">
        <f>IF('AW Schüler'!$I50=0,"x",E56/'AW Schüler'!$I50)</f>
        <v>0</v>
      </c>
      <c r="K56" s="189">
        <f>IF('AW Schüler'!$L50=0,"x",F56/'AW Schüler'!$L50)</f>
        <v>0</v>
      </c>
      <c r="L56" s="190">
        <f>IF('AW Schüler'!$O50=0,"x",G56/'AW Schüler'!$O50)</f>
        <v>0</v>
      </c>
    </row>
    <row r="57" spans="1:12" ht="9" customHeight="1">
      <c r="A57" s="21" t="s">
        <v>89</v>
      </c>
      <c r="B57" s="120"/>
      <c r="C57" s="23">
        <f>[36]GtS!$H$68</f>
        <v>0</v>
      </c>
      <c r="D57" s="23">
        <f>[37]GtS!$H$72</f>
        <v>0</v>
      </c>
      <c r="E57" s="23">
        <f>[38]GtS!$H$72</f>
        <v>0</v>
      </c>
      <c r="F57" s="23">
        <f>[39]GtS!$H$72</f>
        <v>0</v>
      </c>
      <c r="G57" s="34">
        <f>[40]GtS!$H$72</f>
        <v>0</v>
      </c>
      <c r="H57" s="155">
        <f>IF('AW Schüler'!$C51=0,"x",C57/'AW Schüler'!$C51)</f>
        <v>0</v>
      </c>
      <c r="I57" s="155">
        <f>IF('AW Schüler'!$F51=0,"x",D57/'AW Schüler'!$F51)</f>
        <v>0</v>
      </c>
      <c r="J57" s="155">
        <f>IF('AW Schüler'!$I51=0,"x",E57/'AW Schüler'!$I51)</f>
        <v>0</v>
      </c>
      <c r="K57" s="155">
        <f>IF('AW Schüler'!$L51=0,"x",F57/'AW Schüler'!$L51)</f>
        <v>0</v>
      </c>
      <c r="L57" s="156">
        <f>IF('AW Schüler'!$O51=0,"x",G57/'AW Schüler'!$O51)</f>
        <v>0</v>
      </c>
    </row>
    <row r="58" spans="1:12" ht="9" customHeight="1">
      <c r="A58" s="21" t="s">
        <v>90</v>
      </c>
      <c r="B58" s="120"/>
      <c r="C58" s="23">
        <f>[41]GtS!$H$68</f>
        <v>0</v>
      </c>
      <c r="D58" s="23">
        <f>[42]GtS!$H$72</f>
        <v>0</v>
      </c>
      <c r="E58" s="23">
        <f>[43]GtS!$H$72</f>
        <v>0</v>
      </c>
      <c r="F58" s="23">
        <f>[44]GtS!$H$72</f>
        <v>0</v>
      </c>
      <c r="G58" s="34">
        <f>[45]GtS!$H$72</f>
        <v>0</v>
      </c>
      <c r="H58" s="155">
        <f>IF('AW Schüler'!$C52=0,"x",C58/'AW Schüler'!$C52)</f>
        <v>0</v>
      </c>
      <c r="I58" s="155">
        <f>IF('AW Schüler'!$F52=0,"x",D58/'AW Schüler'!$F52)</f>
        <v>0</v>
      </c>
      <c r="J58" s="155">
        <f>IF('AW Schüler'!$I52=0,"x",E58/'AW Schüler'!$I52)</f>
        <v>0</v>
      </c>
      <c r="K58" s="155">
        <f>IF('AW Schüler'!$L52=0,"x",F58/'AW Schüler'!$L52)</f>
        <v>0</v>
      </c>
      <c r="L58" s="156">
        <f>IF('AW Schüler'!$O52=0,"x",G58/'AW Schüler'!$O52)</f>
        <v>0</v>
      </c>
    </row>
    <row r="59" spans="1:12" ht="9" customHeight="1">
      <c r="A59" s="21" t="s">
        <v>91</v>
      </c>
      <c r="B59" s="120"/>
      <c r="C59" s="23">
        <f>[46]GtS!$H$68</f>
        <v>47</v>
      </c>
      <c r="D59" s="23">
        <f>[47]GtS!$H$72</f>
        <v>16</v>
      </c>
      <c r="E59" s="23">
        <f>[48]GtS!$H$72</f>
        <v>21</v>
      </c>
      <c r="F59" s="151">
        <f>[49]GtS!$H$72</f>
        <v>0</v>
      </c>
      <c r="G59" s="152">
        <f>[50]GtS!$H$72</f>
        <v>0</v>
      </c>
      <c r="H59" s="155">
        <f>IF('AW Schüler'!$C53=0,"x",C59/'AW Schüler'!$C53)</f>
        <v>0.17602996254681649</v>
      </c>
      <c r="I59" s="155">
        <f>IF('AW Schüler'!$F53=0,"x",D59/'AW Schüler'!$F53)</f>
        <v>6.1068702290076333E-2</v>
      </c>
      <c r="J59" s="155">
        <f>IF('AW Schüler'!$I53=0,"x",E59/'AW Schüler'!$I53)</f>
        <v>7.7490774907749083E-2</v>
      </c>
      <c r="K59" s="155" t="str">
        <f>IF('AW Schüler'!$L53=0,"x",F59/'AW Schüler'!$L53)</f>
        <v>x</v>
      </c>
      <c r="L59" s="156" t="str">
        <f>IF('AW Schüler'!$O53=0,"x",G59/'AW Schüler'!$O53)</f>
        <v>x</v>
      </c>
    </row>
    <row r="60" spans="1:12" ht="9" customHeight="1">
      <c r="A60" s="21" t="s">
        <v>92</v>
      </c>
      <c r="B60" s="120"/>
      <c r="C60" s="151">
        <f>[51]GtS!$H$68</f>
        <v>0</v>
      </c>
      <c r="D60" s="151">
        <f>[52]GtS!$H$72</f>
        <v>0</v>
      </c>
      <c r="E60" s="151">
        <f>[53]GtS!$H$72</f>
        <v>0</v>
      </c>
      <c r="F60" s="151">
        <f>[54]GtS!$H$72</f>
        <v>0</v>
      </c>
      <c r="G60" s="152">
        <f>[55]GtS!$H$72</f>
        <v>0</v>
      </c>
      <c r="H60" s="155" t="str">
        <f>IF('AW Schüler'!$C54=0,"x",C60/'AW Schüler'!$C54)</f>
        <v>x</v>
      </c>
      <c r="I60" s="155" t="str">
        <f>IF('AW Schüler'!$F54=0,"x",D60/'AW Schüler'!$F54)</f>
        <v>x</v>
      </c>
      <c r="J60" s="155" t="str">
        <f>IF('AW Schüler'!$I54=0,"x",E60/'AW Schüler'!$I54)</f>
        <v>x</v>
      </c>
      <c r="K60" s="155" t="str">
        <f>IF('AW Schüler'!$L54=0,"x",F60/'AW Schüler'!$L54)</f>
        <v>x</v>
      </c>
      <c r="L60" s="156" t="str">
        <f>IF('AW Schüler'!$O54=0,"x",G60/'AW Schüler'!$O54)</f>
        <v>x</v>
      </c>
    </row>
    <row r="61" spans="1:12" ht="9" customHeight="1">
      <c r="A61" s="21" t="s">
        <v>93</v>
      </c>
      <c r="B61" s="120"/>
      <c r="C61" s="124">
        <f>[76]GtS!$H$68</f>
        <v>0</v>
      </c>
      <c r="D61" s="124">
        <f>[77]GtS!$H$72</f>
        <v>0</v>
      </c>
      <c r="E61" s="124">
        <f>[78]GtS!$H$72</f>
        <v>0</v>
      </c>
      <c r="F61" s="124">
        <f>[79]GtS!$H$72</f>
        <v>0</v>
      </c>
      <c r="G61" s="188">
        <f>[80]GtS!$H$72</f>
        <v>0</v>
      </c>
      <c r="H61" s="189" t="str">
        <f>IF('AW Schüler'!$C55=0,".",C61/'AW Schüler'!$C55)</f>
        <v>.</v>
      </c>
      <c r="I61" s="189" t="str">
        <f>IF('AW Schüler'!$F55=0,".",D61/'AW Schüler'!$F55)</f>
        <v>.</v>
      </c>
      <c r="J61" s="189" t="str">
        <f>IF('AW Schüler'!$I55=0,".",E61/'AW Schüler'!$I55)</f>
        <v>.</v>
      </c>
      <c r="K61" s="189" t="str">
        <f>IF('AW Schüler'!$L55=0,".",F61/'AW Schüler'!$L55)</f>
        <v>.</v>
      </c>
      <c r="L61" s="190" t="str">
        <f>IF('AW Schüler'!$O55=0,".",G61/'AW Schüler'!$O55)</f>
        <v>.</v>
      </c>
    </row>
    <row r="62" spans="1:12" ht="9" customHeight="1">
      <c r="A62" s="21" t="s">
        <v>94</v>
      </c>
      <c r="B62" s="120"/>
      <c r="C62" s="151">
        <f>[56]GtS!$H$68</f>
        <v>0</v>
      </c>
      <c r="D62" s="151">
        <f>[57]GtS!$H$72</f>
        <v>0</v>
      </c>
      <c r="E62" s="151">
        <f>[58]GtS!$H$72</f>
        <v>0</v>
      </c>
      <c r="F62" s="151">
        <f>[59]GtS!$H$72</f>
        <v>0</v>
      </c>
      <c r="G62" s="152">
        <f>[60]GtS!$H$72</f>
        <v>0</v>
      </c>
      <c r="H62" s="155" t="str">
        <f>IF('AW Schüler'!$C56=0,"x",C62/'AW Schüler'!$C56)</f>
        <v>x</v>
      </c>
      <c r="I62" s="155" t="str">
        <f>IF('AW Schüler'!$F56=0,"x",D62/'AW Schüler'!$F56)</f>
        <v>x</v>
      </c>
      <c r="J62" s="155" t="str">
        <f>IF('AW Schüler'!$I56=0,"x",E62/'AW Schüler'!$I56)</f>
        <v>x</v>
      </c>
      <c r="K62" s="155" t="str">
        <f>IF('AW Schüler'!$L56=0,"x",F62/'AW Schüler'!$L56)</f>
        <v>x</v>
      </c>
      <c r="L62" s="156" t="str">
        <f>IF('AW Schüler'!$O56=0,"x",G62/'AW Schüler'!$O56)</f>
        <v>x</v>
      </c>
    </row>
    <row r="63" spans="1:12" ht="9" customHeight="1">
      <c r="A63" s="21" t="s">
        <v>95</v>
      </c>
      <c r="B63" s="120"/>
      <c r="C63" s="151">
        <f>[61]GtS!$H$68</f>
        <v>0</v>
      </c>
      <c r="D63" s="151">
        <f>[62]GtS!$H$72</f>
        <v>0</v>
      </c>
      <c r="E63" s="151">
        <f>[63]GtS!$H$72</f>
        <v>0</v>
      </c>
      <c r="F63" s="151">
        <f>[64]GtS!$H$72</f>
        <v>0</v>
      </c>
      <c r="G63" s="152">
        <f>[65]GtS!$H$72</f>
        <v>0</v>
      </c>
      <c r="H63" s="155" t="str">
        <f>IF('AW Schüler'!$C57=0,"x",C63/'AW Schüler'!$C57)</f>
        <v>x</v>
      </c>
      <c r="I63" s="155" t="str">
        <f>IF('AW Schüler'!$F57=0,"x",D63/'AW Schüler'!$F57)</f>
        <v>x</v>
      </c>
      <c r="J63" s="155" t="str">
        <f>IF('AW Schüler'!$I57=0,"x",E63/'AW Schüler'!$I57)</f>
        <v>x</v>
      </c>
      <c r="K63" s="155" t="str">
        <f>IF('AW Schüler'!$L57=0,"x",F63/'AW Schüler'!$L57)</f>
        <v>x</v>
      </c>
      <c r="L63" s="156" t="str">
        <f>IF('AW Schüler'!$O57=0,"x",G63/'AW Schüler'!$O57)</f>
        <v>x</v>
      </c>
    </row>
    <row r="64" spans="1:12" ht="8.65" customHeight="1">
      <c r="A64" s="24" t="s">
        <v>96</v>
      </c>
      <c r="B64" s="121"/>
      <c r="C64" s="26">
        <f>SUM(C48:C63)</f>
        <v>2597</v>
      </c>
      <c r="D64" s="26">
        <f>SUM(D48:D63)</f>
        <v>3261</v>
      </c>
      <c r="E64" s="26">
        <f>SUM(E48:E63)</f>
        <v>3589</v>
      </c>
      <c r="F64" s="26">
        <f>SUM(F48:F63)</f>
        <v>4059</v>
      </c>
      <c r="G64" s="47">
        <f>SUM(G48:G63)</f>
        <v>4580</v>
      </c>
      <c r="H64" s="157">
        <f>IF('AW Schüler'!$C58=0,"x",C64/'AW Schüler'!$C58)</f>
        <v>0.12531969309462915</v>
      </c>
      <c r="I64" s="157">
        <f>IF('AW Schüler'!$F58=0,"x",D64/'AW Schüler'!$F58)</f>
        <v>0.15887941534713765</v>
      </c>
      <c r="J64" s="157">
        <f>IF('AW Schüler'!$I58=0,"x",E64/'AW Schüler'!$I58)</f>
        <v>0.17728709741157875</v>
      </c>
      <c r="K64" s="157">
        <f>IF('AW Schüler'!$L58=0,"x",F64/'AW Schüler'!$L58)</f>
        <v>0.20407239819004525</v>
      </c>
      <c r="L64" s="158">
        <f>IF('AW Schüler'!$O58=0,"x",G64/'AW Schüler'!$O58)</f>
        <v>0.23074210287671923</v>
      </c>
    </row>
    <row r="65" spans="1:12" ht="18.75" customHeight="1">
      <c r="A65" s="396" t="s">
        <v>312</v>
      </c>
      <c r="B65" s="396"/>
      <c r="C65" s="396"/>
      <c r="D65" s="396"/>
      <c r="E65" s="396"/>
      <c r="F65" s="396"/>
      <c r="G65" s="396"/>
      <c r="H65" s="396"/>
      <c r="I65" s="396"/>
      <c r="J65" s="396"/>
      <c r="K65" s="396"/>
      <c r="L65" s="396"/>
    </row>
    <row r="66" spans="1:12" ht="10.15" customHeight="1">
      <c r="A66" s="408" t="s">
        <v>139</v>
      </c>
      <c r="B66" s="408"/>
      <c r="C66" s="408"/>
      <c r="D66" s="408"/>
      <c r="E66" s="408"/>
      <c r="F66" s="408"/>
      <c r="G66" s="408"/>
      <c r="H66" s="408"/>
      <c r="I66" s="408"/>
      <c r="J66" s="258"/>
      <c r="K66" s="278"/>
      <c r="L66" s="278"/>
    </row>
    <row r="67" spans="1:12" ht="10.15" customHeight="1">
      <c r="A67" s="305" t="s">
        <v>169</v>
      </c>
    </row>
    <row r="68" spans="1:12">
      <c r="A68" s="220"/>
    </row>
    <row r="82" spans="1:1" ht="10.5" customHeight="1"/>
    <row r="83" spans="1:1" ht="10.15" customHeight="1">
      <c r="A83" s="214"/>
    </row>
  </sheetData>
  <mergeCells count="8">
    <mergeCell ref="A1:L1"/>
    <mergeCell ref="A66:I66"/>
    <mergeCell ref="C9:G9"/>
    <mergeCell ref="H9:L9"/>
    <mergeCell ref="A11:L11"/>
    <mergeCell ref="A29:L29"/>
    <mergeCell ref="A47:L47"/>
    <mergeCell ref="A65:L65"/>
  </mergeCells>
  <phoneticPr fontId="18" type="noConversion"/>
  <conditionalFormatting sqref="M25">
    <cfRule type="cellIs" dxfId="10"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M85"/>
  <sheetViews>
    <sheetView view="pageBreakPreview" topLeftCell="A49" zoomScale="175" zoomScaleNormal="200" zoomScaleSheetLayoutView="175" workbookViewId="0">
      <selection activeCell="L59" sqref="L59"/>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'3.3.4'!A1:F1+1</f>
        <v>61</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186</v>
      </c>
      <c r="C4" s="14"/>
      <c r="D4" s="14"/>
      <c r="E4" s="14"/>
      <c r="F4" s="14"/>
      <c r="G4" s="14"/>
    </row>
    <row r="5" spans="1:13" s="1" customFormat="1" ht="12.6" customHeight="1">
      <c r="A5" s="13" t="s">
        <v>64</v>
      </c>
      <c r="B5" s="39" t="s">
        <v>13</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149">
        <f t="shared" ref="C12:C28" si="0">SUM(C30+C48)</f>
        <v>0</v>
      </c>
      <c r="D12" s="149">
        <f t="shared" ref="D12:E12" si="1">SUM(D30+D48)</f>
        <v>0</v>
      </c>
      <c r="E12" s="149">
        <f t="shared" si="1"/>
        <v>0</v>
      </c>
      <c r="F12" s="149">
        <f t="shared" ref="F12:G12" si="2">SUM(F30+F48)</f>
        <v>0</v>
      </c>
      <c r="G12" s="150">
        <f t="shared" si="2"/>
        <v>0</v>
      </c>
      <c r="H12" s="153" t="str">
        <f>IF('AW Schüler'!$C60=0,"x",C12/'AW Schüler'!$C60)</f>
        <v>x</v>
      </c>
      <c r="I12" s="153" t="str">
        <f>IF('AW Schüler'!$F60=0,"x",D12/'AW Schüler'!$F60)</f>
        <v>x</v>
      </c>
      <c r="J12" s="153" t="str">
        <f>IF('AW Schüler'!$I60=0,"x",E12/'AW Schüler'!$I60)</f>
        <v>x</v>
      </c>
      <c r="K12" s="153" t="str">
        <f>IF('AW Schüler'!$L60=0,"x",F12/'AW Schüler'!$L60)</f>
        <v>x</v>
      </c>
      <c r="L12" s="154" t="str">
        <f>IF('AW Schüler'!$O60=0,"x",G12/'AW Schüler'!$O60)</f>
        <v>x</v>
      </c>
    </row>
    <row r="13" spans="1:13" ht="9" customHeight="1">
      <c r="A13" s="21" t="s">
        <v>81</v>
      </c>
      <c r="B13" s="120"/>
      <c r="C13" s="149">
        <f t="shared" si="0"/>
        <v>0</v>
      </c>
      <c r="D13" s="149">
        <f t="shared" ref="D13:E13" si="3">SUM(D31+D49)</f>
        <v>0</v>
      </c>
      <c r="E13" s="149">
        <f t="shared" si="3"/>
        <v>0</v>
      </c>
      <c r="F13" s="149" t="e">
        <f t="shared" ref="F13:G13" si="4">SUM(F31+F49)</f>
        <v>#VALUE!</v>
      </c>
      <c r="G13" s="150">
        <f t="shared" si="4"/>
        <v>0</v>
      </c>
      <c r="H13" s="153" t="str">
        <f>IF('AW Schüler'!$C61=0,"x",C13/'AW Schüler'!$C61)</f>
        <v>x</v>
      </c>
      <c r="I13" s="153" t="str">
        <f>IF('AW Schüler'!$F61=0,"x",D13/'AW Schüler'!$F61)</f>
        <v>x</v>
      </c>
      <c r="J13" s="153" t="str">
        <f>IF('AW Schüler'!$I61=0,"x",E13/'AW Schüler'!$I61)</f>
        <v>x</v>
      </c>
      <c r="K13" s="153" t="str">
        <f>IF('AW Schüler'!$L61=0,"x",F13/'AW Schüler'!$L61)</f>
        <v>x</v>
      </c>
      <c r="L13" s="154" t="str">
        <f>IF('AW Schüler'!$O61=0,"x",G13/'AW Schüler'!$O61)</f>
        <v>x</v>
      </c>
    </row>
    <row r="14" spans="1:13" ht="9" customHeight="1">
      <c r="A14" s="21" t="s">
        <v>82</v>
      </c>
      <c r="B14" s="120"/>
      <c r="C14" s="149">
        <f t="shared" si="0"/>
        <v>0</v>
      </c>
      <c r="D14" s="149">
        <f t="shared" ref="D14:E14" si="5">SUM(D32+D50)</f>
        <v>0</v>
      </c>
      <c r="E14" s="149">
        <f t="shared" si="5"/>
        <v>0</v>
      </c>
      <c r="F14" s="149">
        <f t="shared" ref="F14:G14" si="6">SUM(F32+F50)</f>
        <v>0</v>
      </c>
      <c r="G14" s="150">
        <f t="shared" si="6"/>
        <v>0</v>
      </c>
      <c r="H14" s="153" t="str">
        <f>IF('AW Schüler'!$C62=0,"x",C14/'AW Schüler'!$C62)</f>
        <v>x</v>
      </c>
      <c r="I14" s="153" t="str">
        <f>IF('AW Schüler'!$F62=0,"x",D14/'AW Schüler'!$F62)</f>
        <v>x</v>
      </c>
      <c r="J14" s="153" t="str">
        <f>IF('AW Schüler'!$I62=0,"x",E14/'AW Schüler'!$I62)</f>
        <v>x</v>
      </c>
      <c r="K14" s="153" t="str">
        <f>IF('AW Schüler'!$L62=0,"x",F14/'AW Schüler'!$L62)</f>
        <v>x</v>
      </c>
      <c r="L14" s="154" t="str">
        <f>IF('AW Schüler'!$O62=0,"x",G14/'AW Schüler'!$O62)</f>
        <v>x</v>
      </c>
    </row>
    <row r="15" spans="1:13" ht="9" customHeight="1">
      <c r="A15" s="21" t="s">
        <v>83</v>
      </c>
      <c r="B15" s="120"/>
      <c r="C15" s="42">
        <f t="shared" si="0"/>
        <v>1539</v>
      </c>
      <c r="D15" s="42">
        <f t="shared" ref="D15:E15" si="7">SUM(D33+D51)</f>
        <v>1788</v>
      </c>
      <c r="E15" s="42">
        <f t="shared" si="7"/>
        <v>1781</v>
      </c>
      <c r="F15" s="42">
        <f t="shared" ref="F15:G15" si="8">SUM(F33+F51)</f>
        <v>1804</v>
      </c>
      <c r="G15" s="44">
        <f t="shared" si="8"/>
        <v>1871</v>
      </c>
      <c r="H15" s="153">
        <f>IF('AW Schüler'!$C63=0,"x",C15/'AW Schüler'!$C63)</f>
        <v>0.60590551181102359</v>
      </c>
      <c r="I15" s="153">
        <f>IF('AW Schüler'!$F63=0,"x",D15/'AW Schüler'!$F63)</f>
        <v>0.66173205033308657</v>
      </c>
      <c r="J15" s="153">
        <f>IF('AW Schüler'!$I63=0,"x",E15/'AW Schüler'!$I63)</f>
        <v>0.64857975236707943</v>
      </c>
      <c r="K15" s="153">
        <f>IF('AW Schüler'!$L63=0,"x",F15/'AW Schüler'!$L63)</f>
        <v>0.65267727930535457</v>
      </c>
      <c r="L15" s="154">
        <f>IF('AW Schüler'!$O63=0,"x",G15/'AW Schüler'!$O63)</f>
        <v>0.65973201692524686</v>
      </c>
    </row>
    <row r="16" spans="1:13" ht="9" customHeight="1">
      <c r="A16" s="21" t="s">
        <v>84</v>
      </c>
      <c r="B16" s="120"/>
      <c r="C16" s="42">
        <f t="shared" si="0"/>
        <v>0</v>
      </c>
      <c r="D16" s="42">
        <f t="shared" ref="D16:E16" si="9">SUM(D34+D52)</f>
        <v>0</v>
      </c>
      <c r="E16" s="42">
        <f t="shared" si="9"/>
        <v>0</v>
      </c>
      <c r="F16" s="42">
        <f t="shared" ref="F16:G16" si="10">SUM(F34+F52)</f>
        <v>0</v>
      </c>
      <c r="G16" s="44">
        <f t="shared" si="10"/>
        <v>0</v>
      </c>
      <c r="H16" s="153">
        <f>IF('AW Schüler'!$C64=0,"x",C16/'AW Schüler'!$C64)</f>
        <v>0</v>
      </c>
      <c r="I16" s="153">
        <f>IF('AW Schüler'!$F64=0,"x",D16/'AW Schüler'!$F64)</f>
        <v>0</v>
      </c>
      <c r="J16" s="153">
        <f>IF('AW Schüler'!$I64=0,"x",E16/'AW Schüler'!$I64)</f>
        <v>0</v>
      </c>
      <c r="K16" s="153">
        <f>IF('AW Schüler'!$L64=0,"x",F16/'AW Schüler'!$L64)</f>
        <v>0</v>
      </c>
      <c r="L16" s="154">
        <f>IF('AW Schüler'!$O64=0,"x",G16/'AW Schüler'!$O64)</f>
        <v>0</v>
      </c>
    </row>
    <row r="17" spans="1:12" ht="9" customHeight="1">
      <c r="A17" s="21" t="s">
        <v>85</v>
      </c>
      <c r="B17" s="120"/>
      <c r="C17" s="42">
        <f t="shared" si="0"/>
        <v>270</v>
      </c>
      <c r="D17" s="149">
        <f t="shared" ref="D17:E17" si="11">SUM(D35+D53)</f>
        <v>0</v>
      </c>
      <c r="E17" s="149">
        <f t="shared" si="11"/>
        <v>0</v>
      </c>
      <c r="F17" s="149">
        <f t="shared" ref="F17:G17" si="12">SUM(F35+F53)</f>
        <v>0</v>
      </c>
      <c r="G17" s="150">
        <f t="shared" si="12"/>
        <v>0</v>
      </c>
      <c r="H17" s="153">
        <f>IF('AW Schüler'!$C65=0,"x",C17/'AW Schüler'!$C65)</f>
        <v>0.63231850117096022</v>
      </c>
      <c r="I17" s="153" t="str">
        <f>IF('AW Schüler'!$F65=0,"x",D17/'AW Schüler'!$F65)</f>
        <v>x</v>
      </c>
      <c r="J17" s="153" t="str">
        <f>IF('AW Schüler'!$I65=0,"x",E17/'AW Schüler'!$I65)</f>
        <v>x</v>
      </c>
      <c r="K17" s="153" t="str">
        <f>IF('AW Schüler'!$L65=0,"x",F17/'AW Schüler'!$L65)</f>
        <v>x</v>
      </c>
      <c r="L17" s="154" t="str">
        <f>IF('AW Schüler'!$O65=0,"x",G17/'AW Schüler'!$O65)</f>
        <v>x</v>
      </c>
    </row>
    <row r="18" spans="1:12" ht="9" customHeight="1">
      <c r="A18" s="21" t="s">
        <v>86</v>
      </c>
      <c r="B18" s="120"/>
      <c r="C18" s="149">
        <f t="shared" si="0"/>
        <v>0</v>
      </c>
      <c r="D18" s="149">
        <f t="shared" ref="D18:E18" si="13">SUM(D36+D54)</f>
        <v>0</v>
      </c>
      <c r="E18" s="149">
        <f t="shared" si="13"/>
        <v>0</v>
      </c>
      <c r="F18" s="149">
        <f t="shared" ref="F18:G18" si="14">SUM(F36+F54)</f>
        <v>0</v>
      </c>
      <c r="G18" s="150">
        <f t="shared" si="14"/>
        <v>0</v>
      </c>
      <c r="H18" s="186" t="str">
        <f>IF('AW Schüler'!$C66=0,"x",C18/'AW Schüler'!$C66)</f>
        <v>x</v>
      </c>
      <c r="I18" s="186" t="str">
        <f>IF('AW Schüler'!$F66=0,"x",D18/'AW Schüler'!$F66)</f>
        <v>x</v>
      </c>
      <c r="J18" s="186" t="str">
        <f>IF('AW Schüler'!$I66=0,"x",E18/'AW Schüler'!$I66)</f>
        <v>x</v>
      </c>
      <c r="K18" s="186" t="str">
        <f>IF('AW Schüler'!$L66=0,"x",F18/'AW Schüler'!$L66)</f>
        <v>x</v>
      </c>
      <c r="L18" s="187" t="str">
        <f>IF('AW Schüler'!$O66=0,"x",G18/'AW Schüler'!$O66)</f>
        <v>x</v>
      </c>
    </row>
    <row r="19" spans="1:12" ht="9" customHeight="1">
      <c r="A19" s="21" t="s">
        <v>176</v>
      </c>
      <c r="B19" s="120"/>
      <c r="C19" s="42">
        <f t="shared" si="0"/>
        <v>1144</v>
      </c>
      <c r="D19" s="42">
        <f t="shared" ref="D19:E19" si="15">SUM(D37+D55)</f>
        <v>1398</v>
      </c>
      <c r="E19" s="42">
        <f t="shared" si="15"/>
        <v>1398</v>
      </c>
      <c r="F19" s="42">
        <f t="shared" ref="F19:G19" si="16">SUM(F37+F55)</f>
        <v>1991</v>
      </c>
      <c r="G19" s="44">
        <f t="shared" si="16"/>
        <v>1796</v>
      </c>
      <c r="H19" s="153">
        <f>IF('AW Schüler'!$C67=0,"x",C19/'AW Schüler'!$C67)</f>
        <v>0.51976374375283962</v>
      </c>
      <c r="I19" s="153">
        <f>IF('AW Schüler'!$F67=0,"x",D19/'AW Schüler'!$F67)</f>
        <v>0.60414866032843562</v>
      </c>
      <c r="J19" s="153">
        <f>IF('AW Schüler'!$I67=0,"x",E19/'AW Schüler'!$I67)</f>
        <v>0.57014681892332786</v>
      </c>
      <c r="K19" s="153">
        <f>IF('AW Schüler'!$L67=0,"x",F19/'AW Schüler'!$L67)</f>
        <v>0.77986682334508417</v>
      </c>
      <c r="L19" s="154">
        <f>IF('AW Schüler'!$O67=0,"x",G19/'AW Schüler'!$O67)</f>
        <v>0.73067534580960125</v>
      </c>
    </row>
    <row r="20" spans="1:12" ht="9" customHeight="1">
      <c r="A20" s="21" t="s">
        <v>88</v>
      </c>
      <c r="B20" s="120"/>
      <c r="C20" s="184">
        <f t="shared" si="0"/>
        <v>0</v>
      </c>
      <c r="D20" s="184">
        <f t="shared" ref="D20:E20" si="17">SUM(D38+D56)</f>
        <v>0</v>
      </c>
      <c r="E20" s="184">
        <f t="shared" si="17"/>
        <v>0</v>
      </c>
      <c r="F20" s="184">
        <f t="shared" ref="F20:G20" si="18">SUM(F38+F56)</f>
        <v>0</v>
      </c>
      <c r="G20" s="185">
        <f t="shared" si="18"/>
        <v>0</v>
      </c>
      <c r="H20" s="186">
        <f>IF('AW Schüler'!$C68=0,"x",C20/'AW Schüler'!$C68)</f>
        <v>0</v>
      </c>
      <c r="I20" s="186">
        <f>IF('AW Schüler'!$F68=0,"x",D20/'AW Schüler'!$F68)</f>
        <v>0</v>
      </c>
      <c r="J20" s="186">
        <f>IF('AW Schüler'!$I68=0,"x",E20/'AW Schüler'!$I68)</f>
        <v>0</v>
      </c>
      <c r="K20" s="186">
        <f>IF('AW Schüler'!$L68=0,"x",F20/'AW Schüler'!$L68)</f>
        <v>0</v>
      </c>
      <c r="L20" s="187">
        <f>IF('AW Schüler'!$O68=0,"x",G20/'AW Schüler'!$O68)</f>
        <v>0</v>
      </c>
    </row>
    <row r="21" spans="1:12" ht="9" customHeight="1">
      <c r="A21" s="21" t="s">
        <v>89</v>
      </c>
      <c r="B21" s="120"/>
      <c r="C21" s="149">
        <f t="shared" si="0"/>
        <v>270</v>
      </c>
      <c r="D21" s="149">
        <f t="shared" ref="D21:E21" si="19">SUM(D39+D57)</f>
        <v>1020</v>
      </c>
      <c r="E21" s="149">
        <f t="shared" si="19"/>
        <v>1711</v>
      </c>
      <c r="F21" s="149">
        <f t="shared" ref="F21:G21" si="20">SUM(F39+F57)</f>
        <v>2328</v>
      </c>
      <c r="G21" s="150">
        <f t="shared" si="20"/>
        <v>3060</v>
      </c>
      <c r="H21" s="153">
        <f>IF('AW Schüler'!$C69=0,"x",C21/'AW Schüler'!$C69)</f>
        <v>0.74380165289256195</v>
      </c>
      <c r="I21" s="153">
        <f>IF('AW Schüler'!$F69=0,"x",D21/'AW Schüler'!$F69)</f>
        <v>0.83469721767594107</v>
      </c>
      <c r="J21" s="153">
        <f>IF('AW Schüler'!$I69=0,"x",E21/'AW Schüler'!$I69)</f>
        <v>0.85336658354114714</v>
      </c>
      <c r="K21" s="153">
        <f>IF('AW Schüler'!$L69=0,"x",F21/'AW Schüler'!$L69)</f>
        <v>0.84901531728665203</v>
      </c>
      <c r="L21" s="154">
        <f>IF('AW Schüler'!$O69=0,"x",G21/'AW Schüler'!$O69)</f>
        <v>0.85094549499443828</v>
      </c>
    </row>
    <row r="22" spans="1:12" ht="9" customHeight="1">
      <c r="A22" s="21" t="s">
        <v>90</v>
      </c>
      <c r="B22" s="120"/>
      <c r="C22" s="42">
        <f t="shared" si="0"/>
        <v>381</v>
      </c>
      <c r="D22" s="42">
        <f t="shared" ref="D22:E22" si="21">SUM(D40+D58)</f>
        <v>434</v>
      </c>
      <c r="E22" s="42">
        <f t="shared" si="21"/>
        <v>447</v>
      </c>
      <c r="F22" s="42">
        <f t="shared" ref="F22:G22" si="22">SUM(F40+F58)</f>
        <v>554</v>
      </c>
      <c r="G22" s="44">
        <f t="shared" si="22"/>
        <v>541</v>
      </c>
      <c r="H22" s="153">
        <f>IF('AW Schüler'!$C70=0,"x",C22/'AW Schüler'!$C70)</f>
        <v>0.21026490066225165</v>
      </c>
      <c r="I22" s="153">
        <f>IF('AW Schüler'!$F70=0,"x",D22/'AW Schüler'!$F70)</f>
        <v>0.23898678414096916</v>
      </c>
      <c r="J22" s="153">
        <f>IF('AW Schüler'!$I70=0,"x",E22/'AW Schüler'!$I70)</f>
        <v>0.19519650655021833</v>
      </c>
      <c r="K22" s="153">
        <f>IF('AW Schüler'!$L70=0,"x",F22/'AW Schüler'!$L70)</f>
        <v>0.19377404686953481</v>
      </c>
      <c r="L22" s="154">
        <f>IF('AW Schüler'!$O70=0,"x",G22/'AW Schüler'!$O70)</f>
        <v>0.18784722222222222</v>
      </c>
    </row>
    <row r="23" spans="1:12" ht="9" customHeight="1">
      <c r="A23" s="21" t="s">
        <v>91</v>
      </c>
      <c r="B23" s="120"/>
      <c r="C23" s="42">
        <f t="shared" si="0"/>
        <v>93</v>
      </c>
      <c r="D23" s="42">
        <f t="shared" ref="D23:E23" si="23">SUM(D41+D59)</f>
        <v>100</v>
      </c>
      <c r="E23" s="42">
        <f t="shared" si="23"/>
        <v>103</v>
      </c>
      <c r="F23" s="42">
        <f t="shared" ref="F23:G23" si="24">SUM(F41+F59)</f>
        <v>102</v>
      </c>
      <c r="G23" s="44">
        <f t="shared" si="24"/>
        <v>49</v>
      </c>
      <c r="H23" s="153">
        <f>IF('AW Schüler'!$C71=0,"x",C23/'AW Schüler'!$C71)</f>
        <v>0.23076923076923078</v>
      </c>
      <c r="I23" s="153">
        <f>IF('AW Schüler'!$F71=0,"x",D23/'AW Schüler'!$F71)</f>
        <v>0.25575447570332482</v>
      </c>
      <c r="J23" s="153">
        <f>IF('AW Schüler'!$I71=0,"x",E23/'AW Schüler'!$I71)</f>
        <v>0.2647814910025707</v>
      </c>
      <c r="K23" s="153">
        <f>IF('AW Schüler'!$L71=0,"x",F23/'AW Schüler'!$L71)</f>
        <v>0.30909090909090908</v>
      </c>
      <c r="L23" s="154">
        <f>IF('AW Schüler'!$O71=0,"x",G23/'AW Schüler'!$O71)</f>
        <v>1</v>
      </c>
    </row>
    <row r="24" spans="1:12" ht="9" customHeight="1">
      <c r="A24" s="21" t="s">
        <v>92</v>
      </c>
      <c r="B24" s="120"/>
      <c r="C24" s="42">
        <f t="shared" si="0"/>
        <v>7403</v>
      </c>
      <c r="D24" s="42">
        <f t="shared" ref="D24:E24" si="25">SUM(D42+D60)</f>
        <v>8197</v>
      </c>
      <c r="E24" s="42">
        <f t="shared" si="25"/>
        <v>8304</v>
      </c>
      <c r="F24" s="42">
        <f t="shared" ref="F24:G24" si="26">SUM(F42+F60)</f>
        <v>9000</v>
      </c>
      <c r="G24" s="44">
        <f t="shared" si="26"/>
        <v>9352</v>
      </c>
      <c r="H24" s="153">
        <f>IF('AW Schüler'!$C72=0,"x",C24/'AW Schüler'!$C72)</f>
        <v>0.86372651965931635</v>
      </c>
      <c r="I24" s="153">
        <f>IF('AW Schüler'!$F72=0,"x",D24/'AW Schüler'!$F72)</f>
        <v>0.8869292360960831</v>
      </c>
      <c r="J24" s="153">
        <f>IF('AW Schüler'!$I72=0,"x",E24/'AW Schüler'!$I72)</f>
        <v>0.84795261921780862</v>
      </c>
      <c r="K24" s="153">
        <f>IF('AW Schüler'!$L72=0,"x",F24/'AW Schüler'!$L72)</f>
        <v>0.87141750580944999</v>
      </c>
      <c r="L24" s="154">
        <f>IF('AW Schüler'!$O72=0,"x",G24/'AW Schüler'!$O72)</f>
        <v>0.84794632332940434</v>
      </c>
    </row>
    <row r="25" spans="1:12" ht="9" customHeight="1">
      <c r="A25" s="21" t="s">
        <v>93</v>
      </c>
      <c r="B25" s="120"/>
      <c r="C25" s="184">
        <f t="shared" si="0"/>
        <v>0</v>
      </c>
      <c r="D25" s="184">
        <f t="shared" ref="D25:E25" si="27">SUM(D43+D61)</f>
        <v>0</v>
      </c>
      <c r="E25" s="184">
        <f t="shared" si="27"/>
        <v>0</v>
      </c>
      <c r="F25" s="184">
        <f t="shared" ref="F25:G25" si="28">SUM(F43+F61)</f>
        <v>0</v>
      </c>
      <c r="G25" s="185">
        <f t="shared" si="28"/>
        <v>0</v>
      </c>
      <c r="H25" s="186">
        <f>IF('AW Schüler'!$C73=0,"x",C25/'AW Schüler'!$C73)</f>
        <v>0</v>
      </c>
      <c r="I25" s="186">
        <f>IF('AW Schüler'!$F73=0,"x",D25/'AW Schüler'!$F73)</f>
        <v>0</v>
      </c>
      <c r="J25" s="186">
        <f>IF('AW Schüler'!$I73=0,"x",E25/'AW Schüler'!$I73)</f>
        <v>0</v>
      </c>
      <c r="K25" s="186">
        <f>IF('AW Schüler'!$L73=0,"x",F25/'AW Schüler'!$L73)</f>
        <v>0</v>
      </c>
      <c r="L25" s="187">
        <f>IF('AW Schüler'!$O73=0,"x",G25/'AW Schüler'!$O73)</f>
        <v>0</v>
      </c>
    </row>
    <row r="26" spans="1:12" ht="9" customHeight="1">
      <c r="A26" s="21" t="s">
        <v>94</v>
      </c>
      <c r="B26" s="120"/>
      <c r="C26" s="42">
        <f t="shared" si="0"/>
        <v>0</v>
      </c>
      <c r="D26" s="42">
        <f t="shared" ref="D26:E26" si="29">SUM(D44+D62)</f>
        <v>0</v>
      </c>
      <c r="E26" s="42">
        <f t="shared" si="29"/>
        <v>0</v>
      </c>
      <c r="F26" s="42">
        <f t="shared" ref="F26:G26" si="30">SUM(F44+F62)</f>
        <v>0</v>
      </c>
      <c r="G26" s="44">
        <f t="shared" si="30"/>
        <v>0</v>
      </c>
      <c r="H26" s="153">
        <f>IF('AW Schüler'!$C74=0,"x",C26/'AW Schüler'!$C74)</f>
        <v>0</v>
      </c>
      <c r="I26" s="153">
        <f>IF('AW Schüler'!$F74=0,"x",D26/'AW Schüler'!$F74)</f>
        <v>0</v>
      </c>
      <c r="J26" s="153">
        <f>IF('AW Schüler'!$I74=0,"x",E26/'AW Schüler'!$I74)</f>
        <v>0</v>
      </c>
      <c r="K26" s="153">
        <f>IF('AW Schüler'!$L74=0,"x",F26/'AW Schüler'!$L74)</f>
        <v>0</v>
      </c>
      <c r="L26" s="154">
        <f>IF('AW Schüler'!$O74=0,"x",G26/'AW Schüler'!$O74)</f>
        <v>0</v>
      </c>
    </row>
    <row r="27" spans="1:12" ht="9" customHeight="1">
      <c r="A27" s="21" t="s">
        <v>95</v>
      </c>
      <c r="B27" s="120"/>
      <c r="C27" s="42">
        <f t="shared" si="0"/>
        <v>1068</v>
      </c>
      <c r="D27" s="42">
        <f t="shared" ref="D27:E27" si="31">SUM(D45+D63)</f>
        <v>1292</v>
      </c>
      <c r="E27" s="42">
        <f t="shared" si="31"/>
        <v>1183</v>
      </c>
      <c r="F27" s="42">
        <f t="shared" ref="F27:G27" si="32">SUM(F45+F63)</f>
        <v>1090</v>
      </c>
      <c r="G27" s="44">
        <f t="shared" si="32"/>
        <v>1200</v>
      </c>
      <c r="H27" s="153">
        <f>IF('AW Schüler'!$C75=0,"x",C27/'AW Schüler'!$C75)</f>
        <v>0.70078740157480313</v>
      </c>
      <c r="I27" s="153">
        <f>IF('AW Schüler'!$F75=0,"x",D27/'AW Schüler'!$F75)</f>
        <v>0.8146279949558638</v>
      </c>
      <c r="J27" s="153">
        <f>IF('AW Schüler'!$I75=0,"x",E27/'AW Schüler'!$I75)</f>
        <v>0.80421481985044185</v>
      </c>
      <c r="K27" s="153">
        <f>IF('AW Schüler'!$L75=0,"x",F27/'AW Schüler'!$L75)</f>
        <v>0.73301950235373237</v>
      </c>
      <c r="L27" s="154">
        <f>IF('AW Schüler'!$O75=0,"x",G27/'AW Schüler'!$O75)</f>
        <v>0.8</v>
      </c>
    </row>
    <row r="28" spans="1:12" ht="9" customHeight="1">
      <c r="A28" s="21" t="s">
        <v>96</v>
      </c>
      <c r="B28" s="120"/>
      <c r="C28" s="42">
        <f t="shared" si="0"/>
        <v>12168</v>
      </c>
      <c r="D28" s="42">
        <f t="shared" ref="D28:E28" si="33">SUM(D46+D64)</f>
        <v>14229</v>
      </c>
      <c r="E28" s="42">
        <f t="shared" si="33"/>
        <v>14927</v>
      </c>
      <c r="F28" s="42">
        <f t="shared" ref="F28:G28" si="34">SUM(F46+F64)</f>
        <v>16869</v>
      </c>
      <c r="G28" s="44">
        <f t="shared" si="34"/>
        <v>17869</v>
      </c>
      <c r="H28" s="153">
        <f>IF('AW Schüler'!$C76=0,"x",C28/'AW Schüler'!$C76)</f>
        <v>0.63947866302291356</v>
      </c>
      <c r="I28" s="153">
        <f>IF('AW Schüler'!$F76=0,"x",D28/'AW Schüler'!$F76)</f>
        <v>0.69460580912863068</v>
      </c>
      <c r="J28" s="153">
        <f>IF('AW Schüler'!$I76=0,"x",E28/'AW Schüler'!$I76)</f>
        <v>0.671027197122949</v>
      </c>
      <c r="K28" s="153">
        <f>IF('AW Schüler'!$L76=0,"x",F28/'AW Schüler'!$L76)</f>
        <v>0.71457618502986398</v>
      </c>
      <c r="L28" s="154">
        <f>IF('AW Schüler'!$O76=0,"x",G28/'AW Schüler'!$O76)</f>
        <v>0.72432103769760847</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151">
        <f>[1]GtS!$E$69</f>
        <v>0</v>
      </c>
      <c r="D30" s="151">
        <f>[2]GtS!$E$73</f>
        <v>0</v>
      </c>
      <c r="E30" s="151">
        <f>[3]GtS!$E$73</f>
        <v>0</v>
      </c>
      <c r="F30" s="151">
        <f>[4]GtS!$E$73</f>
        <v>0</v>
      </c>
      <c r="G30" s="152">
        <f>[5]GtS!$E$73</f>
        <v>0</v>
      </c>
      <c r="H30" s="155" t="str">
        <f>IF('AW Schüler'!$C60=0,"x",C30/'AW Schüler'!$C60)</f>
        <v>x</v>
      </c>
      <c r="I30" s="155" t="str">
        <f>IF('AW Schüler'!$F60=0,"x",D30/'AW Schüler'!$F60)</f>
        <v>x</v>
      </c>
      <c r="J30" s="155" t="str">
        <f>IF('AW Schüler'!$I60=0,"x",E30/'AW Schüler'!$I60)</f>
        <v>x</v>
      </c>
      <c r="K30" s="155" t="str">
        <f>IF('AW Schüler'!$L60=0,"x",F30/'AW Schüler'!$L60)</f>
        <v>x</v>
      </c>
      <c r="L30" s="156" t="str">
        <f>IF('AW Schüler'!$O60=0,"x",G30/'AW Schüler'!$O60)</f>
        <v>x</v>
      </c>
    </row>
    <row r="31" spans="1:12" ht="9" customHeight="1">
      <c r="A31" s="21" t="s">
        <v>81</v>
      </c>
      <c r="B31" s="120"/>
      <c r="C31" s="151">
        <f>[6]GtS!$E$69</f>
        <v>0</v>
      </c>
      <c r="D31" s="151">
        <f>[7]GtS!$E$73</f>
        <v>0</v>
      </c>
      <c r="E31" s="151">
        <f>[8]GtS!$E$73</f>
        <v>0</v>
      </c>
      <c r="F31" s="151" t="str">
        <f>[9]GtS!$E$73</f>
        <v xml:space="preserve">                                      -   </v>
      </c>
      <c r="G31" s="152">
        <f>[10]GtS!$E$73</f>
        <v>0</v>
      </c>
      <c r="H31" s="155" t="str">
        <f>IF('AW Schüler'!$C61=0,"x",C31/'AW Schüler'!$C61)</f>
        <v>x</v>
      </c>
      <c r="I31" s="155" t="str">
        <f>IF('AW Schüler'!$F61=0,"x",D31/'AW Schüler'!$F61)</f>
        <v>x</v>
      </c>
      <c r="J31" s="155" t="str">
        <f>IF('AW Schüler'!$I61=0,"x",E31/'AW Schüler'!$I61)</f>
        <v>x</v>
      </c>
      <c r="K31" s="155" t="str">
        <f>IF('AW Schüler'!$L61=0,"x",F31/'AW Schüler'!$L61)</f>
        <v>x</v>
      </c>
      <c r="L31" s="156" t="str">
        <f>IF('AW Schüler'!$O61=0,"x",G31/'AW Schüler'!$O61)</f>
        <v>x</v>
      </c>
    </row>
    <row r="32" spans="1:12" ht="9" customHeight="1">
      <c r="A32" s="21" t="s">
        <v>82</v>
      </c>
      <c r="B32" s="120"/>
      <c r="C32" s="151">
        <f>[11]GtS!$E$69</f>
        <v>0</v>
      </c>
      <c r="D32" s="151">
        <f>[12]GtS!$E$73</f>
        <v>0</v>
      </c>
      <c r="E32" s="151">
        <f>[13]GtS!$E$73</f>
        <v>0</v>
      </c>
      <c r="F32" s="151">
        <f>[14]GtS!$E$73</f>
        <v>0</v>
      </c>
      <c r="G32" s="152">
        <f>[15]GtS!$E$73</f>
        <v>0</v>
      </c>
      <c r="H32" s="155" t="str">
        <f>IF('AW Schüler'!$C62=0,"x",C32/'AW Schüler'!$C62)</f>
        <v>x</v>
      </c>
      <c r="I32" s="155" t="str">
        <f>IF('AW Schüler'!$F62=0,"x",D32/'AW Schüler'!$F62)</f>
        <v>x</v>
      </c>
      <c r="J32" s="155" t="str">
        <f>IF('AW Schüler'!$I62=0,"x",E32/'AW Schüler'!$I62)</f>
        <v>x</v>
      </c>
      <c r="K32" s="155" t="str">
        <f>IF('AW Schüler'!$L62=0,"x",F32/'AW Schüler'!$L62)</f>
        <v>x</v>
      </c>
      <c r="L32" s="156" t="str">
        <f>IF('AW Schüler'!$O62=0,"x",G32/'AW Schüler'!$O62)</f>
        <v>x</v>
      </c>
    </row>
    <row r="33" spans="1:12" ht="9" customHeight="1">
      <c r="A33" s="21" t="s">
        <v>83</v>
      </c>
      <c r="B33" s="120"/>
      <c r="C33" s="23">
        <f>[16]GtS!$E$69</f>
        <v>1263</v>
      </c>
      <c r="D33" s="23">
        <f>[17]GtS!$E$73</f>
        <v>1470</v>
      </c>
      <c r="E33" s="23">
        <f>[18]GtS!$E$73</f>
        <v>1486</v>
      </c>
      <c r="F33" s="23">
        <f>[19]GtS!$E$73</f>
        <v>1586</v>
      </c>
      <c r="G33" s="34">
        <f>[20]GtS!$E$73</f>
        <v>1646</v>
      </c>
      <c r="H33" s="155">
        <f>IF('AW Schüler'!$C63=0,"x",C33/'AW Schüler'!$C63)</f>
        <v>0.49724409448818896</v>
      </c>
      <c r="I33" s="155">
        <f>IF('AW Schüler'!$F63=0,"x",D33/'AW Schüler'!$F63)</f>
        <v>0.54404145077720212</v>
      </c>
      <c r="J33" s="155">
        <f>IF('AW Schüler'!$I63=0,"x",E33/'AW Schüler'!$I63)</f>
        <v>0.54115076474872537</v>
      </c>
      <c r="K33" s="155">
        <f>IF('AW Schüler'!$L63=0,"x",F33/'AW Schüler'!$L63)</f>
        <v>0.5738060781476122</v>
      </c>
      <c r="L33" s="156">
        <f>IF('AW Schüler'!$O63=0,"x",G33/'AW Schüler'!$O63)</f>
        <v>0.58039492242595203</v>
      </c>
    </row>
    <row r="34" spans="1:12" ht="9" customHeight="1">
      <c r="A34" s="21" t="s">
        <v>84</v>
      </c>
      <c r="B34" s="120"/>
      <c r="C34" s="23">
        <f>[21]GtS!$E$69</f>
        <v>0</v>
      </c>
      <c r="D34" s="23">
        <f>[22]GtS!$E$73</f>
        <v>0</v>
      </c>
      <c r="E34" s="23">
        <f>[23]GtS!$E$73</f>
        <v>0</v>
      </c>
      <c r="F34" s="23">
        <f>[24]GtS!$E$73</f>
        <v>0</v>
      </c>
      <c r="G34" s="34">
        <f>[25]GtS!$E$73</f>
        <v>0</v>
      </c>
      <c r="H34" s="155">
        <f>IF('AW Schüler'!$C64=0,"x",C34/'AW Schüler'!$C64)</f>
        <v>0</v>
      </c>
      <c r="I34" s="155">
        <f>IF('AW Schüler'!$F64=0,"x",D34/'AW Schüler'!$F64)</f>
        <v>0</v>
      </c>
      <c r="J34" s="155">
        <f>IF('AW Schüler'!$I64=0,"x",E34/'AW Schüler'!$I64)</f>
        <v>0</v>
      </c>
      <c r="K34" s="155">
        <f>IF('AW Schüler'!$L64=0,"x",F34/'AW Schüler'!$L64)</f>
        <v>0</v>
      </c>
      <c r="L34" s="156">
        <f>IF('AW Schüler'!$O64=0,"x",G34/'AW Schüler'!$O64)</f>
        <v>0</v>
      </c>
    </row>
    <row r="35" spans="1:12" ht="9" customHeight="1">
      <c r="A35" s="21" t="s">
        <v>85</v>
      </c>
      <c r="B35" s="120"/>
      <c r="C35" s="23">
        <f>[26]GtS!$E$69</f>
        <v>105</v>
      </c>
      <c r="D35" s="151">
        <f>[27]GtS!$E$73</f>
        <v>0</v>
      </c>
      <c r="E35" s="151">
        <f>[28]GtS!$E$73</f>
        <v>0</v>
      </c>
      <c r="F35" s="151">
        <f>[29]GtS!$E$73</f>
        <v>0</v>
      </c>
      <c r="G35" s="152">
        <f>[30]GtS!$E$73</f>
        <v>0</v>
      </c>
      <c r="H35" s="155">
        <f>IF('AW Schüler'!$C65=0,"x",C35/'AW Schüler'!$C65)</f>
        <v>0.24590163934426229</v>
      </c>
      <c r="I35" s="155" t="str">
        <f>IF('AW Schüler'!$F65=0,"x",D35/'AW Schüler'!$F65)</f>
        <v>x</v>
      </c>
      <c r="J35" s="155" t="str">
        <f>IF('AW Schüler'!$I65=0,"x",E35/'AW Schüler'!$I65)</f>
        <v>x</v>
      </c>
      <c r="K35" s="155" t="str">
        <f>IF('AW Schüler'!$L65=0,"x",F35/'AW Schüler'!$L65)</f>
        <v>x</v>
      </c>
      <c r="L35" s="156" t="str">
        <f>IF('AW Schüler'!$O65=0,"x",G35/'AW Schüler'!$O65)</f>
        <v>x</v>
      </c>
    </row>
    <row r="36" spans="1:12" ht="9" customHeight="1">
      <c r="A36" s="21" t="s">
        <v>86</v>
      </c>
      <c r="B36" s="120"/>
      <c r="C36" s="151">
        <f>[66]GtS!$E$69</f>
        <v>0</v>
      </c>
      <c r="D36" s="151">
        <f>[67]GtS!$E$73</f>
        <v>0</v>
      </c>
      <c r="E36" s="151">
        <f>[68]GtS!$E$73</f>
        <v>0</v>
      </c>
      <c r="F36" s="151">
        <f>[69]GtS!$E$73</f>
        <v>0</v>
      </c>
      <c r="G36" s="152">
        <f>[70]GtS!$E$73</f>
        <v>0</v>
      </c>
      <c r="H36" s="189" t="str">
        <f>IF('AW Schüler'!$C66=0,"x",C36/'AW Schüler'!$C66)</f>
        <v>x</v>
      </c>
      <c r="I36" s="189" t="str">
        <f>IF('AW Schüler'!$F66=0,"x",D36/'AW Schüler'!$F66)</f>
        <v>x</v>
      </c>
      <c r="J36" s="189" t="str">
        <f>IF('AW Schüler'!$I66=0,"x",E36/'AW Schüler'!$I66)</f>
        <v>x</v>
      </c>
      <c r="K36" s="189" t="str">
        <f>IF('AW Schüler'!$L66=0,"x",F36/'AW Schüler'!$L66)</f>
        <v>x</v>
      </c>
      <c r="L36" s="190" t="str">
        <f>IF('AW Schüler'!$O66=0,"x",G36/'AW Schüler'!$O66)</f>
        <v>x</v>
      </c>
    </row>
    <row r="37" spans="1:12" ht="9" customHeight="1">
      <c r="A37" s="21" t="s">
        <v>176</v>
      </c>
      <c r="B37" s="120"/>
      <c r="C37" s="23">
        <f>[31]GtS!$E$69</f>
        <v>914</v>
      </c>
      <c r="D37" s="23">
        <f>[32]GtS!$E$73</f>
        <v>924</v>
      </c>
      <c r="E37" s="23">
        <f>[33]GtS!$E$73</f>
        <v>924</v>
      </c>
      <c r="F37" s="23">
        <f>[34]GtS!$E$73</f>
        <v>1537</v>
      </c>
      <c r="G37" s="34">
        <f>[35]GtS!$E$73</f>
        <v>1367</v>
      </c>
      <c r="H37" s="155">
        <f>IF('AW Schüler'!$C67=0,"x",C37/'AW Schüler'!$C67)</f>
        <v>0.41526578827805544</v>
      </c>
      <c r="I37" s="155">
        <f>IF('AW Schüler'!$F67=0,"x",D37/'AW Schüler'!$F67)</f>
        <v>0.39930855661192738</v>
      </c>
      <c r="J37" s="155">
        <f>IF('AW Schüler'!$I67=0,"x",E37/'AW Schüler'!$I67)</f>
        <v>0.37683523654159867</v>
      </c>
      <c r="K37" s="155">
        <f>IF('AW Schüler'!$L67=0,"x",F37/'AW Schüler'!$L67)</f>
        <v>0.60203681942812382</v>
      </c>
      <c r="L37" s="156">
        <f>IF('AW Schüler'!$O67=0,"x",G37/'AW Schüler'!$O67)</f>
        <v>0.55614320585842147</v>
      </c>
    </row>
    <row r="38" spans="1:12" ht="9" customHeight="1">
      <c r="A38" s="21" t="s">
        <v>88</v>
      </c>
      <c r="B38" s="120"/>
      <c r="C38" s="124">
        <f>[71]GtS!$E$69</f>
        <v>0</v>
      </c>
      <c r="D38" s="124">
        <f>[72]GtS!$E$73</f>
        <v>0</v>
      </c>
      <c r="E38" s="124">
        <f>[73]GtS!$E$73</f>
        <v>0</v>
      </c>
      <c r="F38" s="124">
        <f>[74]GtS!$E$73</f>
        <v>0</v>
      </c>
      <c r="G38" s="188">
        <f>[75]GtS!$E$73</f>
        <v>0</v>
      </c>
      <c r="H38" s="189">
        <f>IF('AW Schüler'!$C68=0,"x",C38/'AW Schüler'!$C68)</f>
        <v>0</v>
      </c>
      <c r="I38" s="189">
        <f>IF('AW Schüler'!$F68=0,"x",D38/'AW Schüler'!$F68)</f>
        <v>0</v>
      </c>
      <c r="J38" s="189">
        <f>IF('AW Schüler'!$I68=0,"x",E38/'AW Schüler'!$I68)</f>
        <v>0</v>
      </c>
      <c r="K38" s="189">
        <f>IF('AW Schüler'!$L68=0,"x",F38/'AW Schüler'!$L68)</f>
        <v>0</v>
      </c>
      <c r="L38" s="190">
        <f>IF('AW Schüler'!$O68=0,"x",G38/'AW Schüler'!$O68)</f>
        <v>0</v>
      </c>
    </row>
    <row r="39" spans="1:12" ht="9" customHeight="1">
      <c r="A39" s="21" t="s">
        <v>89</v>
      </c>
      <c r="B39" s="120"/>
      <c r="C39" s="151">
        <f>[36]GtS!$E$69</f>
        <v>270</v>
      </c>
      <c r="D39" s="151">
        <f>[37]GtS!$E$73</f>
        <v>1020</v>
      </c>
      <c r="E39" s="151">
        <f>[38]GtS!$E$73</f>
        <v>1711</v>
      </c>
      <c r="F39" s="151">
        <f>[39]GtS!$E$73</f>
        <v>2328</v>
      </c>
      <c r="G39" s="152">
        <f>[40]GtS!$E$73</f>
        <v>3060</v>
      </c>
      <c r="H39" s="155">
        <f>IF('AW Schüler'!$C69=0,"x",C39/'AW Schüler'!$C69)</f>
        <v>0.74380165289256195</v>
      </c>
      <c r="I39" s="155">
        <f>IF('AW Schüler'!$F69=0,"x",D39/'AW Schüler'!$F69)</f>
        <v>0.83469721767594107</v>
      </c>
      <c r="J39" s="155">
        <f>IF('AW Schüler'!$I69=0,"x",E39/'AW Schüler'!$I69)</f>
        <v>0.85336658354114714</v>
      </c>
      <c r="K39" s="155">
        <f>IF('AW Schüler'!$L69=0,"x",F39/'AW Schüler'!$L69)</f>
        <v>0.84901531728665203</v>
      </c>
      <c r="L39" s="156">
        <f>IF('AW Schüler'!$O69=0,"x",G39/'AW Schüler'!$O69)</f>
        <v>0.85094549499443828</v>
      </c>
    </row>
    <row r="40" spans="1:12" ht="9" customHeight="1">
      <c r="A40" s="21" t="s">
        <v>90</v>
      </c>
      <c r="B40" s="120"/>
      <c r="C40" s="23">
        <f>[41]GtS!$E$69</f>
        <v>337</v>
      </c>
      <c r="D40" s="23">
        <f>[42]GtS!$E$73</f>
        <v>388</v>
      </c>
      <c r="E40" s="23">
        <f>[43]GtS!$E$73</f>
        <v>415</v>
      </c>
      <c r="F40" s="23">
        <f>[44]GtS!$E$73</f>
        <v>478</v>
      </c>
      <c r="G40" s="34">
        <f>[45]GtS!$E$73</f>
        <v>516</v>
      </c>
      <c r="H40" s="155">
        <f>IF('AW Schüler'!$C70=0,"x",C40/'AW Schüler'!$C70)</f>
        <v>0.1859823399558499</v>
      </c>
      <c r="I40" s="155">
        <f>IF('AW Schüler'!$F70=0,"x",D40/'AW Schüler'!$F70)</f>
        <v>0.21365638766519823</v>
      </c>
      <c r="J40" s="155">
        <f>IF('AW Schüler'!$I70=0,"x",E40/'AW Schüler'!$I70)</f>
        <v>0.18122270742358079</v>
      </c>
      <c r="K40" s="155">
        <f>IF('AW Schüler'!$L70=0,"x",F40/'AW Schüler'!$L70)</f>
        <v>0.16719132563833508</v>
      </c>
      <c r="L40" s="156">
        <f>IF('AW Schüler'!$O70=0,"x",G40/'AW Schüler'!$O70)</f>
        <v>0.17916666666666667</v>
      </c>
    </row>
    <row r="41" spans="1:12" ht="9" customHeight="1">
      <c r="A41" s="21" t="s">
        <v>91</v>
      </c>
      <c r="B41" s="120"/>
      <c r="C41" s="23">
        <f>[46]GtS!$E$69</f>
        <v>0</v>
      </c>
      <c r="D41" s="23">
        <f>[47]GtS!$E$73</f>
        <v>0</v>
      </c>
      <c r="E41" s="23">
        <f>[48]GtS!$E$73</f>
        <v>0</v>
      </c>
      <c r="F41" s="23">
        <f>[49]GtS!$E$73</f>
        <v>0</v>
      </c>
      <c r="G41" s="34">
        <f>[50]GtS!$E$73</f>
        <v>0</v>
      </c>
      <c r="H41" s="155">
        <f>IF('AW Schüler'!$C71=0,"x",C41/'AW Schüler'!$C71)</f>
        <v>0</v>
      </c>
      <c r="I41" s="155">
        <f>IF('AW Schüler'!$F71=0,"x",D41/'AW Schüler'!$F71)</f>
        <v>0</v>
      </c>
      <c r="J41" s="155">
        <f>IF('AW Schüler'!$I71=0,"x",E41/'AW Schüler'!$I71)</f>
        <v>0</v>
      </c>
      <c r="K41" s="155">
        <f>IF('AW Schüler'!$L71=0,"x",F41/'AW Schüler'!$L71)</f>
        <v>0</v>
      </c>
      <c r="L41" s="156">
        <f>IF('AW Schüler'!$O71=0,"x",G41/'AW Schüler'!$O71)</f>
        <v>0</v>
      </c>
    </row>
    <row r="42" spans="1:12" ht="9" customHeight="1">
      <c r="A42" s="21" t="s">
        <v>92</v>
      </c>
      <c r="B42" s="120"/>
      <c r="C42" s="23">
        <f>[51]GtS!$E$69</f>
        <v>4371</v>
      </c>
      <c r="D42" s="23">
        <f>[52]GtS!$E$73</f>
        <v>5027</v>
      </c>
      <c r="E42" s="23">
        <f>[53]GtS!$E$73</f>
        <v>4983</v>
      </c>
      <c r="F42" s="23">
        <f>[54]GtS!$E$73</f>
        <v>5268</v>
      </c>
      <c r="G42" s="34">
        <f>[55]GtS!$E$73</f>
        <v>5444</v>
      </c>
      <c r="H42" s="155">
        <f>IF('AW Schüler'!$C72=0,"x",C42/'AW Schüler'!$C72)</f>
        <v>0.50997549877493875</v>
      </c>
      <c r="I42" s="155">
        <f>IF('AW Schüler'!$F72=0,"x",D42/'AW Schüler'!$F72)</f>
        <v>0.54392988530621078</v>
      </c>
      <c r="J42" s="155">
        <f>IF('AW Schüler'!$I72=0,"x",E42/'AW Schüler'!$I72)</f>
        <v>0.50883283978351879</v>
      </c>
      <c r="K42" s="155">
        <f>IF('AW Schüler'!$L72=0,"x",F42/'AW Schüler'!$L72)</f>
        <v>0.51006971340046481</v>
      </c>
      <c r="L42" s="156">
        <f>IF('AW Schüler'!$O72=0,"x",G42/'AW Schüler'!$O72)</f>
        <v>0.49360776135642398</v>
      </c>
    </row>
    <row r="43" spans="1:12" ht="9" customHeight="1">
      <c r="A43" s="21" t="s">
        <v>93</v>
      </c>
      <c r="B43" s="120"/>
      <c r="C43" s="124">
        <f>[76]GtS!$E$69</f>
        <v>0</v>
      </c>
      <c r="D43" s="124">
        <f>[77]GtS!$E$73</f>
        <v>0</v>
      </c>
      <c r="E43" s="124">
        <f>[78]GtS!$E$73</f>
        <v>0</v>
      </c>
      <c r="F43" s="124">
        <f>[79]GtS!$E$73</f>
        <v>0</v>
      </c>
      <c r="G43" s="188">
        <f>[80]GtS!$E$73</f>
        <v>0</v>
      </c>
      <c r="H43" s="189">
        <f>IF('AW Schüler'!$C73=0,"x",C43/'AW Schüler'!$C73)</f>
        <v>0</v>
      </c>
      <c r="I43" s="189">
        <f>IF('AW Schüler'!$F73=0,"x",D43/'AW Schüler'!$F73)</f>
        <v>0</v>
      </c>
      <c r="J43" s="189">
        <f>IF('AW Schüler'!$I73=0,"x",E43/'AW Schüler'!$I73)</f>
        <v>0</v>
      </c>
      <c r="K43" s="189">
        <f>IF('AW Schüler'!$L73=0,"x",F43/'AW Schüler'!$L73)</f>
        <v>0</v>
      </c>
      <c r="L43" s="190">
        <f>IF('AW Schüler'!$O73=0,"x",G43/'AW Schüler'!$O73)</f>
        <v>0</v>
      </c>
    </row>
    <row r="44" spans="1:12" ht="9" customHeight="1">
      <c r="A44" s="21" t="s">
        <v>94</v>
      </c>
      <c r="B44" s="120"/>
      <c r="C44" s="23">
        <f>[56]GtS!$E$69</f>
        <v>0</v>
      </c>
      <c r="D44" s="23">
        <f>[57]GtS!$E$73</f>
        <v>0</v>
      </c>
      <c r="E44" s="23">
        <f>[58]GtS!$E$73</f>
        <v>0</v>
      </c>
      <c r="F44" s="23">
        <f>[59]GtS!$E$73</f>
        <v>0</v>
      </c>
      <c r="G44" s="34">
        <f>[60]GtS!$E$73</f>
        <v>0</v>
      </c>
      <c r="H44" s="155">
        <f>IF('AW Schüler'!$C74=0,"x",C44/'AW Schüler'!$C74)</f>
        <v>0</v>
      </c>
      <c r="I44" s="155">
        <f>IF('AW Schüler'!$F74=0,"x",D44/'AW Schüler'!$F74)</f>
        <v>0</v>
      </c>
      <c r="J44" s="155">
        <f>IF('AW Schüler'!$I74=0,"x",E44/'AW Schüler'!$I74)</f>
        <v>0</v>
      </c>
      <c r="K44" s="155">
        <f>IF('AW Schüler'!$L74=0,"x",F44/'AW Schüler'!$L74)</f>
        <v>0</v>
      </c>
      <c r="L44" s="156">
        <f>IF('AW Schüler'!$O74=0,"x",G44/'AW Schüler'!$O74)</f>
        <v>0</v>
      </c>
    </row>
    <row r="45" spans="1:12" ht="9" customHeight="1">
      <c r="A45" s="21" t="s">
        <v>95</v>
      </c>
      <c r="B45" s="120"/>
      <c r="C45" s="23">
        <f>[61]GtS!$E$69</f>
        <v>810</v>
      </c>
      <c r="D45" s="23">
        <f>[62]GtS!$E$73</f>
        <v>1025</v>
      </c>
      <c r="E45" s="23">
        <f>[63]GtS!$E$73</f>
        <v>922</v>
      </c>
      <c r="F45" s="23">
        <f>[64]GtS!$E$73</f>
        <v>933</v>
      </c>
      <c r="G45" s="34">
        <f>[65]GtS!$E$73</f>
        <v>955</v>
      </c>
      <c r="H45" s="155">
        <f>IF('AW Schüler'!$C75=0,"x",C45/'AW Schüler'!$C75)</f>
        <v>0.53149606299212604</v>
      </c>
      <c r="I45" s="155">
        <f>IF('AW Schüler'!$F75=0,"x",D45/'AW Schüler'!$F75)</f>
        <v>0.6462799495586381</v>
      </c>
      <c r="J45" s="155">
        <f>IF('AW Schüler'!$I75=0,"x",E45/'AW Schüler'!$I75)</f>
        <v>0.62678450033990485</v>
      </c>
      <c r="K45" s="155">
        <f>IF('AW Schüler'!$L75=0,"x",F45/'AW Schüler'!$L75)</f>
        <v>0.62743779421654333</v>
      </c>
      <c r="L45" s="156">
        <f>IF('AW Schüler'!$O75=0,"x",G45/'AW Schüler'!$O75)</f>
        <v>0.63666666666666671</v>
      </c>
    </row>
    <row r="46" spans="1:12" ht="9" customHeight="1">
      <c r="A46" s="21" t="s">
        <v>96</v>
      </c>
      <c r="B46" s="120"/>
      <c r="C46" s="23">
        <f>SUM(C30:C45)</f>
        <v>8070</v>
      </c>
      <c r="D46" s="23">
        <f>SUM(D30:D45)</f>
        <v>9854</v>
      </c>
      <c r="E46" s="23">
        <f>SUM(E30:E45)</f>
        <v>10441</v>
      </c>
      <c r="F46" s="23">
        <f>SUM(F30:F45)</f>
        <v>12130</v>
      </c>
      <c r="G46" s="34">
        <f>SUM(G30:G45)</f>
        <v>12988</v>
      </c>
      <c r="H46" s="155">
        <f>IF('AW Schüler'!$C76=0,"x",C46/'AW Schüler'!$C76)</f>
        <v>0.42411183519024598</v>
      </c>
      <c r="I46" s="155">
        <f>IF('AW Schüler'!$F76=0,"x",D46/'AW Schüler'!$F76)</f>
        <v>0.48103490358799122</v>
      </c>
      <c r="J46" s="155">
        <f>IF('AW Schüler'!$I76=0,"x",E46/'AW Schüler'!$I76)</f>
        <v>0.46936390200044953</v>
      </c>
      <c r="K46" s="155">
        <f>IF('AW Schüler'!$L76=0,"x",F46/'AW Schüler'!$L76)</f>
        <v>0.51383064345321305</v>
      </c>
      <c r="L46" s="156">
        <f>IF('AW Schüler'!$O76=0,"x",G46/'AW Schüler'!$O76)</f>
        <v>0.52646939602756382</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151">
        <f>[1]GtS!$H$69</f>
        <v>0</v>
      </c>
      <c r="D48" s="151">
        <f>[2]GtS!$H$73</f>
        <v>0</v>
      </c>
      <c r="E48" s="151">
        <f>[3]GtS!$H$73</f>
        <v>0</v>
      </c>
      <c r="F48" s="151">
        <f>[4]GtS!$H$73</f>
        <v>0</v>
      </c>
      <c r="G48" s="152">
        <f>[5]GtS!$H$73</f>
        <v>0</v>
      </c>
      <c r="H48" s="155" t="str">
        <f>IF('AW Schüler'!$C60=0,"x",C48/'AW Schüler'!$C60)</f>
        <v>x</v>
      </c>
      <c r="I48" s="155" t="str">
        <f>IF('AW Schüler'!$F60=0,"x",D48/'AW Schüler'!$F60)</f>
        <v>x</v>
      </c>
      <c r="J48" s="155" t="str">
        <f>IF('AW Schüler'!$I60=0,"x",E48/'AW Schüler'!$I60)</f>
        <v>x</v>
      </c>
      <c r="K48" s="155" t="str">
        <f>IF('AW Schüler'!$L60=0,"x",F48/'AW Schüler'!$L60)</f>
        <v>x</v>
      </c>
      <c r="L48" s="156" t="str">
        <f>IF('AW Schüler'!$O60=0,"x",G48/'AW Schüler'!$O60)</f>
        <v>x</v>
      </c>
    </row>
    <row r="49" spans="1:12" ht="9" customHeight="1">
      <c r="A49" s="21" t="s">
        <v>81</v>
      </c>
      <c r="B49" s="120"/>
      <c r="C49" s="151">
        <f>[6]GtS!$H$69</f>
        <v>0</v>
      </c>
      <c r="D49" s="151">
        <f>[7]GtS!$H$73</f>
        <v>0</v>
      </c>
      <c r="E49" s="151">
        <f>[8]GtS!$H$73</f>
        <v>0</v>
      </c>
      <c r="F49" s="151" t="str">
        <f>[9]GtS!$H$73</f>
        <v xml:space="preserve">                                      -   </v>
      </c>
      <c r="G49" s="152">
        <f>[10]GtS!$H$73</f>
        <v>0</v>
      </c>
      <c r="H49" s="155" t="str">
        <f>IF('AW Schüler'!$C61=0,"x",C49/'AW Schüler'!$C61)</f>
        <v>x</v>
      </c>
      <c r="I49" s="155" t="str">
        <f>IF('AW Schüler'!$F61=0,"x",D49/'AW Schüler'!$F61)</f>
        <v>x</v>
      </c>
      <c r="J49" s="155" t="str">
        <f>IF('AW Schüler'!$I61=0,"x",E49/'AW Schüler'!$I61)</f>
        <v>x</v>
      </c>
      <c r="K49" s="155" t="str">
        <f>IF('AW Schüler'!$L61=0,"x",F49/'AW Schüler'!$L61)</f>
        <v>x</v>
      </c>
      <c r="L49" s="156" t="str">
        <f>IF('AW Schüler'!$O61=0,"x",G49/'AW Schüler'!$O61)</f>
        <v>x</v>
      </c>
    </row>
    <row r="50" spans="1:12" ht="9" customHeight="1">
      <c r="A50" s="21" t="s">
        <v>82</v>
      </c>
      <c r="B50" s="120"/>
      <c r="C50" s="151">
        <f>[11]GtS!$H$69</f>
        <v>0</v>
      </c>
      <c r="D50" s="151">
        <f>[12]GtS!$H$73</f>
        <v>0</v>
      </c>
      <c r="E50" s="151">
        <f>[13]GtS!$H$73</f>
        <v>0</v>
      </c>
      <c r="F50" s="151">
        <f>[14]GtS!$H$73</f>
        <v>0</v>
      </c>
      <c r="G50" s="152">
        <f>[15]GtS!$H$73</f>
        <v>0</v>
      </c>
      <c r="H50" s="155" t="str">
        <f>IF('AW Schüler'!$C62=0,"x",C50/'AW Schüler'!$C62)</f>
        <v>x</v>
      </c>
      <c r="I50" s="155" t="str">
        <f>IF('AW Schüler'!$F62=0,"x",D50/'AW Schüler'!$F62)</f>
        <v>x</v>
      </c>
      <c r="J50" s="155" t="str">
        <f>IF('AW Schüler'!$I62=0,"x",E50/'AW Schüler'!$I62)</f>
        <v>x</v>
      </c>
      <c r="K50" s="155" t="str">
        <f>IF('AW Schüler'!$L62=0,"x",F50/'AW Schüler'!$L62)</f>
        <v>x</v>
      </c>
      <c r="L50" s="156" t="str">
        <f>IF('AW Schüler'!$O62=0,"x",G50/'AW Schüler'!$O62)</f>
        <v>x</v>
      </c>
    </row>
    <row r="51" spans="1:12" ht="9" customHeight="1">
      <c r="A51" s="21" t="s">
        <v>83</v>
      </c>
      <c r="B51" s="120"/>
      <c r="C51" s="23">
        <f>[16]GtS!$H$69</f>
        <v>276</v>
      </c>
      <c r="D51" s="23">
        <f>[17]GtS!$H$73</f>
        <v>318</v>
      </c>
      <c r="E51" s="23">
        <f>[18]GtS!$H$73</f>
        <v>295</v>
      </c>
      <c r="F51" s="23">
        <f>[19]GtS!$H$73</f>
        <v>218</v>
      </c>
      <c r="G51" s="34">
        <f>[20]GtS!$H$73</f>
        <v>225</v>
      </c>
      <c r="H51" s="155">
        <f>IF('AW Schüler'!$C63=0,"x",C51/'AW Schüler'!$C63)</f>
        <v>0.10866141732283464</v>
      </c>
      <c r="I51" s="155">
        <f>IF('AW Schüler'!$F63=0,"x",D51/'AW Schüler'!$F63)</f>
        <v>0.11769059955588453</v>
      </c>
      <c r="J51" s="155">
        <f>IF('AW Schüler'!$I63=0,"x",E51/'AW Schüler'!$I63)</f>
        <v>0.10742898761835397</v>
      </c>
      <c r="K51" s="155">
        <f>IF('AW Schüler'!$L63=0,"x",F51/'AW Schüler'!$L63)</f>
        <v>7.8871201157742404E-2</v>
      </c>
      <c r="L51" s="156">
        <f>IF('AW Schüler'!$O63=0,"x",G51/'AW Schüler'!$O63)</f>
        <v>7.9337094499294783E-2</v>
      </c>
    </row>
    <row r="52" spans="1:12" ht="9" customHeight="1">
      <c r="A52" s="21" t="s">
        <v>84</v>
      </c>
      <c r="B52" s="120"/>
      <c r="C52" s="23">
        <f>[21]GtS!$H$68</f>
        <v>0</v>
      </c>
      <c r="D52" s="23">
        <f>[22]GtS!$H$68</f>
        <v>0</v>
      </c>
      <c r="E52" s="23">
        <f>[23]GtS!$H$68</f>
        <v>0</v>
      </c>
      <c r="F52" s="23">
        <f>[24]GtS!$H$68</f>
        <v>0</v>
      </c>
      <c r="G52" s="34">
        <f>[25]GtS!$H$68</f>
        <v>0</v>
      </c>
      <c r="H52" s="155">
        <f>IF('AW Schüler'!$C64=0,"x",C52/'AW Schüler'!$C64)</f>
        <v>0</v>
      </c>
      <c r="I52" s="155">
        <f>IF('AW Schüler'!$F64=0,"x",D52/'AW Schüler'!$F64)</f>
        <v>0</v>
      </c>
      <c r="J52" s="155">
        <f>IF('AW Schüler'!$I64=0,"x",E52/'AW Schüler'!$I64)</f>
        <v>0</v>
      </c>
      <c r="K52" s="155">
        <f>IF('AW Schüler'!$L64=0,"x",F52/'AW Schüler'!$L64)</f>
        <v>0</v>
      </c>
      <c r="L52" s="156">
        <f>IF('AW Schüler'!$O64=0,"x",G52/'AW Schüler'!$O64)</f>
        <v>0</v>
      </c>
    </row>
    <row r="53" spans="1:12" ht="9" customHeight="1">
      <c r="A53" s="21" t="s">
        <v>85</v>
      </c>
      <c r="B53" s="120"/>
      <c r="C53" s="23">
        <f>[26]GtS!$H$69</f>
        <v>165</v>
      </c>
      <c r="D53" s="151">
        <f>[27]GtS!$H$73</f>
        <v>0</v>
      </c>
      <c r="E53" s="151">
        <f>[28]GtS!$H$73</f>
        <v>0</v>
      </c>
      <c r="F53" s="151">
        <f>[29]GtS!$H$73</f>
        <v>0</v>
      </c>
      <c r="G53" s="152">
        <f>[30]GtS!$H$73</f>
        <v>0</v>
      </c>
      <c r="H53" s="155">
        <f>IF('AW Schüler'!$C65=0,"x",C53/'AW Schüler'!$C65)</f>
        <v>0.38641686182669788</v>
      </c>
      <c r="I53" s="155" t="str">
        <f>IF('AW Schüler'!$F65=0,"x",D53/'AW Schüler'!$F65)</f>
        <v>x</v>
      </c>
      <c r="J53" s="155" t="str">
        <f>IF('AW Schüler'!$I65=0,"x",E53/'AW Schüler'!$I65)</f>
        <v>x</v>
      </c>
      <c r="K53" s="155" t="str">
        <f>IF('AW Schüler'!$L65=0,"x",F53/'AW Schüler'!$L65)</f>
        <v>x</v>
      </c>
      <c r="L53" s="156" t="str">
        <f>IF('AW Schüler'!$O65=0,"x",G53/'AW Schüler'!$O65)</f>
        <v>x</v>
      </c>
    </row>
    <row r="54" spans="1:12" ht="9" customHeight="1">
      <c r="A54" s="21" t="s">
        <v>86</v>
      </c>
      <c r="B54" s="120"/>
      <c r="C54" s="151">
        <f>[66]GtS!$H$69</f>
        <v>0</v>
      </c>
      <c r="D54" s="151">
        <f>[67]GtS!$H$73</f>
        <v>0</v>
      </c>
      <c r="E54" s="151">
        <f>[68]GtS!$H$73</f>
        <v>0</v>
      </c>
      <c r="F54" s="151">
        <f>[69]GtS!$H$73</f>
        <v>0</v>
      </c>
      <c r="G54" s="152">
        <f>[70]GtS!$H$73</f>
        <v>0</v>
      </c>
      <c r="H54" s="189" t="str">
        <f>IF('AW Schüler'!$C66=0,"x",C54/'AW Schüler'!$C66)</f>
        <v>x</v>
      </c>
      <c r="I54" s="189" t="str">
        <f>IF('AW Schüler'!$F66=0,"x",D54/'AW Schüler'!$F66)</f>
        <v>x</v>
      </c>
      <c r="J54" s="189" t="str">
        <f>IF('AW Schüler'!$I66=0,"x",E54/'AW Schüler'!$I66)</f>
        <v>x</v>
      </c>
      <c r="K54" s="189" t="str">
        <f>IF('AW Schüler'!$L66=0,"x",F54/'AW Schüler'!$L66)</f>
        <v>x</v>
      </c>
      <c r="L54" s="190" t="str">
        <f>IF('AW Schüler'!$O66=0,"x",G54/'AW Schüler'!$O66)</f>
        <v>x</v>
      </c>
    </row>
    <row r="55" spans="1:12" ht="9" customHeight="1">
      <c r="A55" s="21" t="s">
        <v>176</v>
      </c>
      <c r="B55" s="120"/>
      <c r="C55" s="23">
        <f>[31]GtS!$H$69</f>
        <v>230</v>
      </c>
      <c r="D55" s="23">
        <f>[32]GtS!$H$73</f>
        <v>474</v>
      </c>
      <c r="E55" s="23">
        <f>[33]GtS!$H$73</f>
        <v>474</v>
      </c>
      <c r="F55" s="23">
        <f>[34]GtS!$H$73</f>
        <v>454</v>
      </c>
      <c r="G55" s="34">
        <f>[35]GtS!$H$73</f>
        <v>429</v>
      </c>
      <c r="H55" s="155">
        <f>IF('AW Schüler'!$C67=0,"x",C55/'AW Schüler'!$C67)</f>
        <v>0.10449795547478419</v>
      </c>
      <c r="I55" s="155">
        <f>IF('AW Schüler'!$F67=0,"x",D55/'AW Schüler'!$F67)</f>
        <v>0.20484010371650821</v>
      </c>
      <c r="J55" s="155">
        <f>IF('AW Schüler'!$I67=0,"x",E55/'AW Schüler'!$I67)</f>
        <v>0.19331158238172921</v>
      </c>
      <c r="K55" s="155">
        <f>IF('AW Schüler'!$L67=0,"x",F55/'AW Schüler'!$L67)</f>
        <v>0.17783000391696044</v>
      </c>
      <c r="L55" s="156">
        <f>IF('AW Schüler'!$O67=0,"x",G55/'AW Schüler'!$O67)</f>
        <v>0.17453213995117983</v>
      </c>
    </row>
    <row r="56" spans="1:12" ht="9" customHeight="1">
      <c r="A56" s="21" t="s">
        <v>88</v>
      </c>
      <c r="B56" s="120"/>
      <c r="C56" s="124">
        <f>[71]GtS!$H$69</f>
        <v>0</v>
      </c>
      <c r="D56" s="124">
        <f>[72]GtS!$H$73</f>
        <v>0</v>
      </c>
      <c r="E56" s="124">
        <f>[73]GtS!$H$73</f>
        <v>0</v>
      </c>
      <c r="F56" s="124">
        <f>[74]GtS!$H$73</f>
        <v>0</v>
      </c>
      <c r="G56" s="188">
        <f>[75]GtS!$H$73</f>
        <v>0</v>
      </c>
      <c r="H56" s="189">
        <f>IF('AW Schüler'!$C68=0,"x",C56/'AW Schüler'!$C68)</f>
        <v>0</v>
      </c>
      <c r="I56" s="189">
        <f>IF('AW Schüler'!$F68=0,"x",D56/'AW Schüler'!$F68)</f>
        <v>0</v>
      </c>
      <c r="J56" s="189">
        <f>IF('AW Schüler'!$I68=0,"x",E56/'AW Schüler'!$I68)</f>
        <v>0</v>
      </c>
      <c r="K56" s="189">
        <f>IF('AW Schüler'!$L68=0,"x",F56/'AW Schüler'!$L68)</f>
        <v>0</v>
      </c>
      <c r="L56" s="190">
        <f>IF('AW Schüler'!$O68=0,"x",G56/'AW Schüler'!$O68)</f>
        <v>0</v>
      </c>
    </row>
    <row r="57" spans="1:12" ht="9" customHeight="1">
      <c r="A57" s="21" t="s">
        <v>89</v>
      </c>
      <c r="B57" s="120"/>
      <c r="C57" s="23">
        <f>[36]GtS!$H$69</f>
        <v>0</v>
      </c>
      <c r="D57" s="23">
        <f>[37]GtS!$H$73</f>
        <v>0</v>
      </c>
      <c r="E57" s="23">
        <f>[38]GtS!$H$73</f>
        <v>0</v>
      </c>
      <c r="F57" s="23">
        <f>[39]GtS!$H$73</f>
        <v>0</v>
      </c>
      <c r="G57" s="34">
        <f>[40]GtS!$H$73</f>
        <v>0</v>
      </c>
      <c r="H57" s="155">
        <f>IF('AW Schüler'!$C69=0,"x",C57/'AW Schüler'!$C69)</f>
        <v>0</v>
      </c>
      <c r="I57" s="155">
        <f>IF('AW Schüler'!$F69=0,"x",D57/'AW Schüler'!$F69)</f>
        <v>0</v>
      </c>
      <c r="J57" s="155">
        <f>IF('AW Schüler'!$I69=0,"x",E57/'AW Schüler'!$I69)</f>
        <v>0</v>
      </c>
      <c r="K57" s="155">
        <f>IF('AW Schüler'!$L69=0,"x",F57/'AW Schüler'!$L69)</f>
        <v>0</v>
      </c>
      <c r="L57" s="156">
        <f>IF('AW Schüler'!$O69=0,"x",G57/'AW Schüler'!$O69)</f>
        <v>0</v>
      </c>
    </row>
    <row r="58" spans="1:12" ht="9" customHeight="1">
      <c r="A58" s="21" t="s">
        <v>90</v>
      </c>
      <c r="B58" s="120"/>
      <c r="C58" s="23">
        <f>[41]GtS!$H$69</f>
        <v>44</v>
      </c>
      <c r="D58" s="23">
        <f>[42]GtS!$H$73</f>
        <v>46</v>
      </c>
      <c r="E58" s="23">
        <f>[43]GtS!$H$73</f>
        <v>32</v>
      </c>
      <c r="F58" s="23">
        <f>[44]GtS!$H$73</f>
        <v>76</v>
      </c>
      <c r="G58" s="34">
        <f>[45]GtS!$H$73</f>
        <v>25</v>
      </c>
      <c r="H58" s="155">
        <f>IF('AW Schüler'!$C70=0,"x",C58/'AW Schüler'!$C70)</f>
        <v>2.4282560706401765E-2</v>
      </c>
      <c r="I58" s="155">
        <f>IF('AW Schüler'!$F70=0,"x",D58/'AW Schüler'!$F70)</f>
        <v>2.5330396475770924E-2</v>
      </c>
      <c r="J58" s="155">
        <f>IF('AW Schüler'!$I70=0,"x",E58/'AW Schüler'!$I70)</f>
        <v>1.3973799126637555E-2</v>
      </c>
      <c r="K58" s="155">
        <f>IF('AW Schüler'!$L70=0,"x",F58/'AW Schüler'!$L70)</f>
        <v>2.6582721231199719E-2</v>
      </c>
      <c r="L58" s="156">
        <f>IF('AW Schüler'!$O70=0,"x",G58/'AW Schüler'!$O70)</f>
        <v>8.6805555555555559E-3</v>
      </c>
    </row>
    <row r="59" spans="1:12" ht="9" customHeight="1">
      <c r="A59" s="21" t="s">
        <v>91</v>
      </c>
      <c r="B59" s="120"/>
      <c r="C59" s="23">
        <f>[46]GtS!$H$69</f>
        <v>93</v>
      </c>
      <c r="D59" s="23">
        <f>[47]GtS!$H$73</f>
        <v>100</v>
      </c>
      <c r="E59" s="23">
        <f>[48]GtS!$H$73</f>
        <v>103</v>
      </c>
      <c r="F59" s="23">
        <f>[49]GtS!$H$73</f>
        <v>102</v>
      </c>
      <c r="G59" s="34">
        <f>[50]GtS!$H$73</f>
        <v>49</v>
      </c>
      <c r="H59" s="155">
        <f>IF('AW Schüler'!$C71=0,"x",C59/'AW Schüler'!$C71)</f>
        <v>0.23076923076923078</v>
      </c>
      <c r="I59" s="155">
        <f>IF('AW Schüler'!$F71=0,"x",D59/'AW Schüler'!$F71)</f>
        <v>0.25575447570332482</v>
      </c>
      <c r="J59" s="155">
        <f>IF('AW Schüler'!$I71=0,"x",E59/'AW Schüler'!$I71)</f>
        <v>0.2647814910025707</v>
      </c>
      <c r="K59" s="155">
        <f>IF('AW Schüler'!$L71=0,"x",F59/'AW Schüler'!$L71)</f>
        <v>0.30909090909090908</v>
      </c>
      <c r="L59" s="156">
        <f>IF('AW Schüler'!$O71=0,"x",G59/'AW Schüler'!$O71)</f>
        <v>1</v>
      </c>
    </row>
    <row r="60" spans="1:12" ht="9" customHeight="1">
      <c r="A60" s="21" t="s">
        <v>92</v>
      </c>
      <c r="B60" s="120"/>
      <c r="C60" s="23">
        <f>[51]GtS!$H$69</f>
        <v>3032</v>
      </c>
      <c r="D60" s="23">
        <f>[52]GtS!$H$73</f>
        <v>3170</v>
      </c>
      <c r="E60" s="23">
        <f>[53]GtS!$H$73</f>
        <v>3321</v>
      </c>
      <c r="F60" s="23">
        <f>[54]GtS!$H$73</f>
        <v>3732</v>
      </c>
      <c r="G60" s="34">
        <f>[55]GtS!$H$73</f>
        <v>3908</v>
      </c>
      <c r="H60" s="155">
        <f>IF('AW Schüler'!$C72=0,"x",C60/'AW Schüler'!$C72)</f>
        <v>0.35375102088437754</v>
      </c>
      <c r="I60" s="155">
        <f>IF('AW Schüler'!$F72=0,"x",D60/'AW Schüler'!$F72)</f>
        <v>0.34299935078987231</v>
      </c>
      <c r="J60" s="155">
        <f>IF('AW Schüler'!$I72=0,"x",E60/'AW Schüler'!$I72)</f>
        <v>0.33911977943428978</v>
      </c>
      <c r="K60" s="155">
        <f>IF('AW Schüler'!$L72=0,"x",F60/'AW Schüler'!$L72)</f>
        <v>0.36134779240898529</v>
      </c>
      <c r="L60" s="156">
        <f>IF('AW Schüler'!$O72=0,"x",G60/'AW Schüler'!$O72)</f>
        <v>0.3543385619729803</v>
      </c>
    </row>
    <row r="61" spans="1:12" ht="9" customHeight="1">
      <c r="A61" s="21" t="s">
        <v>93</v>
      </c>
      <c r="B61" s="120"/>
      <c r="C61" s="124">
        <f>[76]GtS!$H$69</f>
        <v>0</v>
      </c>
      <c r="D61" s="124">
        <f>[77]GtS!$H$73</f>
        <v>0</v>
      </c>
      <c r="E61" s="124">
        <f>[78]GtS!$H$73</f>
        <v>0</v>
      </c>
      <c r="F61" s="124">
        <f>[79]GtS!$H$73</f>
        <v>0</v>
      </c>
      <c r="G61" s="188">
        <f>[80]GtS!$H$73</f>
        <v>0</v>
      </c>
      <c r="H61" s="189">
        <f>IF('AW Schüler'!$C73=0,"x",C61/'AW Schüler'!$C73)</f>
        <v>0</v>
      </c>
      <c r="I61" s="189">
        <f>IF('AW Schüler'!$F73=0,"x",D61/'AW Schüler'!$F73)</f>
        <v>0</v>
      </c>
      <c r="J61" s="189">
        <f>IF('AW Schüler'!$I73=0,"x",E61/'AW Schüler'!$I73)</f>
        <v>0</v>
      </c>
      <c r="K61" s="189">
        <f>IF('AW Schüler'!$L73=0,"x",F61/'AW Schüler'!$L73)</f>
        <v>0</v>
      </c>
      <c r="L61" s="190">
        <f>IF('AW Schüler'!$O73=0,"x",G61/'AW Schüler'!$O73)</f>
        <v>0</v>
      </c>
    </row>
    <row r="62" spans="1:12" ht="9" customHeight="1">
      <c r="A62" s="21" t="s">
        <v>94</v>
      </c>
      <c r="B62" s="120"/>
      <c r="C62" s="23">
        <f>[56]GtS!$H$69</f>
        <v>0</v>
      </c>
      <c r="D62" s="23">
        <f>[57]GtS!$H$73</f>
        <v>0</v>
      </c>
      <c r="E62" s="23">
        <f>[58]GtS!$H$73</f>
        <v>0</v>
      </c>
      <c r="F62" s="23">
        <f>[59]GtS!$H$73</f>
        <v>0</v>
      </c>
      <c r="G62" s="34">
        <f>[60]GtS!$H$73</f>
        <v>0</v>
      </c>
      <c r="H62" s="155">
        <f>IF('AW Schüler'!$C74=0,"x",C62/'AW Schüler'!$C74)</f>
        <v>0</v>
      </c>
      <c r="I62" s="155">
        <f>IF('AW Schüler'!$F74=0,"x",D62/'AW Schüler'!$F74)</f>
        <v>0</v>
      </c>
      <c r="J62" s="155">
        <f>IF('AW Schüler'!$I74=0,"x",E62/'AW Schüler'!$I74)</f>
        <v>0</v>
      </c>
      <c r="K62" s="155">
        <f>IF('AW Schüler'!$L74=0,"x",F62/'AW Schüler'!$L74)</f>
        <v>0</v>
      </c>
      <c r="L62" s="156">
        <f>IF('AW Schüler'!$O74=0,"x",G62/'AW Schüler'!$O74)</f>
        <v>0</v>
      </c>
    </row>
    <row r="63" spans="1:12" ht="9" customHeight="1">
      <c r="A63" s="21" t="s">
        <v>95</v>
      </c>
      <c r="B63" s="120"/>
      <c r="C63" s="23">
        <f>[61]GtS!$H$69</f>
        <v>258</v>
      </c>
      <c r="D63" s="23">
        <f>[62]GtS!$H$73</f>
        <v>267</v>
      </c>
      <c r="E63" s="23">
        <f>[63]GtS!$H$73</f>
        <v>261</v>
      </c>
      <c r="F63" s="23">
        <f>[64]GtS!$H$73</f>
        <v>157</v>
      </c>
      <c r="G63" s="34">
        <f>[65]GtS!$H$73</f>
        <v>245</v>
      </c>
      <c r="H63" s="155">
        <f>IF('AW Schüler'!$C75=0,"x",C63/'AW Schüler'!$C75)</f>
        <v>0.16929133858267717</v>
      </c>
      <c r="I63" s="155">
        <f>IF('AW Schüler'!$F75=0,"x",D63/'AW Schüler'!$F75)</f>
        <v>0.16834804539722573</v>
      </c>
      <c r="J63" s="155">
        <f>IF('AW Schüler'!$I75=0,"x",E63/'AW Schüler'!$I75)</f>
        <v>0.17743031951053706</v>
      </c>
      <c r="K63" s="155">
        <f>IF('AW Schüler'!$L75=0,"x",F63/'AW Schüler'!$L75)</f>
        <v>0.10558170813718896</v>
      </c>
      <c r="L63" s="156">
        <f>IF('AW Schüler'!$O75=0,"x",G63/'AW Schüler'!$O75)</f>
        <v>0.16333333333333333</v>
      </c>
    </row>
    <row r="64" spans="1:12" ht="8.65" customHeight="1">
      <c r="A64" s="24" t="s">
        <v>96</v>
      </c>
      <c r="B64" s="121"/>
      <c r="C64" s="26">
        <f>SUM(C48:C63)</f>
        <v>4098</v>
      </c>
      <c r="D64" s="26">
        <f>SUM(D48:D63)</f>
        <v>4375</v>
      </c>
      <c r="E64" s="26">
        <f>SUM(E48:E63)</f>
        <v>4486</v>
      </c>
      <c r="F64" s="26">
        <f>SUM(F48:F63)</f>
        <v>4739</v>
      </c>
      <c r="G64" s="47">
        <f>SUM(G48:G63)</f>
        <v>4881</v>
      </c>
      <c r="H64" s="157">
        <f>IF('AW Schüler'!$C76=0,"x",C64/'AW Schüler'!$C76)</f>
        <v>0.21536682783266764</v>
      </c>
      <c r="I64" s="157">
        <f>IF('AW Schüler'!$F76=0,"x",D64/'AW Schüler'!$F76)</f>
        <v>0.21357090554063948</v>
      </c>
      <c r="J64" s="157">
        <f>IF('AW Schüler'!$I76=0,"x",E64/'AW Schüler'!$I76)</f>
        <v>0.20166329512249945</v>
      </c>
      <c r="K64" s="157">
        <f>IF('AW Schüler'!$L76=0,"x",F64/'AW Schüler'!$L76)</f>
        <v>0.200745541576651</v>
      </c>
      <c r="L64" s="158">
        <f>IF('AW Schüler'!$O76=0,"x",G64/'AW Schüler'!$O76)</f>
        <v>0.1978516416700446</v>
      </c>
    </row>
    <row r="65" spans="1:12" ht="18.75" customHeight="1">
      <c r="A65" s="396" t="s">
        <v>312</v>
      </c>
      <c r="B65" s="396"/>
      <c r="C65" s="396"/>
      <c r="D65" s="396"/>
      <c r="E65" s="396"/>
      <c r="F65" s="396"/>
      <c r="G65" s="396"/>
      <c r="H65" s="396"/>
      <c r="I65" s="396"/>
      <c r="J65" s="396"/>
      <c r="K65" s="396"/>
      <c r="L65" s="396"/>
    </row>
    <row r="66" spans="1:12" ht="10.15" customHeight="1">
      <c r="A66" s="408" t="s">
        <v>210</v>
      </c>
      <c r="B66" s="408"/>
      <c r="C66" s="408"/>
      <c r="D66" s="408"/>
      <c r="E66" s="408"/>
      <c r="F66" s="408"/>
      <c r="G66" s="408"/>
      <c r="H66" s="408"/>
      <c r="I66" s="408"/>
      <c r="J66" s="258"/>
      <c r="K66" s="278"/>
      <c r="L66" s="278"/>
    </row>
    <row r="67" spans="1:12" ht="10.15" customHeight="1">
      <c r="A67" s="220" t="s">
        <v>220</v>
      </c>
      <c r="B67" s="272"/>
      <c r="C67" s="272"/>
      <c r="D67" s="272"/>
      <c r="E67" s="272"/>
      <c r="F67" s="278"/>
      <c r="G67" s="278"/>
      <c r="H67" s="272"/>
      <c r="I67" s="272"/>
      <c r="J67" s="272"/>
      <c r="K67" s="278"/>
      <c r="L67" s="278"/>
    </row>
    <row r="68" spans="1:12" ht="10.15" customHeight="1">
      <c r="A68" s="399" t="s">
        <v>169</v>
      </c>
      <c r="B68" s="399"/>
      <c r="C68" s="399"/>
      <c r="D68" s="399"/>
      <c r="E68" s="399"/>
      <c r="F68" s="399"/>
      <c r="G68" s="399"/>
      <c r="H68" s="399"/>
      <c r="I68" s="399"/>
      <c r="J68" s="257"/>
      <c r="K68" s="325"/>
      <c r="L68" s="350"/>
    </row>
    <row r="69" spans="1:12" ht="10.15" customHeight="1"/>
    <row r="84" spans="1:1" ht="10.5" customHeight="1"/>
    <row r="85" spans="1:1" ht="10.15" customHeight="1">
      <c r="A85" s="214"/>
    </row>
  </sheetData>
  <mergeCells count="9">
    <mergeCell ref="A1:L1"/>
    <mergeCell ref="A66:I66"/>
    <mergeCell ref="A68:I68"/>
    <mergeCell ref="C9:G9"/>
    <mergeCell ref="H9:L9"/>
    <mergeCell ref="A11:L11"/>
    <mergeCell ref="A29:L29"/>
    <mergeCell ref="A47:L47"/>
    <mergeCell ref="A65:L65"/>
  </mergeCells>
  <phoneticPr fontId="18" type="noConversion"/>
  <conditionalFormatting sqref="M25">
    <cfRule type="cellIs" dxfId="9"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1:M83"/>
  <sheetViews>
    <sheetView view="pageBreakPreview" zoomScale="175" zoomScaleNormal="200"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'3.3.5'!A1:F1+1</f>
        <v>62</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2.6" customHeight="1">
      <c r="A5" s="13" t="s">
        <v>65</v>
      </c>
      <c r="B5" s="39" t="s">
        <v>15</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C28" si="0">SUM(C30+C48)</f>
        <v>2945</v>
      </c>
      <c r="D12" s="42">
        <f t="shared" ref="D12:E12" si="1">SUM(D30+D48)</f>
        <v>2966</v>
      </c>
      <c r="E12" s="42">
        <f t="shared" si="1"/>
        <v>2868</v>
      </c>
      <c r="F12" s="42">
        <f t="shared" ref="F12:G12" si="2">SUM(F30+F48)</f>
        <v>2414</v>
      </c>
      <c r="G12" s="44">
        <f t="shared" si="2"/>
        <v>2499</v>
      </c>
      <c r="H12" s="153">
        <f>IF('AW Schüler'!$C78=0,"x",C12/'AW Schüler'!$C78)</f>
        <v>0.20352453351762267</v>
      </c>
      <c r="I12" s="153">
        <f>IF('AW Schüler'!$F78=0,"x",D12/'AW Schüler'!$F78)</f>
        <v>0.20066301332792097</v>
      </c>
      <c r="J12" s="153">
        <f>IF('AW Schüler'!$I78=0,"x",E12/'AW Schüler'!$I78)</f>
        <v>0.1922509719801582</v>
      </c>
      <c r="K12" s="153">
        <f>IF('AW Schüler'!$L78=0,"x",F12/'AW Schüler'!$L78)</f>
        <v>0.15929787514847565</v>
      </c>
      <c r="L12" s="154">
        <f>IF('AW Schüler'!$O78=0,"x",G12/'AW Schüler'!$O78)</f>
        <v>0.16364350730142099</v>
      </c>
    </row>
    <row r="13" spans="1:13" ht="9" customHeight="1">
      <c r="A13" s="21" t="s">
        <v>81</v>
      </c>
      <c r="B13" s="120"/>
      <c r="C13" s="42">
        <f t="shared" si="0"/>
        <v>8446</v>
      </c>
      <c r="D13" s="42">
        <f t="shared" ref="D13:E13" si="3">SUM(D31+D49)</f>
        <v>9092</v>
      </c>
      <c r="E13" s="42">
        <f t="shared" si="3"/>
        <v>8777</v>
      </c>
      <c r="F13" s="42">
        <f t="shared" ref="F13:G13" si="4">SUM(F31+F49)</f>
        <v>8334</v>
      </c>
      <c r="G13" s="44">
        <f t="shared" si="4"/>
        <v>8302</v>
      </c>
      <c r="H13" s="153">
        <f>IF('AW Schüler'!$C79=0,"x",C13/'AW Schüler'!$C79)</f>
        <v>0.1571407308178909</v>
      </c>
      <c r="I13" s="153">
        <f>IF('AW Schüler'!$F79=0,"x",D13/'AW Schüler'!$F79)</f>
        <v>0.17396961463395966</v>
      </c>
      <c r="J13" s="153">
        <f>IF('AW Schüler'!$I79=0,"x",E13/'AW Schüler'!$I79)</f>
        <v>0.17408465230671585</v>
      </c>
      <c r="K13" s="153">
        <f>IF('AW Schüler'!$L79=0,"x",F13/'AW Schüler'!$L79)</f>
        <v>0.16932141405932546</v>
      </c>
      <c r="L13" s="154">
        <f>IF('AW Schüler'!$O79=0,"x",G13/'AW Schüler'!$O79)</f>
        <v>0.1744777436845866</v>
      </c>
    </row>
    <row r="14" spans="1:13" ht="9" customHeight="1">
      <c r="A14" s="21" t="s">
        <v>82</v>
      </c>
      <c r="B14" s="120"/>
      <c r="C14" s="149">
        <f t="shared" si="0"/>
        <v>0</v>
      </c>
      <c r="D14" s="149">
        <f t="shared" ref="D14:E14" si="5">SUM(D32+D50)</f>
        <v>0</v>
      </c>
      <c r="E14" s="149">
        <f t="shared" si="5"/>
        <v>0</v>
      </c>
      <c r="F14" s="149">
        <f t="shared" ref="F14:G14" si="6">SUM(F32+F50)</f>
        <v>0</v>
      </c>
      <c r="G14" s="150">
        <f t="shared" si="6"/>
        <v>0</v>
      </c>
      <c r="H14" s="198">
        <f>IF('AW Schüler'!$C80=0,"x",C14/'AW Schüler'!$C80)</f>
        <v>0</v>
      </c>
      <c r="I14" s="198">
        <f>IF('AW Schüler'!$F80=0,"x",D14/'AW Schüler'!$F80)</f>
        <v>0</v>
      </c>
      <c r="J14" s="198" t="str">
        <f>IF('AW Schüler'!$I80=0,"x",E14/'AW Schüler'!$I80)</f>
        <v>x</v>
      </c>
      <c r="K14" s="198" t="str">
        <f>IF('AW Schüler'!$L80=0,"x",F14/'AW Schüler'!$L80)</f>
        <v>x</v>
      </c>
      <c r="L14" s="199" t="str">
        <f>IF('AW Schüler'!$O80=0,"x",G14/'AW Schüler'!$O80)</f>
        <v>x</v>
      </c>
    </row>
    <row r="15" spans="1:13" ht="9" customHeight="1">
      <c r="A15" s="21" t="s">
        <v>83</v>
      </c>
      <c r="B15" s="120"/>
      <c r="C15" s="149">
        <f t="shared" si="0"/>
        <v>0</v>
      </c>
      <c r="D15" s="149">
        <f t="shared" ref="D15:E15" si="7">SUM(D33+D51)</f>
        <v>0</v>
      </c>
      <c r="E15" s="149">
        <f t="shared" si="7"/>
        <v>0</v>
      </c>
      <c r="F15" s="149">
        <f t="shared" ref="F15:G15" si="8">SUM(F33+F51)</f>
        <v>0</v>
      </c>
      <c r="G15" s="150">
        <f t="shared" si="8"/>
        <v>0</v>
      </c>
      <c r="H15" s="153" t="str">
        <f>IF('AW Schüler'!$C81=0,"x",C15/'AW Schüler'!$C81)</f>
        <v>x</v>
      </c>
      <c r="I15" s="153" t="str">
        <f>IF('AW Schüler'!$F81=0,"x",D15/'AW Schüler'!$F81)</f>
        <v>x</v>
      </c>
      <c r="J15" s="153" t="str">
        <f>IF('AW Schüler'!$I81=0,"x",E15/'AW Schüler'!$I81)</f>
        <v>x</v>
      </c>
      <c r="K15" s="153" t="str">
        <f>IF('AW Schüler'!$L81=0,"x",F15/'AW Schüler'!$L81)</f>
        <v>x</v>
      </c>
      <c r="L15" s="154" t="str">
        <f>IF('AW Schüler'!$O81=0,"x",G15/'AW Schüler'!$O81)</f>
        <v>x</v>
      </c>
    </row>
    <row r="16" spans="1:13" ht="9" customHeight="1">
      <c r="A16" s="21" t="s">
        <v>84</v>
      </c>
      <c r="B16" s="120"/>
      <c r="C16" s="149">
        <f t="shared" si="0"/>
        <v>0</v>
      </c>
      <c r="D16" s="149">
        <f t="shared" ref="D16:E16" si="9">SUM(D34+D52)</f>
        <v>0</v>
      </c>
      <c r="E16" s="149">
        <f t="shared" si="9"/>
        <v>0</v>
      </c>
      <c r="F16" s="149">
        <f t="shared" ref="F16:G16" si="10">SUM(F34+F52)</f>
        <v>0</v>
      </c>
      <c r="G16" s="150">
        <f t="shared" si="10"/>
        <v>0</v>
      </c>
      <c r="H16" s="153" t="str">
        <f>IF('AW Schüler'!$C82=0,"x",C16/'AW Schüler'!$C82)</f>
        <v>x</v>
      </c>
      <c r="I16" s="153" t="str">
        <f>IF('AW Schüler'!$F82=0,"x",D16/'AW Schüler'!$F82)</f>
        <v>x</v>
      </c>
      <c r="J16" s="153" t="str">
        <f>IF('AW Schüler'!$I82=0,"x",E16/'AW Schüler'!$I82)</f>
        <v>x</v>
      </c>
      <c r="K16" s="153" t="str">
        <f>IF('AW Schüler'!$L82=0,"x",F16/'AW Schüler'!$L82)</f>
        <v>x</v>
      </c>
      <c r="L16" s="154" t="str">
        <f>IF('AW Schüler'!$O82=0,"x",G16/'AW Schüler'!$O82)</f>
        <v>x</v>
      </c>
    </row>
    <row r="17" spans="1:12" ht="9" customHeight="1">
      <c r="A17" s="21" t="s">
        <v>85</v>
      </c>
      <c r="B17" s="120"/>
      <c r="C17" s="149">
        <f t="shared" si="0"/>
        <v>0</v>
      </c>
      <c r="D17" s="149">
        <f t="shared" ref="D17:E17" si="11">SUM(D35+D53)</f>
        <v>0</v>
      </c>
      <c r="E17" s="149">
        <f t="shared" si="11"/>
        <v>0</v>
      </c>
      <c r="F17" s="149">
        <f t="shared" ref="F17:G17" si="12">SUM(F35+F53)</f>
        <v>0</v>
      </c>
      <c r="G17" s="150">
        <f t="shared" si="12"/>
        <v>0</v>
      </c>
      <c r="H17" s="153" t="str">
        <f>IF('AW Schüler'!$C83=0,"x",C17/'AW Schüler'!$C83)</f>
        <v>x</v>
      </c>
      <c r="I17" s="153" t="str">
        <f>IF('AW Schüler'!$F83=0,"x",D17/'AW Schüler'!$F83)</f>
        <v>x</v>
      </c>
      <c r="J17" s="153" t="str">
        <f>IF('AW Schüler'!$I83=0,"x",E17/'AW Schüler'!$I83)</f>
        <v>x</v>
      </c>
      <c r="K17" s="153" t="str">
        <f>IF('AW Schüler'!$L83=0,"x",F17/'AW Schüler'!$L83)</f>
        <v>x</v>
      </c>
      <c r="L17" s="154" t="str">
        <f>IF('AW Schüler'!$O83=0,"x",G17/'AW Schüler'!$O83)</f>
        <v>x</v>
      </c>
    </row>
    <row r="18" spans="1:12" ht="9" customHeight="1">
      <c r="A18" s="21" t="s">
        <v>86</v>
      </c>
      <c r="B18" s="120"/>
      <c r="C18" s="184">
        <f t="shared" si="0"/>
        <v>0</v>
      </c>
      <c r="D18" s="184">
        <f t="shared" ref="D18:E18" si="13">SUM(D36+D54)</f>
        <v>0</v>
      </c>
      <c r="E18" s="184">
        <f t="shared" si="13"/>
        <v>0</v>
      </c>
      <c r="F18" s="184">
        <f t="shared" ref="F18:G18" si="14">SUM(F36+F54)</f>
        <v>0</v>
      </c>
      <c r="G18" s="185">
        <f t="shared" si="14"/>
        <v>0</v>
      </c>
      <c r="H18" s="186">
        <f>IF('AW Schüler'!$C84=0,"x",C18/'AW Schüler'!$C84)</f>
        <v>0</v>
      </c>
      <c r="I18" s="186">
        <f>IF('AW Schüler'!$F84=0,"x",D18/'AW Schüler'!$F84)</f>
        <v>0</v>
      </c>
      <c r="J18" s="186">
        <f>IF('AW Schüler'!$I84=0,"x",E18/'AW Schüler'!$I84)</f>
        <v>0</v>
      </c>
      <c r="K18" s="186">
        <f>IF('AW Schüler'!$L84=0,"x",F18/'AW Schüler'!$L84)</f>
        <v>0</v>
      </c>
      <c r="L18" s="187">
        <f>IF('AW Schüler'!$O84=0,"x",G18/'AW Schüler'!$O84)</f>
        <v>0</v>
      </c>
    </row>
    <row r="19" spans="1:12" ht="9" customHeight="1">
      <c r="A19" s="21" t="s">
        <v>87</v>
      </c>
      <c r="B19" s="120"/>
      <c r="C19" s="149">
        <f t="shared" si="0"/>
        <v>0</v>
      </c>
      <c r="D19" s="149">
        <f t="shared" ref="D19:E19" si="15">SUM(D37+D55)</f>
        <v>0</v>
      </c>
      <c r="E19" s="149">
        <f t="shared" si="15"/>
        <v>0</v>
      </c>
      <c r="F19" s="149">
        <f t="shared" ref="F19:G19" si="16">SUM(F37+F55)</f>
        <v>0</v>
      </c>
      <c r="G19" s="150">
        <f t="shared" si="16"/>
        <v>0</v>
      </c>
      <c r="H19" s="153" t="str">
        <f>IF('AW Schüler'!$C85=0,"x",C19/'AW Schüler'!$C85)</f>
        <v>x</v>
      </c>
      <c r="I19" s="153" t="str">
        <f>IF('AW Schüler'!$F85=0,"x",D19/'AW Schüler'!$F85)</f>
        <v>x</v>
      </c>
      <c r="J19" s="153" t="str">
        <f>IF('AW Schüler'!$I85=0,"x",E19/'AW Schüler'!$I85)</f>
        <v>x</v>
      </c>
      <c r="K19" s="153" t="str">
        <f>IF('AW Schüler'!$L85=0,"x",F19/'AW Schüler'!$L85)</f>
        <v>x</v>
      </c>
      <c r="L19" s="154" t="str">
        <f>IF('AW Schüler'!$O85=0,"x",G19/'AW Schüler'!$O85)</f>
        <v>x</v>
      </c>
    </row>
    <row r="20" spans="1:12" ht="9" customHeight="1">
      <c r="A20" s="21" t="s">
        <v>88</v>
      </c>
      <c r="B20" s="120"/>
      <c r="C20" s="184">
        <f t="shared" si="0"/>
        <v>0</v>
      </c>
      <c r="D20" s="184">
        <f t="shared" ref="D20:E20" si="17">SUM(D38+D56)</f>
        <v>0</v>
      </c>
      <c r="E20" s="184">
        <f t="shared" si="17"/>
        <v>0</v>
      </c>
      <c r="F20" s="184">
        <f t="shared" ref="F20:G20" si="18">SUM(F38+F56)</f>
        <v>0</v>
      </c>
      <c r="G20" s="185">
        <f t="shared" si="18"/>
        <v>0</v>
      </c>
      <c r="H20" s="186">
        <f>IF('AW Schüler'!$C86=0,"x",C20/'AW Schüler'!$C86)</f>
        <v>0</v>
      </c>
      <c r="I20" s="186">
        <f>IF('AW Schüler'!$F86=0,"x",D20/'AW Schüler'!$F86)</f>
        <v>0</v>
      </c>
      <c r="J20" s="186">
        <f>IF('AW Schüler'!$I86=0,"x",E20/'AW Schüler'!$I86)</f>
        <v>0</v>
      </c>
      <c r="K20" s="186">
        <f>IF('AW Schüler'!$L86=0,"x",F20/'AW Schüler'!$L86)</f>
        <v>0</v>
      </c>
      <c r="L20" s="187">
        <f>IF('AW Schüler'!$O86=0,"x",G20/'AW Schüler'!$O86)</f>
        <v>0</v>
      </c>
    </row>
    <row r="21" spans="1:12" ht="9" customHeight="1">
      <c r="A21" s="21" t="s">
        <v>89</v>
      </c>
      <c r="B21" s="120"/>
      <c r="C21" s="42">
        <f t="shared" si="0"/>
        <v>1975</v>
      </c>
      <c r="D21" s="42">
        <f t="shared" ref="D21:E21" si="19">SUM(D39+D57)</f>
        <v>2182</v>
      </c>
      <c r="E21" s="42">
        <f t="shared" si="19"/>
        <v>2046</v>
      </c>
      <c r="F21" s="42">
        <f t="shared" ref="F21:G21" si="20">SUM(F39+F57)</f>
        <v>2077</v>
      </c>
      <c r="G21" s="44">
        <f t="shared" si="20"/>
        <v>1772</v>
      </c>
      <c r="H21" s="153">
        <f>IF('AW Schüler'!$C87=0,"x",C21/'AW Schüler'!$C87)</f>
        <v>8.5041336548398211E-2</v>
      </c>
      <c r="I21" s="153">
        <f>IF('AW Schüler'!$F87=0,"x",D21/'AW Schüler'!$F87)</f>
        <v>9.5254725629720177E-2</v>
      </c>
      <c r="J21" s="153">
        <f>IF('AW Schüler'!$I87=0,"x",E21/'AW Schüler'!$I87)</f>
        <v>9.2361863488624046E-2</v>
      </c>
      <c r="K21" s="153">
        <f>IF('AW Schüler'!$L87=0,"x",F21/'AW Schüler'!$L87)</f>
        <v>9.5200990053627907E-2</v>
      </c>
      <c r="L21" s="154">
        <f>IF('AW Schüler'!$O87=0,"x",G21/'AW Schüler'!$O87)</f>
        <v>8.3921382903149419E-2</v>
      </c>
    </row>
    <row r="22" spans="1:12" ht="9" customHeight="1">
      <c r="A22" s="21" t="s">
        <v>90</v>
      </c>
      <c r="B22" s="120"/>
      <c r="C22" s="42">
        <f t="shared" si="0"/>
        <v>114</v>
      </c>
      <c r="D22" s="42">
        <f t="shared" ref="D22:E22" si="21">SUM(D40+D58)</f>
        <v>170</v>
      </c>
      <c r="E22" s="42">
        <f t="shared" si="21"/>
        <v>141</v>
      </c>
      <c r="F22" s="42">
        <f t="shared" ref="F22:G22" si="22">SUM(F40+F58)</f>
        <v>121</v>
      </c>
      <c r="G22" s="44">
        <f t="shared" si="22"/>
        <v>149</v>
      </c>
      <c r="H22" s="153">
        <f>IF('AW Schüler'!$C88=0,"x",C22/'AW Schüler'!$C88)</f>
        <v>2.4766456658700847E-2</v>
      </c>
      <c r="I22" s="153">
        <f>IF('AW Schüler'!$F88=0,"x",D22/'AW Schüler'!$F88)</f>
        <v>3.7297060114085123E-2</v>
      </c>
      <c r="J22" s="153">
        <f>IF('AW Schüler'!$I88=0,"x",E22/'AW Schüler'!$I88)</f>
        <v>3.3675662765703371E-2</v>
      </c>
      <c r="K22" s="153">
        <f>IF('AW Schüler'!$L88=0,"x",F22/'AW Schüler'!$L88)</f>
        <v>3.3780011166945838E-2</v>
      </c>
      <c r="L22" s="154">
        <f>IF('AW Schüler'!$O88=0,"x",G22/'AW Schüler'!$O88)</f>
        <v>4.1239966786603931E-2</v>
      </c>
    </row>
    <row r="23" spans="1:12" ht="9" customHeight="1">
      <c r="A23" s="21" t="s">
        <v>91</v>
      </c>
      <c r="B23" s="120"/>
      <c r="C23" s="42">
        <f t="shared" si="0"/>
        <v>142</v>
      </c>
      <c r="D23" s="42">
        <f t="shared" ref="D23:E23" si="23">SUM(D41+D59)</f>
        <v>94</v>
      </c>
      <c r="E23" s="42">
        <f t="shared" si="23"/>
        <v>103</v>
      </c>
      <c r="F23" s="42">
        <f t="shared" ref="F23:G23" si="24">SUM(F41+F59)</f>
        <v>122</v>
      </c>
      <c r="G23" s="44">
        <f t="shared" si="24"/>
        <v>101</v>
      </c>
      <c r="H23" s="153">
        <f>IF('AW Schüler'!$C89=0,"x",C23/'AW Schüler'!$C89)</f>
        <v>0.11216429699842022</v>
      </c>
      <c r="I23" s="153">
        <f>IF('AW Schüler'!$F89=0,"x",D23/'AW Schüler'!$F89)</f>
        <v>7.5019952114924182E-2</v>
      </c>
      <c r="J23" s="153">
        <f>IF('AW Schüler'!$I89=0,"x",E23/'AW Schüler'!$I89)</f>
        <v>8.3064516129032262E-2</v>
      </c>
      <c r="K23" s="153">
        <f>IF('AW Schüler'!$L89=0,"x",F23/'AW Schüler'!$L89)</f>
        <v>8.7643678160919544E-2</v>
      </c>
      <c r="L23" s="154">
        <f>IF('AW Schüler'!$O89=0,"x",G23/'AW Schüler'!$O89)</f>
        <v>0.1</v>
      </c>
    </row>
    <row r="24" spans="1:12" ht="9" customHeight="1">
      <c r="A24" s="21" t="s">
        <v>92</v>
      </c>
      <c r="B24" s="120"/>
      <c r="C24" s="149">
        <f t="shared" si="0"/>
        <v>0</v>
      </c>
      <c r="D24" s="149">
        <f t="shared" ref="D24:E24" si="25">SUM(D42+D60)</f>
        <v>0</v>
      </c>
      <c r="E24" s="149">
        <f t="shared" si="25"/>
        <v>0</v>
      </c>
      <c r="F24" s="149">
        <f t="shared" ref="F24:G24" si="26">SUM(F42+F60)</f>
        <v>0</v>
      </c>
      <c r="G24" s="150">
        <f t="shared" si="26"/>
        <v>0</v>
      </c>
      <c r="H24" s="153" t="str">
        <f>IF('AW Schüler'!$C90=0,"x",C24/'AW Schüler'!$C90)</f>
        <v>x</v>
      </c>
      <c r="I24" s="153" t="str">
        <f>IF('AW Schüler'!$F90=0,"x",D24/'AW Schüler'!$F90)</f>
        <v>x</v>
      </c>
      <c r="J24" s="153" t="str">
        <f>IF('AW Schüler'!$I90=0,"x",E24/'AW Schüler'!$I90)</f>
        <v>x</v>
      </c>
      <c r="K24" s="153" t="str">
        <f>IF('AW Schüler'!$L90=0,"x",F24/'AW Schüler'!$L90)</f>
        <v>x</v>
      </c>
      <c r="L24" s="154" t="str">
        <f>IF('AW Schüler'!$O90=0,"x",G24/'AW Schüler'!$O90)</f>
        <v>x</v>
      </c>
    </row>
    <row r="25" spans="1:12" ht="9" customHeight="1">
      <c r="A25" s="21" t="s">
        <v>93</v>
      </c>
      <c r="B25" s="120"/>
      <c r="C25" s="149">
        <f t="shared" si="0"/>
        <v>0</v>
      </c>
      <c r="D25" s="149">
        <f t="shared" ref="D25:E25" si="27">SUM(D43+D61)</f>
        <v>0</v>
      </c>
      <c r="E25" s="149">
        <f t="shared" si="27"/>
        <v>0</v>
      </c>
      <c r="F25" s="149">
        <f t="shared" ref="F25:G25" si="28">SUM(F43+F61)</f>
        <v>0</v>
      </c>
      <c r="G25" s="150">
        <f t="shared" si="28"/>
        <v>0</v>
      </c>
      <c r="H25" s="186" t="str">
        <f>IF('AW Schüler'!$C91=0,"x",C25/'AW Schüler'!$C91)</f>
        <v>x</v>
      </c>
      <c r="I25" s="186" t="str">
        <f>IF('AW Schüler'!$F91=0,"x",D25/'AW Schüler'!$F91)</f>
        <v>x</v>
      </c>
      <c r="J25" s="186" t="str">
        <f>IF('AW Schüler'!$I91=0,"x",E25/'AW Schüler'!$I91)</f>
        <v>x</v>
      </c>
      <c r="K25" s="186" t="str">
        <f>IF('AW Schüler'!$L91=0,"x",F25/'AW Schüler'!$L91)</f>
        <v>x</v>
      </c>
      <c r="L25" s="187" t="str">
        <f>IF('AW Schüler'!$O91=0,"x",G25/'AW Schüler'!$O91)</f>
        <v>x</v>
      </c>
    </row>
    <row r="26" spans="1:12" ht="9" customHeight="1">
      <c r="A26" s="21" t="s">
        <v>94</v>
      </c>
      <c r="B26" s="120"/>
      <c r="C26" s="42">
        <f t="shared" si="0"/>
        <v>0</v>
      </c>
      <c r="D26" s="42">
        <f t="shared" ref="D26:E26" si="29">SUM(D44+D62)</f>
        <v>0</v>
      </c>
      <c r="E26" s="42">
        <f t="shared" si="29"/>
        <v>0</v>
      </c>
      <c r="F26" s="42">
        <f t="shared" ref="F26:G26" si="30">SUM(F44+F62)</f>
        <v>0</v>
      </c>
      <c r="G26" s="150">
        <f t="shared" si="30"/>
        <v>0</v>
      </c>
      <c r="H26" s="153">
        <f>IF('AW Schüler'!$C92=0,"x",C26/'AW Schüler'!$C92)</f>
        <v>0</v>
      </c>
      <c r="I26" s="153">
        <f>IF('AW Schüler'!$F92=0,"x",D26/'AW Schüler'!$F92)</f>
        <v>0</v>
      </c>
      <c r="J26" s="153">
        <f>IF('AW Schüler'!$I92=0,"x",E26/'AW Schüler'!$I92)</f>
        <v>0</v>
      </c>
      <c r="K26" s="153">
        <f>IF('AW Schüler'!$L92=0,"x",F26/'AW Schüler'!$L92)</f>
        <v>0</v>
      </c>
      <c r="L26" s="154" t="str">
        <f>IF('AW Schüler'!$O92=0,"x",G26/'AW Schüler'!$O92)</f>
        <v>x</v>
      </c>
    </row>
    <row r="27" spans="1:12" ht="9" customHeight="1">
      <c r="A27" s="21" t="s">
        <v>95</v>
      </c>
      <c r="B27" s="120"/>
      <c r="C27" s="149">
        <f t="shared" si="0"/>
        <v>0</v>
      </c>
      <c r="D27" s="149">
        <f t="shared" ref="D27:E27" si="31">SUM(D45+D63)</f>
        <v>0</v>
      </c>
      <c r="E27" s="149">
        <f t="shared" si="31"/>
        <v>0</v>
      </c>
      <c r="F27" s="149">
        <f t="shared" ref="F27:G27" si="32">SUM(F45+F63)</f>
        <v>0</v>
      </c>
      <c r="G27" s="150">
        <f t="shared" si="32"/>
        <v>0</v>
      </c>
      <c r="H27" s="153" t="str">
        <f>IF('AW Schüler'!$C93=0,"x",C27/'AW Schüler'!$C93)</f>
        <v>x</v>
      </c>
      <c r="I27" s="153" t="str">
        <f>IF('AW Schüler'!$F93=0,"x",D27/'AW Schüler'!$F93)</f>
        <v>x</v>
      </c>
      <c r="J27" s="153" t="str">
        <f>IF('AW Schüler'!$I93=0,"x",E27/'AW Schüler'!$I93)</f>
        <v>x</v>
      </c>
      <c r="K27" s="153" t="str">
        <f>IF('AW Schüler'!$L93=0,"x",F27/'AW Schüler'!$L93)</f>
        <v>x</v>
      </c>
      <c r="L27" s="154" t="str">
        <f>IF('AW Schüler'!$O93=0,"x",G27/'AW Schüler'!$O93)</f>
        <v>x</v>
      </c>
    </row>
    <row r="28" spans="1:12" ht="10.5" customHeight="1">
      <c r="A28" s="21" t="s">
        <v>96</v>
      </c>
      <c r="B28" s="120"/>
      <c r="C28" s="42">
        <f t="shared" si="0"/>
        <v>13622</v>
      </c>
      <c r="D28" s="42">
        <f t="shared" ref="D28:E28" si="33">SUM(D46+D64)</f>
        <v>14504</v>
      </c>
      <c r="E28" s="42">
        <f t="shared" si="33"/>
        <v>13935</v>
      </c>
      <c r="F28" s="42">
        <f t="shared" ref="F28:G28" si="34">SUM(F46+F64)</f>
        <v>13068</v>
      </c>
      <c r="G28" s="44">
        <f t="shared" si="34"/>
        <v>12823</v>
      </c>
      <c r="H28" s="153">
        <f>IF('AW Schüler'!$C94=0,"x",C28/'AW Schüler'!$C94)</f>
        <v>0.13904398330084006</v>
      </c>
      <c r="I28" s="153">
        <f>IF('AW Schüler'!$F94=0,"x",D28/'AW Schüler'!$F94)</f>
        <v>0.15110064694912959</v>
      </c>
      <c r="J28" s="153">
        <f>IF('AW Schüler'!$I94=0,"x",E28/'AW Schüler'!$I94)</f>
        <v>0.14984676595515889</v>
      </c>
      <c r="K28" s="153">
        <f>IF('AW Schüler'!$L94=0,"x",F28/'AW Schüler'!$L94)</f>
        <v>0.1432690515606328</v>
      </c>
      <c r="L28" s="154">
        <f>IF('AW Schüler'!$O94=0,"x",G28/'AW Schüler'!$O94)</f>
        <v>0.14474382273594383</v>
      </c>
    </row>
    <row r="29" spans="1:12" ht="12.75" customHeight="1">
      <c r="A29" s="391" t="s">
        <v>105</v>
      </c>
      <c r="B29" s="392"/>
      <c r="C29" s="392"/>
      <c r="D29" s="392"/>
      <c r="E29" s="392"/>
      <c r="F29" s="392"/>
      <c r="G29" s="392"/>
      <c r="H29" s="392"/>
      <c r="I29" s="392"/>
      <c r="J29" s="392"/>
      <c r="K29" s="392"/>
      <c r="L29" s="393"/>
    </row>
    <row r="30" spans="1:12" ht="9" customHeight="1">
      <c r="A30" s="21" t="s">
        <v>80</v>
      </c>
      <c r="B30" s="120"/>
      <c r="C30" s="23">
        <f>[1]GtS!$E$70</f>
        <v>2610</v>
      </c>
      <c r="D30" s="23">
        <f>[2]GtS!$E$74</f>
        <v>2595</v>
      </c>
      <c r="E30" s="23">
        <f>[3]GtS!$E$74</f>
        <v>2344</v>
      </c>
      <c r="F30" s="23">
        <f>[4]GtS!$E$74</f>
        <v>2143</v>
      </c>
      <c r="G30" s="34">
        <f>[5]GtS!$E$74</f>
        <v>2113</v>
      </c>
      <c r="H30" s="155">
        <f>IF('AW Schüler'!$C78=0,"x",C30/'AW Schüler'!$C78)</f>
        <v>0.18037318590186593</v>
      </c>
      <c r="I30" s="155">
        <f>IF('AW Schüler'!$F78=0,"x",D30/'AW Schüler'!$F78)</f>
        <v>0.17556322305662675</v>
      </c>
      <c r="J30" s="155">
        <f>IF('AW Schüler'!$I78=0,"x",E30/'AW Schüler'!$I78)</f>
        <v>0.15712562005630781</v>
      </c>
      <c r="K30" s="155">
        <f>IF('AW Schüler'!$L78=0,"x",F30/'AW Schüler'!$L78)</f>
        <v>0.14141480797149267</v>
      </c>
      <c r="L30" s="156">
        <f>IF('AW Schüler'!$O78=0,"x",G30/'AW Schüler'!$O78)</f>
        <v>0.13836683910680375</v>
      </c>
    </row>
    <row r="31" spans="1:12" ht="9" customHeight="1">
      <c r="A31" s="21" t="s">
        <v>81</v>
      </c>
      <c r="B31" s="120"/>
      <c r="C31" s="23">
        <f>[6]GtS!$E$70</f>
        <v>3036</v>
      </c>
      <c r="D31" s="23">
        <f>[7]GtS!$E$74</f>
        <v>3432</v>
      </c>
      <c r="E31" s="23">
        <f>[8]GtS!$E$74</f>
        <v>3180</v>
      </c>
      <c r="F31" s="23">
        <f>[9]GtS!$E$74</f>
        <v>3148</v>
      </c>
      <c r="G31" s="34">
        <f>[10]GtS!$E$74</f>
        <v>3106</v>
      </c>
      <c r="H31" s="155">
        <f>IF('AW Schüler'!$C79=0,"x",C31/'AW Schüler'!$C79)</f>
        <v>5.6485822728287567E-2</v>
      </c>
      <c r="I31" s="155">
        <f>IF('AW Schüler'!$F79=0,"x",D31/'AW Schüler'!$F79)</f>
        <v>6.5669128621177908E-2</v>
      </c>
      <c r="J31" s="155">
        <f>IF('AW Schüler'!$I79=0,"x",E31/'AW Schüler'!$I79)</f>
        <v>6.3072712126621439E-2</v>
      </c>
      <c r="K31" s="155">
        <f>IF('AW Schüler'!$L79=0,"x",F31/'AW Schüler'!$L79)</f>
        <v>6.3957740755790332E-2</v>
      </c>
      <c r="L31" s="156">
        <f>IF('AW Schüler'!$O79=0,"x",G31/'AW Schüler'!$O79)</f>
        <v>6.527678533899374E-2</v>
      </c>
    </row>
    <row r="32" spans="1:12" ht="9" customHeight="1">
      <c r="A32" s="21" t="s">
        <v>82</v>
      </c>
      <c r="B32" s="120"/>
      <c r="C32" s="151">
        <f>[11]GtS!$E$70</f>
        <v>0</v>
      </c>
      <c r="D32" s="151">
        <f>[12]GtS!$E$74</f>
        <v>0</v>
      </c>
      <c r="E32" s="151">
        <f>[13]GtS!$E$74</f>
        <v>0</v>
      </c>
      <c r="F32" s="151">
        <f>[14]GtS!$E$74</f>
        <v>0</v>
      </c>
      <c r="G32" s="152">
        <f>[15]GtS!$E$74</f>
        <v>0</v>
      </c>
      <c r="H32" s="193">
        <f>IF('AW Schüler'!$C80=0,"x",C32/'AW Schüler'!$C80)</f>
        <v>0</v>
      </c>
      <c r="I32" s="193">
        <f>IF('AW Schüler'!$F80=0,"x",D32/'AW Schüler'!$F80)</f>
        <v>0</v>
      </c>
      <c r="J32" s="193" t="str">
        <f>IF('AW Schüler'!$I80=0,"x",E32/'AW Schüler'!$I80)</f>
        <v>x</v>
      </c>
      <c r="K32" s="193" t="str">
        <f>IF('AW Schüler'!$L80=0,"x",F32/'AW Schüler'!$L80)</f>
        <v>x</v>
      </c>
      <c r="L32" s="194" t="str">
        <f>IF('AW Schüler'!$O80=0,"x",G32/'AW Schüler'!$O80)</f>
        <v>x</v>
      </c>
    </row>
    <row r="33" spans="1:12" ht="9" customHeight="1">
      <c r="A33" s="21" t="s">
        <v>83</v>
      </c>
      <c r="B33" s="120"/>
      <c r="C33" s="151">
        <f>[16]GtS!$E$70</f>
        <v>0</v>
      </c>
      <c r="D33" s="151">
        <f>[17]GtS!$E$74</f>
        <v>0</v>
      </c>
      <c r="E33" s="151">
        <f>[18]GtS!$E$74</f>
        <v>0</v>
      </c>
      <c r="F33" s="151">
        <f>[19]GtS!$E$74</f>
        <v>0</v>
      </c>
      <c r="G33" s="152">
        <f>[20]GtS!$E$74</f>
        <v>0</v>
      </c>
      <c r="H33" s="155" t="str">
        <f>IF('AW Schüler'!$C81=0,"x",C33/'AW Schüler'!$C81)</f>
        <v>x</v>
      </c>
      <c r="I33" s="155" t="str">
        <f>IF('AW Schüler'!$F81=0,"x",D33/'AW Schüler'!$F81)</f>
        <v>x</v>
      </c>
      <c r="J33" s="155" t="str">
        <f>IF('AW Schüler'!$I81=0,"x",E33/'AW Schüler'!$I81)</f>
        <v>x</v>
      </c>
      <c r="K33" s="155" t="str">
        <f>IF('AW Schüler'!$L81=0,"x",F33/'AW Schüler'!$L81)</f>
        <v>x</v>
      </c>
      <c r="L33" s="156" t="str">
        <f>IF('AW Schüler'!$O81=0,"x",G33/'AW Schüler'!$O81)</f>
        <v>x</v>
      </c>
    </row>
    <row r="34" spans="1:12" ht="9" customHeight="1">
      <c r="A34" s="21" t="s">
        <v>84</v>
      </c>
      <c r="B34" s="120"/>
      <c r="C34" s="151">
        <f>[21]GtS!$E$70</f>
        <v>0</v>
      </c>
      <c r="D34" s="151">
        <f>[22]GtS!$E$74</f>
        <v>0</v>
      </c>
      <c r="E34" s="151">
        <f>[23]GtS!$E$74</f>
        <v>0</v>
      </c>
      <c r="F34" s="151">
        <f>[24]GtS!$E$74</f>
        <v>0</v>
      </c>
      <c r="G34" s="152">
        <f>[25]GtS!$E$74</f>
        <v>0</v>
      </c>
      <c r="H34" s="155" t="str">
        <f>IF('AW Schüler'!$C82=0,"x",C34/'AW Schüler'!$C82)</f>
        <v>x</v>
      </c>
      <c r="I34" s="155" t="str">
        <f>IF('AW Schüler'!$F82=0,"x",D34/'AW Schüler'!$F82)</f>
        <v>x</v>
      </c>
      <c r="J34" s="155" t="str">
        <f>IF('AW Schüler'!$I82=0,"x",E34/'AW Schüler'!$I82)</f>
        <v>x</v>
      </c>
      <c r="K34" s="155" t="str">
        <f>IF('AW Schüler'!$L82=0,"x",F34/'AW Schüler'!$L82)</f>
        <v>x</v>
      </c>
      <c r="L34" s="156" t="str">
        <f>IF('AW Schüler'!$O82=0,"x",G34/'AW Schüler'!$O82)</f>
        <v>x</v>
      </c>
    </row>
    <row r="35" spans="1:12" ht="9" customHeight="1">
      <c r="A35" s="21" t="s">
        <v>85</v>
      </c>
      <c r="B35" s="120"/>
      <c r="C35" s="151">
        <f>[26]GtS!$E$70</f>
        <v>0</v>
      </c>
      <c r="D35" s="151">
        <f>[27]GtS!$E$74</f>
        <v>0</v>
      </c>
      <c r="E35" s="151">
        <f>[28]GtS!$E$74</f>
        <v>0</v>
      </c>
      <c r="F35" s="151">
        <f>[29]GtS!$E$74</f>
        <v>0</v>
      </c>
      <c r="G35" s="152">
        <f>[30]GtS!$E$74</f>
        <v>0</v>
      </c>
      <c r="H35" s="155" t="str">
        <f>IF('AW Schüler'!$C83=0,"x",C35/'AW Schüler'!$C83)</f>
        <v>x</v>
      </c>
      <c r="I35" s="155" t="str">
        <f>IF('AW Schüler'!$F83=0,"x",D35/'AW Schüler'!$F83)</f>
        <v>x</v>
      </c>
      <c r="J35" s="155" t="str">
        <f>IF('AW Schüler'!$I83=0,"x",E35/'AW Schüler'!$I83)</f>
        <v>x</v>
      </c>
      <c r="K35" s="155" t="str">
        <f>IF('AW Schüler'!$L83=0,"x",F35/'AW Schüler'!$L83)</f>
        <v>x</v>
      </c>
      <c r="L35" s="156" t="str">
        <f>IF('AW Schüler'!$O83=0,"x",G35/'AW Schüler'!$O83)</f>
        <v>x</v>
      </c>
    </row>
    <row r="36" spans="1:12" ht="9" customHeight="1">
      <c r="A36" s="21" t="s">
        <v>86</v>
      </c>
      <c r="B36" s="120"/>
      <c r="C36" s="124">
        <f>[66]GtS!$E$70</f>
        <v>0</v>
      </c>
      <c r="D36" s="124">
        <f>[67]GtS!$E$74</f>
        <v>0</v>
      </c>
      <c r="E36" s="124">
        <f>[68]GtS!$E$74</f>
        <v>0</v>
      </c>
      <c r="F36" s="124">
        <f>[69]GtS!$E$74</f>
        <v>0</v>
      </c>
      <c r="G36" s="188">
        <f>[70]GtS!$E$74</f>
        <v>0</v>
      </c>
      <c r="H36" s="189">
        <f>IF('AW Schüler'!$C84=0,"x",C36/'AW Schüler'!$C84)</f>
        <v>0</v>
      </c>
      <c r="I36" s="189">
        <f>IF('AW Schüler'!$F84=0,"x",D36/'AW Schüler'!$F84)</f>
        <v>0</v>
      </c>
      <c r="J36" s="189">
        <f>IF('AW Schüler'!$I84=0,"x",E36/'AW Schüler'!$I84)</f>
        <v>0</v>
      </c>
      <c r="K36" s="189">
        <f>IF('AW Schüler'!$L84=0,"x",F36/'AW Schüler'!$L84)</f>
        <v>0</v>
      </c>
      <c r="L36" s="190">
        <f>IF('AW Schüler'!$O84=0,"x",G36/'AW Schüler'!$O84)</f>
        <v>0</v>
      </c>
    </row>
    <row r="37" spans="1:12" ht="9" customHeight="1">
      <c r="A37" s="21" t="s">
        <v>87</v>
      </c>
      <c r="B37" s="120"/>
      <c r="C37" s="151">
        <f>[31]GtS!$E$70</f>
        <v>0</v>
      </c>
      <c r="D37" s="151">
        <f>[32]GtS!$E$74</f>
        <v>0</v>
      </c>
      <c r="E37" s="151">
        <f>[33]GtS!$E$74</f>
        <v>0</v>
      </c>
      <c r="F37" s="151">
        <f>[34]GtS!$E$74</f>
        <v>0</v>
      </c>
      <c r="G37" s="152">
        <f>[35]GtS!$E$74</f>
        <v>0</v>
      </c>
      <c r="H37" s="155" t="str">
        <f>IF('AW Schüler'!$C85=0,"x",C37/'AW Schüler'!$C85)</f>
        <v>x</v>
      </c>
      <c r="I37" s="155" t="str">
        <f>IF('AW Schüler'!$F85=0,"x",D37/'AW Schüler'!$F85)</f>
        <v>x</v>
      </c>
      <c r="J37" s="155" t="str">
        <f>IF('AW Schüler'!$I85=0,"x",E37/'AW Schüler'!$I85)</f>
        <v>x</v>
      </c>
      <c r="K37" s="155" t="str">
        <f>IF('AW Schüler'!$L85=0,"x",F37/'AW Schüler'!$L85)</f>
        <v>x</v>
      </c>
      <c r="L37" s="156" t="str">
        <f>IF('AW Schüler'!$O85=0,"x",G37/'AW Schüler'!$O85)</f>
        <v>x</v>
      </c>
    </row>
    <row r="38" spans="1:12" ht="9" customHeight="1">
      <c r="A38" s="21" t="s">
        <v>88</v>
      </c>
      <c r="B38" s="120"/>
      <c r="C38" s="124">
        <f>[71]GtS!$E$70</f>
        <v>0</v>
      </c>
      <c r="D38" s="124">
        <f>[72]GtS!$E$74</f>
        <v>0</v>
      </c>
      <c r="E38" s="124">
        <f>[73]GtS!$E$74</f>
        <v>0</v>
      </c>
      <c r="F38" s="124">
        <f>[74]GtS!$E$74</f>
        <v>0</v>
      </c>
      <c r="G38" s="188">
        <f>[75]GtS!$E$74</f>
        <v>0</v>
      </c>
      <c r="H38" s="189">
        <f>IF('AW Schüler'!$C86=0,"x",C38/'AW Schüler'!$C86)</f>
        <v>0</v>
      </c>
      <c r="I38" s="189">
        <f>IF('AW Schüler'!$F86=0,"x",D38/'AW Schüler'!$F86)</f>
        <v>0</v>
      </c>
      <c r="J38" s="189">
        <f>IF('AW Schüler'!$I86=0,"x",E38/'AW Schüler'!$I86)</f>
        <v>0</v>
      </c>
      <c r="K38" s="189">
        <f>IF('AW Schüler'!$L86=0,"x",F38/'AW Schüler'!$L86)</f>
        <v>0</v>
      </c>
      <c r="L38" s="190">
        <f>IF('AW Schüler'!$O86=0,"x",G38/'AW Schüler'!$O86)</f>
        <v>0</v>
      </c>
    </row>
    <row r="39" spans="1:12" ht="9" customHeight="1">
      <c r="A39" s="21" t="s">
        <v>89</v>
      </c>
      <c r="B39" s="120"/>
      <c r="C39" s="23">
        <f>[36]GtS!$E$70</f>
        <v>1975</v>
      </c>
      <c r="D39" s="23">
        <f>[37]GtS!$E$74</f>
        <v>2182</v>
      </c>
      <c r="E39" s="23">
        <f>[38]GtS!$E$74</f>
        <v>2046</v>
      </c>
      <c r="F39" s="23">
        <f>[39]GtS!$E$74</f>
        <v>2077</v>
      </c>
      <c r="G39" s="34">
        <f>[40]GtS!$E$74</f>
        <v>1772</v>
      </c>
      <c r="H39" s="155">
        <f>IF('AW Schüler'!$C87=0,"x",C39/'AW Schüler'!$C87)</f>
        <v>8.5041336548398211E-2</v>
      </c>
      <c r="I39" s="155">
        <f>IF('AW Schüler'!$F87=0,"x",D39/'AW Schüler'!$F87)</f>
        <v>9.5254725629720177E-2</v>
      </c>
      <c r="J39" s="155">
        <f>IF('AW Schüler'!$I87=0,"x",E39/'AW Schüler'!$I87)</f>
        <v>9.2361863488624046E-2</v>
      </c>
      <c r="K39" s="155">
        <f>IF('AW Schüler'!$L87=0,"x",F39/'AW Schüler'!$L87)</f>
        <v>9.5200990053627907E-2</v>
      </c>
      <c r="L39" s="156">
        <f>IF('AW Schüler'!$O87=0,"x",G39/'AW Schüler'!$O87)</f>
        <v>8.3921382903149419E-2</v>
      </c>
    </row>
    <row r="40" spans="1:12" ht="9" customHeight="1">
      <c r="A40" s="21" t="s">
        <v>90</v>
      </c>
      <c r="B40" s="120"/>
      <c r="C40" s="23">
        <f>[41]GtS!$E$70</f>
        <v>65</v>
      </c>
      <c r="D40" s="23">
        <f>[42]GtS!$E$74</f>
        <v>122</v>
      </c>
      <c r="E40" s="23">
        <f>[43]GtS!$E$74</f>
        <v>97</v>
      </c>
      <c r="F40" s="23">
        <f>[44]GtS!$E$74</f>
        <v>78</v>
      </c>
      <c r="G40" s="34">
        <f>[45]GtS!$E$74</f>
        <v>108</v>
      </c>
      <c r="H40" s="155">
        <f>IF('AW Schüler'!$C88=0,"x",C40/'AW Schüler'!$C88)</f>
        <v>1.4121225287855746E-2</v>
      </c>
      <c r="I40" s="155">
        <f>IF('AW Schüler'!$F88=0,"x",D40/'AW Schüler'!$F88)</f>
        <v>2.676612549363756E-2</v>
      </c>
      <c r="J40" s="155">
        <f>IF('AW Schüler'!$I88=0,"x",E40/'AW Schüler'!$I88)</f>
        <v>2.3166945306902317E-2</v>
      </c>
      <c r="K40" s="155">
        <f>IF('AW Schüler'!$L88=0,"x",F40/'AW Schüler'!$L88)</f>
        <v>2.1775544388609715E-2</v>
      </c>
      <c r="L40" s="156">
        <f>IF('AW Schüler'!$O88=0,"x",G40/'AW Schüler'!$O88)</f>
        <v>2.989205646277332E-2</v>
      </c>
    </row>
    <row r="41" spans="1:12" ht="9" customHeight="1">
      <c r="A41" s="21" t="s">
        <v>91</v>
      </c>
      <c r="B41" s="120"/>
      <c r="C41" s="23">
        <f>[46]GtS!$E$70</f>
        <v>0</v>
      </c>
      <c r="D41" s="23">
        <f>[47]GtS!$E$74</f>
        <v>0</v>
      </c>
      <c r="E41" s="23">
        <f>[48]GtS!$E$74</f>
        <v>0</v>
      </c>
      <c r="F41" s="23">
        <f>[49]GtS!$E$74</f>
        <v>0</v>
      </c>
      <c r="G41" s="34">
        <f>[50]GtS!$E$74</f>
        <v>0</v>
      </c>
      <c r="H41" s="155">
        <f>IF('AW Schüler'!$C89=0,"x",C41/'AW Schüler'!$C89)</f>
        <v>0</v>
      </c>
      <c r="I41" s="155">
        <f>IF('AW Schüler'!$F89=0,"x",D41/'AW Schüler'!$F89)</f>
        <v>0</v>
      </c>
      <c r="J41" s="155">
        <f>IF('AW Schüler'!$I89=0,"x",E41/'AW Schüler'!$I89)</f>
        <v>0</v>
      </c>
      <c r="K41" s="155">
        <f>IF('AW Schüler'!$L89=0,"x",F41/'AW Schüler'!$L89)</f>
        <v>0</v>
      </c>
      <c r="L41" s="156">
        <f>IF('AW Schüler'!$O89=0,"x",G41/'AW Schüler'!$O89)</f>
        <v>0</v>
      </c>
    </row>
    <row r="42" spans="1:12" ht="9" customHeight="1">
      <c r="A42" s="21" t="s">
        <v>92</v>
      </c>
      <c r="B42" s="120"/>
      <c r="C42" s="151">
        <f>[51]GtS!$E$70</f>
        <v>0</v>
      </c>
      <c r="D42" s="151">
        <f>[52]GtS!$E$74</f>
        <v>0</v>
      </c>
      <c r="E42" s="151">
        <f>[53]GtS!$E$74</f>
        <v>0</v>
      </c>
      <c r="F42" s="151">
        <f>[54]GtS!$E$74</f>
        <v>0</v>
      </c>
      <c r="G42" s="152">
        <f>[55]GtS!$E$74</f>
        <v>0</v>
      </c>
      <c r="H42" s="155" t="str">
        <f>IF('AW Schüler'!$C90=0,"x",C42/'AW Schüler'!$C90)</f>
        <v>x</v>
      </c>
      <c r="I42" s="155" t="str">
        <f>IF('AW Schüler'!$F90=0,"x",D42/'AW Schüler'!$F90)</f>
        <v>x</v>
      </c>
      <c r="J42" s="155" t="str">
        <f>IF('AW Schüler'!$I90=0,"x",E42/'AW Schüler'!$I90)</f>
        <v>x</v>
      </c>
      <c r="K42" s="155" t="str">
        <f>IF('AW Schüler'!$L90=0,"x",F42/'AW Schüler'!$L90)</f>
        <v>x</v>
      </c>
      <c r="L42" s="156" t="str">
        <f>IF('AW Schüler'!$O90=0,"x",G42/'AW Schüler'!$O90)</f>
        <v>x</v>
      </c>
    </row>
    <row r="43" spans="1:12" ht="9" customHeight="1">
      <c r="A43" s="21" t="s">
        <v>93</v>
      </c>
      <c r="B43" s="120"/>
      <c r="C43" s="151">
        <f>[76]GtS!$E$70</f>
        <v>0</v>
      </c>
      <c r="D43" s="151">
        <f>[77]GtS!$E$74</f>
        <v>0</v>
      </c>
      <c r="E43" s="151">
        <f>[78]GtS!$E$74</f>
        <v>0</v>
      </c>
      <c r="F43" s="151">
        <f>[79]GtS!$E$74</f>
        <v>0</v>
      </c>
      <c r="G43" s="152">
        <f>[80]GtS!$E$74</f>
        <v>0</v>
      </c>
      <c r="H43" s="189" t="str">
        <f>IF('AW Schüler'!$C91=0,"x",C43/'AW Schüler'!$C91)</f>
        <v>x</v>
      </c>
      <c r="I43" s="189" t="str">
        <f>IF('AW Schüler'!$F91=0,"x",D43/'AW Schüler'!$F91)</f>
        <v>x</v>
      </c>
      <c r="J43" s="189" t="str">
        <f>IF('AW Schüler'!$I91=0,"x",E43/'AW Schüler'!$I91)</f>
        <v>x</v>
      </c>
      <c r="K43" s="189" t="str">
        <f>IF('AW Schüler'!$L91=0,"x",F43/'AW Schüler'!$L91)</f>
        <v>x</v>
      </c>
      <c r="L43" s="190" t="str">
        <f>IF('AW Schüler'!$O91=0,"x",G43/'AW Schüler'!$O91)</f>
        <v>x</v>
      </c>
    </row>
    <row r="44" spans="1:12" ht="9" customHeight="1">
      <c r="A44" s="21" t="s">
        <v>94</v>
      </c>
      <c r="B44" s="120"/>
      <c r="C44" s="23">
        <f>[56]GtS!$E$70</f>
        <v>0</v>
      </c>
      <c r="D44" s="23">
        <f>[57]GtS!$E$74</f>
        <v>0</v>
      </c>
      <c r="E44" s="23">
        <f>[58]GtS!$E$74</f>
        <v>0</v>
      </c>
      <c r="F44" s="23">
        <f>[59]GtS!$E$74</f>
        <v>0</v>
      </c>
      <c r="G44" s="152">
        <f>[60]GtS!$E$74</f>
        <v>0</v>
      </c>
      <c r="H44" s="155">
        <f>IF('AW Schüler'!$C92=0,"x",C44/'AW Schüler'!$C92)</f>
        <v>0</v>
      </c>
      <c r="I44" s="155">
        <f>IF('AW Schüler'!$F92=0,"x",D44/'AW Schüler'!$F92)</f>
        <v>0</v>
      </c>
      <c r="J44" s="155">
        <f>IF('AW Schüler'!$I92=0,"x",E44/'AW Schüler'!$I92)</f>
        <v>0</v>
      </c>
      <c r="K44" s="155">
        <f>IF('AW Schüler'!$L92=0,"x",F44/'AW Schüler'!$L92)</f>
        <v>0</v>
      </c>
      <c r="L44" s="156" t="str">
        <f>IF('AW Schüler'!$O92=0,"x",G44/'AW Schüler'!$O92)</f>
        <v>x</v>
      </c>
    </row>
    <row r="45" spans="1:12" ht="9" customHeight="1">
      <c r="A45" s="21" t="s">
        <v>95</v>
      </c>
      <c r="B45" s="120"/>
      <c r="C45" s="151">
        <f>[61]GtS!$E$70</f>
        <v>0</v>
      </c>
      <c r="D45" s="151">
        <f>[62]GtS!$E$74</f>
        <v>0</v>
      </c>
      <c r="E45" s="151">
        <f>[63]GtS!$E$74</f>
        <v>0</v>
      </c>
      <c r="F45" s="151">
        <f>[64]GtS!$E$74</f>
        <v>0</v>
      </c>
      <c r="G45" s="152">
        <f>[65]GtS!$E$74</f>
        <v>0</v>
      </c>
      <c r="H45" s="155" t="str">
        <f>IF('AW Schüler'!$C93=0,"x",C45/'AW Schüler'!$C93)</f>
        <v>x</v>
      </c>
      <c r="I45" s="155" t="str">
        <f>IF('AW Schüler'!$F93=0,"x",D45/'AW Schüler'!$F93)</f>
        <v>x</v>
      </c>
      <c r="J45" s="155" t="str">
        <f>IF('AW Schüler'!$I93=0,"x",E45/'AW Schüler'!$I93)</f>
        <v>x</v>
      </c>
      <c r="K45" s="155" t="str">
        <f>IF('AW Schüler'!$L93=0,"x",F45/'AW Schüler'!$L93)</f>
        <v>x</v>
      </c>
      <c r="L45" s="156" t="str">
        <f>IF('AW Schüler'!$O93=0,"x",G45/'AW Schüler'!$O93)</f>
        <v>x</v>
      </c>
    </row>
    <row r="46" spans="1:12" ht="9" customHeight="1">
      <c r="A46" s="21" t="s">
        <v>96</v>
      </c>
      <c r="B46" s="120"/>
      <c r="C46" s="23">
        <f>SUM(C30:C45)</f>
        <v>7686</v>
      </c>
      <c r="D46" s="23">
        <f>SUM(D30:D45)</f>
        <v>8331</v>
      </c>
      <c r="E46" s="23">
        <f>SUM(E30:E45)</f>
        <v>7667</v>
      </c>
      <c r="F46" s="23">
        <f>SUM(F30:F45)</f>
        <v>7446</v>
      </c>
      <c r="G46" s="34">
        <f>SUM(G30:G45)</f>
        <v>7099</v>
      </c>
      <c r="H46" s="155">
        <f>IF('AW Schüler'!$C94=0,"x",C46/'AW Schüler'!$C94)</f>
        <v>7.8453388316712433E-2</v>
      </c>
      <c r="I46" s="155">
        <f>IF('AW Schüler'!$F94=0,"x",D46/'AW Schüler'!$F94)</f>
        <v>8.6791194824406961E-2</v>
      </c>
      <c r="J46" s="155">
        <f>IF('AW Schüler'!$I94=0,"x",E46/'AW Schüler'!$I94)</f>
        <v>8.2445292757675148E-2</v>
      </c>
      <c r="K46" s="155">
        <f>IF('AW Schüler'!$L94=0,"x",F46/'AW Schüler'!$L94)</f>
        <v>8.1633100544878476E-2</v>
      </c>
      <c r="L46" s="156">
        <f>IF('AW Schüler'!$O94=0,"x",G46/'AW Schüler'!$O94)</f>
        <v>8.0132293348082764E-2</v>
      </c>
    </row>
    <row r="47" spans="1:12" ht="12.75" customHeight="1">
      <c r="A47" s="391" t="s">
        <v>100</v>
      </c>
      <c r="B47" s="392"/>
      <c r="C47" s="392"/>
      <c r="D47" s="392"/>
      <c r="E47" s="392"/>
      <c r="F47" s="392"/>
      <c r="G47" s="392"/>
      <c r="H47" s="392"/>
      <c r="I47" s="392"/>
      <c r="J47" s="392"/>
      <c r="K47" s="392"/>
      <c r="L47" s="393"/>
    </row>
    <row r="48" spans="1:12" ht="9" customHeight="1">
      <c r="A48" s="21" t="s">
        <v>80</v>
      </c>
      <c r="B48" s="120"/>
      <c r="C48" s="23">
        <f>[1]GtS!$H$70</f>
        <v>335</v>
      </c>
      <c r="D48" s="23">
        <f>[2]GtS!$H$74</f>
        <v>371</v>
      </c>
      <c r="E48" s="23">
        <f>[3]GtS!$H$74</f>
        <v>524</v>
      </c>
      <c r="F48" s="23">
        <f>[4]GtS!$H$74</f>
        <v>271</v>
      </c>
      <c r="G48" s="34">
        <f>[5]GtS!$H$74</f>
        <v>386</v>
      </c>
      <c r="H48" s="155">
        <f>IF('AW Schüler'!$C78=0,"x",C48/'AW Schüler'!$C78)</f>
        <v>2.3151347615756736E-2</v>
      </c>
      <c r="I48" s="155">
        <f>IF('AW Schüler'!$F78=0,"x",D48/'AW Schüler'!$F78)</f>
        <v>2.509979027129423E-2</v>
      </c>
      <c r="J48" s="155">
        <f>IF('AW Schüler'!$I78=0,"x",E48/'AW Schüler'!$I78)</f>
        <v>3.5125351923850384E-2</v>
      </c>
      <c r="K48" s="155">
        <f>IF('AW Schüler'!$L78=0,"x",F48/'AW Schüler'!$L78)</f>
        <v>1.7883067176982976E-2</v>
      </c>
      <c r="L48" s="156">
        <f>IF('AW Schüler'!$O78=0,"x",G48/'AW Schüler'!$O78)</f>
        <v>2.5276668194617248E-2</v>
      </c>
    </row>
    <row r="49" spans="1:12" ht="9" customHeight="1">
      <c r="A49" s="21" t="s">
        <v>81</v>
      </c>
      <c r="B49" s="120"/>
      <c r="C49" s="23">
        <f>[6]GtS!$H$70</f>
        <v>5410</v>
      </c>
      <c r="D49" s="23">
        <f>[7]GtS!$H$74</f>
        <v>5660</v>
      </c>
      <c r="E49" s="23">
        <f>[8]GtS!$H$74</f>
        <v>5597</v>
      </c>
      <c r="F49" s="23">
        <f>[9]GtS!$H$74</f>
        <v>5186</v>
      </c>
      <c r="G49" s="34">
        <f>[10]GtS!$H$74</f>
        <v>5196</v>
      </c>
      <c r="H49" s="155">
        <f>IF('AW Schüler'!$C79=0,"x",C49/'AW Schüler'!$C79)</f>
        <v>0.10065490808960334</v>
      </c>
      <c r="I49" s="155">
        <f>IF('AW Schüler'!$F79=0,"x",D49/'AW Schüler'!$F79)</f>
        <v>0.10830048601278175</v>
      </c>
      <c r="J49" s="155">
        <f>IF('AW Schüler'!$I79=0,"x",E49/'AW Schüler'!$I79)</f>
        <v>0.11101194018009441</v>
      </c>
      <c r="K49" s="155">
        <f>IF('AW Schüler'!$L79=0,"x",F49/'AW Schüler'!$L79)</f>
        <v>0.10536367330353515</v>
      </c>
      <c r="L49" s="156">
        <f>IF('AW Schüler'!$O79=0,"x",G49/'AW Schüler'!$O79)</f>
        <v>0.10920095834559287</v>
      </c>
    </row>
    <row r="50" spans="1:12" ht="9" customHeight="1">
      <c r="A50" s="21" t="s">
        <v>82</v>
      </c>
      <c r="B50" s="120"/>
      <c r="C50" s="151">
        <f>[11]GtS!$H$70</f>
        <v>0</v>
      </c>
      <c r="D50" s="151">
        <f>[12]GtS!$H$74</f>
        <v>0</v>
      </c>
      <c r="E50" s="151">
        <f>[13]GtS!$H$74</f>
        <v>0</v>
      </c>
      <c r="F50" s="151">
        <f>[14]GtS!$H$74</f>
        <v>0</v>
      </c>
      <c r="G50" s="152">
        <f>[15]GtS!$H$74</f>
        <v>0</v>
      </c>
      <c r="H50" s="193">
        <f>IF('AW Schüler'!$C80=0,"x",C50/'AW Schüler'!$C80)</f>
        <v>0</v>
      </c>
      <c r="I50" s="193">
        <f>IF('AW Schüler'!$F80=0,"x",D50/'AW Schüler'!$F80)</f>
        <v>0</v>
      </c>
      <c r="J50" s="193" t="str">
        <f>IF('AW Schüler'!$I80=0,"x",E50/'AW Schüler'!$I80)</f>
        <v>x</v>
      </c>
      <c r="K50" s="193" t="str">
        <f>IF('AW Schüler'!$L80=0,"x",F50/'AW Schüler'!$L80)</f>
        <v>x</v>
      </c>
      <c r="L50" s="194" t="str">
        <f>IF('AW Schüler'!$O80=0,"x",G50/'AW Schüler'!$O80)</f>
        <v>x</v>
      </c>
    </row>
    <row r="51" spans="1:12" ht="9" customHeight="1">
      <c r="A51" s="21" t="s">
        <v>83</v>
      </c>
      <c r="B51" s="120"/>
      <c r="C51" s="151">
        <f>[16]GtS!$H$70</f>
        <v>0</v>
      </c>
      <c r="D51" s="151">
        <f>[17]GtS!$H$74</f>
        <v>0</v>
      </c>
      <c r="E51" s="151">
        <f>[18]GtS!$H$74</f>
        <v>0</v>
      </c>
      <c r="F51" s="151">
        <f>[19]GtS!$H$74</f>
        <v>0</v>
      </c>
      <c r="G51" s="152">
        <f>[20]GtS!$H$74</f>
        <v>0</v>
      </c>
      <c r="H51" s="155" t="str">
        <f>IF('AW Schüler'!$C81=0,"x",C51/'AW Schüler'!$C81)</f>
        <v>x</v>
      </c>
      <c r="I51" s="155" t="str">
        <f>IF('AW Schüler'!$F81=0,"x",D51/'AW Schüler'!$F81)</f>
        <v>x</v>
      </c>
      <c r="J51" s="155" t="str">
        <f>IF('AW Schüler'!$I81=0,"x",E51/'AW Schüler'!$I81)</f>
        <v>x</v>
      </c>
      <c r="K51" s="155" t="str">
        <f>IF('AW Schüler'!$L81=0,"x",F51/'AW Schüler'!$L81)</f>
        <v>x</v>
      </c>
      <c r="L51" s="156" t="str">
        <f>IF('AW Schüler'!$O81=0,"x",G51/'AW Schüler'!$O81)</f>
        <v>x</v>
      </c>
    </row>
    <row r="52" spans="1:12" ht="9" customHeight="1">
      <c r="A52" s="21" t="s">
        <v>84</v>
      </c>
      <c r="B52" s="120"/>
      <c r="C52" s="151">
        <f>[21]GtS!$H$70</f>
        <v>0</v>
      </c>
      <c r="D52" s="151">
        <f>[22]GtS!$H$74</f>
        <v>0</v>
      </c>
      <c r="E52" s="151">
        <f>[23]GtS!$H$74</f>
        <v>0</v>
      </c>
      <c r="F52" s="151">
        <f>[24]GtS!$H$74</f>
        <v>0</v>
      </c>
      <c r="G52" s="152">
        <f>[25]GtS!$H$74</f>
        <v>0</v>
      </c>
      <c r="H52" s="155" t="str">
        <f>IF('AW Schüler'!$C82=0,"x",C52/'AW Schüler'!$C82)</f>
        <v>x</v>
      </c>
      <c r="I52" s="155" t="str">
        <f>IF('AW Schüler'!$F82=0,"x",D52/'AW Schüler'!$F82)</f>
        <v>x</v>
      </c>
      <c r="J52" s="155" t="str">
        <f>IF('AW Schüler'!$I82=0,"x",E52/'AW Schüler'!$I82)</f>
        <v>x</v>
      </c>
      <c r="K52" s="155" t="str">
        <f>IF('AW Schüler'!$L82=0,"x",F52/'AW Schüler'!$L82)</f>
        <v>x</v>
      </c>
      <c r="L52" s="156" t="str">
        <f>IF('AW Schüler'!$O82=0,"x",G52/'AW Schüler'!$O82)</f>
        <v>x</v>
      </c>
    </row>
    <row r="53" spans="1:12" ht="9" customHeight="1">
      <c r="A53" s="21" t="s">
        <v>85</v>
      </c>
      <c r="B53" s="120"/>
      <c r="C53" s="151">
        <f>[26]GtS!$H$70</f>
        <v>0</v>
      </c>
      <c r="D53" s="151">
        <f>[27]GtS!$H$74</f>
        <v>0</v>
      </c>
      <c r="E53" s="151">
        <f>[28]GtS!$H$74</f>
        <v>0</v>
      </c>
      <c r="F53" s="151">
        <f>[29]GtS!$H$74</f>
        <v>0</v>
      </c>
      <c r="G53" s="152">
        <f>[30]GtS!$H$74</f>
        <v>0</v>
      </c>
      <c r="H53" s="155" t="str">
        <f>IF('AW Schüler'!$C83=0,"x",C53/'AW Schüler'!$C83)</f>
        <v>x</v>
      </c>
      <c r="I53" s="155" t="str">
        <f>IF('AW Schüler'!$F83=0,"x",D53/'AW Schüler'!$F83)</f>
        <v>x</v>
      </c>
      <c r="J53" s="155" t="str">
        <f>IF('AW Schüler'!$I83=0,"x",E53/'AW Schüler'!$I83)</f>
        <v>x</v>
      </c>
      <c r="K53" s="155" t="str">
        <f>IF('AW Schüler'!$L83=0,"x",F53/'AW Schüler'!$L83)</f>
        <v>x</v>
      </c>
      <c r="L53" s="156" t="str">
        <f>IF('AW Schüler'!$O83=0,"x",G53/'AW Schüler'!$O83)</f>
        <v>x</v>
      </c>
    </row>
    <row r="54" spans="1:12" ht="9" customHeight="1">
      <c r="A54" s="21" t="s">
        <v>86</v>
      </c>
      <c r="B54" s="120"/>
      <c r="C54" s="124">
        <f>[66]GtS!$H$70</f>
        <v>0</v>
      </c>
      <c r="D54" s="124">
        <f>[67]GtS!$H$74</f>
        <v>0</v>
      </c>
      <c r="E54" s="124">
        <f>[68]GtS!$H$74</f>
        <v>0</v>
      </c>
      <c r="F54" s="124">
        <f>[69]GtS!$H$74</f>
        <v>0</v>
      </c>
      <c r="G54" s="188">
        <f>[70]GtS!$H$74</f>
        <v>0</v>
      </c>
      <c r="H54" s="189">
        <f>IF('AW Schüler'!$C84=0,"x",C54/'AW Schüler'!$C84)</f>
        <v>0</v>
      </c>
      <c r="I54" s="189">
        <f>IF('AW Schüler'!$F84=0,"x",D54/'AW Schüler'!$F84)</f>
        <v>0</v>
      </c>
      <c r="J54" s="189">
        <f>IF('AW Schüler'!$I84=0,"x",E54/'AW Schüler'!$I84)</f>
        <v>0</v>
      </c>
      <c r="K54" s="189">
        <f>IF('AW Schüler'!$L84=0,"x",F54/'AW Schüler'!$L84)</f>
        <v>0</v>
      </c>
      <c r="L54" s="190">
        <f>IF('AW Schüler'!$O84=0,"x",G54/'AW Schüler'!$O84)</f>
        <v>0</v>
      </c>
    </row>
    <row r="55" spans="1:12" ht="9" customHeight="1">
      <c r="A55" s="21" t="s">
        <v>87</v>
      </c>
      <c r="B55" s="120"/>
      <c r="C55" s="151">
        <f>[31]GtS!$H$70</f>
        <v>0</v>
      </c>
      <c r="D55" s="151">
        <f>[32]GtS!$H$74</f>
        <v>0</v>
      </c>
      <c r="E55" s="151">
        <f>[33]GtS!$H$74</f>
        <v>0</v>
      </c>
      <c r="F55" s="151">
        <f>[34]GtS!$H$74</f>
        <v>0</v>
      </c>
      <c r="G55" s="152">
        <f>[35]GtS!$H$74</f>
        <v>0</v>
      </c>
      <c r="H55" s="155" t="str">
        <f>IF('AW Schüler'!$C85=0,"x",C55/'AW Schüler'!$C85)</f>
        <v>x</v>
      </c>
      <c r="I55" s="155" t="str">
        <f>IF('AW Schüler'!$F85=0,"x",D55/'AW Schüler'!$F85)</f>
        <v>x</v>
      </c>
      <c r="J55" s="155" t="str">
        <f>IF('AW Schüler'!$I85=0,"x",E55/'AW Schüler'!$I85)</f>
        <v>x</v>
      </c>
      <c r="K55" s="155" t="str">
        <f>IF('AW Schüler'!$L85=0,"x",F55/'AW Schüler'!$L85)</f>
        <v>x</v>
      </c>
      <c r="L55" s="156" t="str">
        <f>IF('AW Schüler'!$O85=0,"x",G55/'AW Schüler'!$O85)</f>
        <v>x</v>
      </c>
    </row>
    <row r="56" spans="1:12" ht="9" customHeight="1">
      <c r="A56" s="21" t="s">
        <v>88</v>
      </c>
      <c r="B56" s="120"/>
      <c r="C56" s="124">
        <f>[71]GtS!$H$70</f>
        <v>0</v>
      </c>
      <c r="D56" s="124">
        <f>[72]GtS!$H$74</f>
        <v>0</v>
      </c>
      <c r="E56" s="124">
        <f>[73]GtS!$H$74</f>
        <v>0</v>
      </c>
      <c r="F56" s="124">
        <f>[74]GtS!$H$74</f>
        <v>0</v>
      </c>
      <c r="G56" s="188">
        <f>[75]GtS!$H$74</f>
        <v>0</v>
      </c>
      <c r="H56" s="189">
        <f>IF('AW Schüler'!$C86=0,"x",C56/'AW Schüler'!$C86)</f>
        <v>0</v>
      </c>
      <c r="I56" s="189">
        <f>IF('AW Schüler'!$F86=0,"x",D56/'AW Schüler'!$F86)</f>
        <v>0</v>
      </c>
      <c r="J56" s="189">
        <f>IF('AW Schüler'!$I86=0,"x",E56/'AW Schüler'!$I86)</f>
        <v>0</v>
      </c>
      <c r="K56" s="189">
        <f>IF('AW Schüler'!$L86=0,"x",F56/'AW Schüler'!$L86)</f>
        <v>0</v>
      </c>
      <c r="L56" s="190">
        <f>IF('AW Schüler'!$O86=0,"x",G56/'AW Schüler'!$O86)</f>
        <v>0</v>
      </c>
    </row>
    <row r="57" spans="1:12" ht="9" customHeight="1">
      <c r="A57" s="21" t="s">
        <v>89</v>
      </c>
      <c r="B57" s="120"/>
      <c r="C57" s="23">
        <f>[36]GtS!$H$70</f>
        <v>0</v>
      </c>
      <c r="D57" s="23">
        <f>[37]GtS!$H$74</f>
        <v>0</v>
      </c>
      <c r="E57" s="23">
        <f>[38]GtS!$H$74</f>
        <v>0</v>
      </c>
      <c r="F57" s="23">
        <f>[39]GtS!$H$74</f>
        <v>0</v>
      </c>
      <c r="G57" s="34">
        <f>[40]GtS!$H$74</f>
        <v>0</v>
      </c>
      <c r="H57" s="155">
        <f>IF('AW Schüler'!$C87=0,"x",C57/'AW Schüler'!$C87)</f>
        <v>0</v>
      </c>
      <c r="I57" s="155">
        <f>IF('AW Schüler'!$F87=0,"x",D57/'AW Schüler'!$F87)</f>
        <v>0</v>
      </c>
      <c r="J57" s="155">
        <f>IF('AW Schüler'!$I87=0,"x",E57/'AW Schüler'!$I87)</f>
        <v>0</v>
      </c>
      <c r="K57" s="155">
        <f>IF('AW Schüler'!$L87=0,"x",F57/'AW Schüler'!$L87)</f>
        <v>0</v>
      </c>
      <c r="L57" s="156">
        <f>IF('AW Schüler'!$O87=0,"x",G57/'AW Schüler'!$O87)</f>
        <v>0</v>
      </c>
    </row>
    <row r="58" spans="1:12" ht="9" customHeight="1">
      <c r="A58" s="21" t="s">
        <v>90</v>
      </c>
      <c r="B58" s="120"/>
      <c r="C58" s="23">
        <f>[41]GtS!$H$70</f>
        <v>49</v>
      </c>
      <c r="D58" s="23">
        <f>[42]GtS!$H$74</f>
        <v>48</v>
      </c>
      <c r="E58" s="23">
        <f>[43]GtS!$H$74</f>
        <v>44</v>
      </c>
      <c r="F58" s="23">
        <f>[44]GtS!$H$74</f>
        <v>43</v>
      </c>
      <c r="G58" s="34">
        <f>[45]GtS!$H$74</f>
        <v>41</v>
      </c>
      <c r="H58" s="155">
        <f>IF('AW Schüler'!$C88=0,"x",C58/'AW Schüler'!$C88)</f>
        <v>1.0645231370845101E-2</v>
      </c>
      <c r="I58" s="155">
        <f>IF('AW Schüler'!$F88=0,"x",D58/'AW Schüler'!$F88)</f>
        <v>1.0530934620447565E-2</v>
      </c>
      <c r="J58" s="155">
        <f>IF('AW Schüler'!$I88=0,"x",E58/'AW Schüler'!$I88)</f>
        <v>1.0508717458801052E-2</v>
      </c>
      <c r="K58" s="155">
        <f>IF('AW Schüler'!$L88=0,"x",F58/'AW Schüler'!$L88)</f>
        <v>1.2004466778336125E-2</v>
      </c>
      <c r="L58" s="156">
        <f>IF('AW Schüler'!$O88=0,"x",G58/'AW Schüler'!$O88)</f>
        <v>1.1347910323830611E-2</v>
      </c>
    </row>
    <row r="59" spans="1:12" ht="9" customHeight="1">
      <c r="A59" s="21" t="s">
        <v>91</v>
      </c>
      <c r="B59" s="120"/>
      <c r="C59" s="23">
        <f>[46]GtS!$H$70</f>
        <v>142</v>
      </c>
      <c r="D59" s="23">
        <f>[47]GtS!$H$74</f>
        <v>94</v>
      </c>
      <c r="E59" s="23">
        <f>[48]GtS!$H$74</f>
        <v>103</v>
      </c>
      <c r="F59" s="23">
        <f>[49]GtS!$H$74</f>
        <v>122</v>
      </c>
      <c r="G59" s="34">
        <f>[50]GtS!$H$74</f>
        <v>101</v>
      </c>
      <c r="H59" s="155">
        <f>IF('AW Schüler'!$C89=0,"x",C59/'AW Schüler'!$C89)</f>
        <v>0.11216429699842022</v>
      </c>
      <c r="I59" s="155">
        <f>IF('AW Schüler'!$F89=0,"x",D59/'AW Schüler'!$F89)</f>
        <v>7.5019952114924182E-2</v>
      </c>
      <c r="J59" s="155">
        <f>IF('AW Schüler'!$I89=0,"x",E59/'AW Schüler'!$I89)</f>
        <v>8.3064516129032262E-2</v>
      </c>
      <c r="K59" s="155">
        <f>IF('AW Schüler'!$L89=0,"x",F59/'AW Schüler'!$L89)</f>
        <v>8.7643678160919544E-2</v>
      </c>
      <c r="L59" s="156">
        <f>IF('AW Schüler'!$O89=0,"x",G59/'AW Schüler'!$O89)</f>
        <v>0.1</v>
      </c>
    </row>
    <row r="60" spans="1:12" ht="9" customHeight="1">
      <c r="A60" s="21" t="s">
        <v>92</v>
      </c>
      <c r="B60" s="120"/>
      <c r="C60" s="151">
        <f>[51]GtS!$H$70</f>
        <v>0</v>
      </c>
      <c r="D60" s="151">
        <f>[52]GtS!$H$74</f>
        <v>0</v>
      </c>
      <c r="E60" s="151">
        <f>[53]GtS!$H$74</f>
        <v>0</v>
      </c>
      <c r="F60" s="151">
        <f>[54]GtS!$H$74</f>
        <v>0</v>
      </c>
      <c r="G60" s="152">
        <f>[55]GtS!$H$74</f>
        <v>0</v>
      </c>
      <c r="H60" s="155" t="str">
        <f>IF('AW Schüler'!$C90=0,"x",C60/'AW Schüler'!$C90)</f>
        <v>x</v>
      </c>
      <c r="I60" s="155" t="str">
        <f>IF('AW Schüler'!$F90=0,"x",D60/'AW Schüler'!$F90)</f>
        <v>x</v>
      </c>
      <c r="J60" s="155" t="str">
        <f>IF('AW Schüler'!$I90=0,"x",E60/'AW Schüler'!$I90)</f>
        <v>x</v>
      </c>
      <c r="K60" s="155" t="str">
        <f>IF('AW Schüler'!$L90=0,"x",F60/'AW Schüler'!$L90)</f>
        <v>x</v>
      </c>
      <c r="L60" s="156" t="str">
        <f>IF('AW Schüler'!$O90=0,"x",G60/'AW Schüler'!$O90)</f>
        <v>x</v>
      </c>
    </row>
    <row r="61" spans="1:12" ht="9" customHeight="1">
      <c r="A61" s="21" t="s">
        <v>93</v>
      </c>
      <c r="B61" s="120"/>
      <c r="C61" s="151">
        <f>[76]GtS!$H$70</f>
        <v>0</v>
      </c>
      <c r="D61" s="151">
        <f>[77]GtS!$H$74</f>
        <v>0</v>
      </c>
      <c r="E61" s="151">
        <f>[78]GtS!$H$74</f>
        <v>0</v>
      </c>
      <c r="F61" s="151">
        <f>[79]GtS!$H$74</f>
        <v>0</v>
      </c>
      <c r="G61" s="152">
        <f>[80]GtS!$H$74</f>
        <v>0</v>
      </c>
      <c r="H61" s="189" t="str">
        <f>IF('AW Schüler'!$C91=0,"x",C61/'AW Schüler'!$C91)</f>
        <v>x</v>
      </c>
      <c r="I61" s="189" t="str">
        <f>IF('AW Schüler'!$F91=0,"x",D61/'AW Schüler'!$F91)</f>
        <v>x</v>
      </c>
      <c r="J61" s="189" t="str">
        <f>IF('AW Schüler'!$I91=0,"x",E61/'AW Schüler'!$I91)</f>
        <v>x</v>
      </c>
      <c r="K61" s="189" t="str">
        <f>IF('AW Schüler'!$L91=0,"x",F61/'AW Schüler'!$L91)</f>
        <v>x</v>
      </c>
      <c r="L61" s="190" t="str">
        <f>IF('AW Schüler'!$O91=0,"x",G61/'AW Schüler'!$O91)</f>
        <v>x</v>
      </c>
    </row>
    <row r="62" spans="1:12" ht="9" customHeight="1">
      <c r="A62" s="21" t="s">
        <v>94</v>
      </c>
      <c r="B62" s="120"/>
      <c r="C62" s="23">
        <f>[56]GtS!$H$70</f>
        <v>0</v>
      </c>
      <c r="D62" s="23">
        <f>[57]GtS!$H$74</f>
        <v>0</v>
      </c>
      <c r="E62" s="23">
        <f>[58]GtS!$H$74</f>
        <v>0</v>
      </c>
      <c r="F62" s="23">
        <f>[59]GtS!$H$74</f>
        <v>0</v>
      </c>
      <c r="G62" s="152">
        <f>[60]GtS!$H$74</f>
        <v>0</v>
      </c>
      <c r="H62" s="155">
        <f>IF('AW Schüler'!$C92=0,"x",C62/'AW Schüler'!$C92)</f>
        <v>0</v>
      </c>
      <c r="I62" s="155">
        <f>IF('AW Schüler'!$F92=0,"x",D62/'AW Schüler'!$F92)</f>
        <v>0</v>
      </c>
      <c r="J62" s="155">
        <f>IF('AW Schüler'!$I92=0,"x",E62/'AW Schüler'!$I92)</f>
        <v>0</v>
      </c>
      <c r="K62" s="155">
        <f>IF('AW Schüler'!$L92=0,"x",F62/'AW Schüler'!$L92)</f>
        <v>0</v>
      </c>
      <c r="L62" s="156" t="str">
        <f>IF('AW Schüler'!$O92=0,"x",G62/'AW Schüler'!$O92)</f>
        <v>x</v>
      </c>
    </row>
    <row r="63" spans="1:12" ht="9" customHeight="1">
      <c r="A63" s="21" t="s">
        <v>95</v>
      </c>
      <c r="B63" s="120"/>
      <c r="C63" s="151">
        <f>[61]GtS!$H$70</f>
        <v>0</v>
      </c>
      <c r="D63" s="151">
        <f>[62]GtS!$H$74</f>
        <v>0</v>
      </c>
      <c r="E63" s="151">
        <f>[63]GtS!$H$74</f>
        <v>0</v>
      </c>
      <c r="F63" s="151">
        <f>[64]GtS!$H$74</f>
        <v>0</v>
      </c>
      <c r="G63" s="152">
        <f>[65]GtS!$H$74</f>
        <v>0</v>
      </c>
      <c r="H63" s="155" t="str">
        <f>IF('AW Schüler'!$C93=0,"x",C63/'AW Schüler'!$C93)</f>
        <v>x</v>
      </c>
      <c r="I63" s="155" t="str">
        <f>IF('AW Schüler'!$F93=0,"x",D63/'AW Schüler'!$F93)</f>
        <v>x</v>
      </c>
      <c r="J63" s="155" t="str">
        <f>IF('AW Schüler'!$I93=0,"x",E63/'AW Schüler'!$I93)</f>
        <v>x</v>
      </c>
      <c r="K63" s="155" t="str">
        <f>IF('AW Schüler'!$L93=0,"x",F63/'AW Schüler'!$L93)</f>
        <v>x</v>
      </c>
      <c r="L63" s="156" t="str">
        <f>IF('AW Schüler'!$O93=0,"x",G63/'AW Schüler'!$O93)</f>
        <v>x</v>
      </c>
    </row>
    <row r="64" spans="1:12" ht="8.65" customHeight="1">
      <c r="A64" s="24" t="s">
        <v>96</v>
      </c>
      <c r="B64" s="121"/>
      <c r="C64" s="26">
        <f>SUM(C48:C63)</f>
        <v>5936</v>
      </c>
      <c r="D64" s="26">
        <f>SUM(D48:D63)</f>
        <v>6173</v>
      </c>
      <c r="E64" s="26">
        <f>SUM(E48:E63)</f>
        <v>6268</v>
      </c>
      <c r="F64" s="26">
        <f>SUM(F48:F63)</f>
        <v>5622</v>
      </c>
      <c r="G64" s="47">
        <f>SUM(G48:G63)</f>
        <v>5724</v>
      </c>
      <c r="H64" s="157">
        <f>IF('AW Schüler'!$C94=0,"x",C64/'AW Schüler'!$C94)</f>
        <v>6.0590594984127631E-2</v>
      </c>
      <c r="I64" s="157">
        <f>IF('AW Schüler'!$F94=0,"x",D64/'AW Schüler'!$F94)</f>
        <v>6.4309452124722624E-2</v>
      </c>
      <c r="J64" s="157">
        <f>IF('AW Schüler'!$I94=0,"x",E64/'AW Schüler'!$I94)</f>
        <v>6.7401473197483741E-2</v>
      </c>
      <c r="K64" s="157">
        <f>IF('AW Schüler'!$L94=0,"x",F64/'AW Schüler'!$L94)</f>
        <v>6.1635951015754337E-2</v>
      </c>
      <c r="L64" s="158">
        <f>IF('AW Schüler'!$O94=0,"x",G64/'AW Schüler'!$O94)</f>
        <v>6.4611529387861064E-2</v>
      </c>
    </row>
    <row r="65" spans="1:12" ht="18.75" customHeight="1">
      <c r="A65" s="396" t="s">
        <v>312</v>
      </c>
      <c r="B65" s="396"/>
      <c r="C65" s="396"/>
      <c r="D65" s="396"/>
      <c r="E65" s="396"/>
      <c r="F65" s="396"/>
      <c r="G65" s="396"/>
      <c r="H65" s="396"/>
      <c r="I65" s="396"/>
      <c r="J65" s="396"/>
      <c r="K65" s="396"/>
      <c r="L65" s="396"/>
    </row>
    <row r="66" spans="1:12" ht="10.15" customHeight="1">
      <c r="A66" s="408" t="s">
        <v>139</v>
      </c>
      <c r="B66" s="408"/>
      <c r="C66" s="408"/>
      <c r="D66" s="408"/>
      <c r="E66" s="408"/>
      <c r="F66" s="408"/>
      <c r="G66" s="408"/>
      <c r="H66" s="408"/>
      <c r="I66" s="408"/>
      <c r="J66" s="258"/>
      <c r="K66" s="278"/>
      <c r="L66" s="278"/>
    </row>
    <row r="67" spans="1:12" ht="10.15" customHeight="1">
      <c r="A67" s="307" t="s">
        <v>169</v>
      </c>
    </row>
    <row r="82" spans="1:1" ht="10.5" customHeight="1"/>
    <row r="83" spans="1:1" ht="10.15" customHeight="1">
      <c r="A83" s="214"/>
    </row>
  </sheetData>
  <mergeCells count="8">
    <mergeCell ref="A1:L1"/>
    <mergeCell ref="A66:I66"/>
    <mergeCell ref="C9:G9"/>
    <mergeCell ref="H9:L9"/>
    <mergeCell ref="A11:L11"/>
    <mergeCell ref="A29:L29"/>
    <mergeCell ref="A47:L47"/>
    <mergeCell ref="A65:L65"/>
  </mergeCells>
  <phoneticPr fontId="18" type="noConversion"/>
  <conditionalFormatting sqref="M25">
    <cfRule type="cellIs" dxfId="8"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M84"/>
  <sheetViews>
    <sheetView view="pageBreakPreview" zoomScale="175" zoomScaleNormal="115"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'3.3.6'!A1:F1+1</f>
        <v>63</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4.1" customHeight="1">
      <c r="A5" s="13" t="s">
        <v>66</v>
      </c>
      <c r="B5" s="203" t="s">
        <v>187</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SUM(C30+C48)</f>
        <v>6903</v>
      </c>
      <c r="D12" s="42">
        <f>SUM(D30+D48)</f>
        <v>7077</v>
      </c>
      <c r="E12" s="42">
        <f>SUM(E30+E48)</f>
        <v>6774</v>
      </c>
      <c r="F12" s="42">
        <f>SUM(F30+F48)</f>
        <v>7653</v>
      </c>
      <c r="G12" s="44">
        <f>SUM(G30+G48)</f>
        <v>6755</v>
      </c>
      <c r="H12" s="153">
        <f>IF('AW Schüler'!$C96=0,"x",C12/'AW Schüler'!$C96)</f>
        <v>0.32135375448070386</v>
      </c>
      <c r="I12" s="153">
        <f>IF('AW Schüler'!$F96=0,"x",D12/'AW Schüler'!$F96)</f>
        <v>0.32584373129517935</v>
      </c>
      <c r="J12" s="153">
        <f>IF('AW Schüler'!$I96=0,"x",E12/'AW Schüler'!$I96)</f>
        <v>0.31397450753186557</v>
      </c>
      <c r="K12" s="153">
        <f>IF('AW Schüler'!$L96=0,"x",F12/'AW Schüler'!$L96)</f>
        <v>0.35286794540759869</v>
      </c>
      <c r="L12" s="154">
        <f>IF('AW Schüler'!$O96=0,"x",G12/'AW Schüler'!$O96)</f>
        <v>0.30618257637566859</v>
      </c>
    </row>
    <row r="13" spans="1:13" ht="9" customHeight="1">
      <c r="A13" s="21" t="s">
        <v>81</v>
      </c>
      <c r="B13" s="120"/>
      <c r="C13" s="42">
        <f t="shared" ref="C13:D28" si="0">SUM(C31+C49)</f>
        <v>5978</v>
      </c>
      <c r="D13" s="42">
        <f t="shared" si="0"/>
        <v>6646</v>
      </c>
      <c r="E13" s="42">
        <f t="shared" ref="E13:F13" si="1">SUM(E31+E49)</f>
        <v>6646</v>
      </c>
      <c r="F13" s="42">
        <f t="shared" si="1"/>
        <v>6108</v>
      </c>
      <c r="G13" s="44">
        <f t="shared" ref="G13" si="2">SUM(G31+G49)</f>
        <v>5952</v>
      </c>
      <c r="H13" s="153">
        <f>IF('AW Schüler'!$C97=0,"x",C13/'AW Schüler'!$C97)</f>
        <v>0.26559445530478054</v>
      </c>
      <c r="I13" s="153">
        <f>IF('AW Schüler'!$F97=0,"x",D13/'AW Schüler'!$F97)</f>
        <v>0.30580223623061703</v>
      </c>
      <c r="J13" s="153">
        <f>IF('AW Schüler'!$I97=0,"x",E13/'AW Schüler'!$I97)</f>
        <v>0.32154434176786489</v>
      </c>
      <c r="K13" s="153">
        <f>IF('AW Schüler'!$L97=0,"x",F13/'AW Schüler'!$L97)</f>
        <v>0.30874993681443663</v>
      </c>
      <c r="L13" s="154">
        <f>IF('AW Schüler'!$O97=0,"x",G13/'AW Schüler'!$O97)</f>
        <v>0.30666185790097378</v>
      </c>
    </row>
    <row r="14" spans="1:13" ht="9" customHeight="1">
      <c r="A14" s="21" t="s">
        <v>82</v>
      </c>
      <c r="B14" s="120"/>
      <c r="C14" s="42">
        <f t="shared" si="0"/>
        <v>1577</v>
      </c>
      <c r="D14" s="42">
        <f t="shared" si="0"/>
        <v>944</v>
      </c>
      <c r="E14" s="42">
        <f t="shared" ref="E14:F14" si="3">SUM(E32+E50)</f>
        <v>1200</v>
      </c>
      <c r="F14" s="42">
        <f t="shared" si="3"/>
        <v>921</v>
      </c>
      <c r="G14" s="44">
        <f t="shared" ref="G14" si="4">SUM(G32+G50)</f>
        <v>1396</v>
      </c>
      <c r="H14" s="153">
        <f>IF('AW Schüler'!$C98=0,"x",C14/'AW Schüler'!$C98)</f>
        <v>0.3721094856064181</v>
      </c>
      <c r="I14" s="153">
        <f>IF('AW Schüler'!$F98=0,"x",D14/'AW Schüler'!$F98)</f>
        <v>0.22369668246445498</v>
      </c>
      <c r="J14" s="153">
        <f>IF('AW Schüler'!$I98=0,"x",E14/'AW Schüler'!$I98)</f>
        <v>0.28880866425992779</v>
      </c>
      <c r="K14" s="153">
        <f>IF('AW Schüler'!$L98=0,"x",F14/'AW Schüler'!$L98)</f>
        <v>0.22208825657101519</v>
      </c>
      <c r="L14" s="154">
        <f>IF('AW Schüler'!$O98=0,"x",G14/'AW Schüler'!$O98)</f>
        <v>0.33517406962785112</v>
      </c>
    </row>
    <row r="15" spans="1:13" ht="9" customHeight="1">
      <c r="A15" s="21" t="s">
        <v>83</v>
      </c>
      <c r="B15" s="120"/>
      <c r="C15" s="42">
        <f t="shared" si="0"/>
        <v>2462</v>
      </c>
      <c r="D15" s="42">
        <f t="shared" si="0"/>
        <v>2566</v>
      </c>
      <c r="E15" s="42">
        <f t="shared" ref="E15:F15" si="5">SUM(E33+E51)</f>
        <v>2555</v>
      </c>
      <c r="F15" s="42">
        <f t="shared" si="5"/>
        <v>2757</v>
      </c>
      <c r="G15" s="44">
        <f t="shared" ref="G15" si="6">SUM(G33+G51)</f>
        <v>2915</v>
      </c>
      <c r="H15" s="153">
        <f>IF('AW Schüler'!$C99=0,"x",C15/'AW Schüler'!$C99)</f>
        <v>0.70706490522688115</v>
      </c>
      <c r="I15" s="153">
        <f>IF('AW Schüler'!$F99=0,"x",D15/'AW Schüler'!$F99)</f>
        <v>0.69370100027034332</v>
      </c>
      <c r="J15" s="153">
        <f>IF('AW Schüler'!$I99=0,"x",E15/'AW Schüler'!$I99)</f>
        <v>0.68719741796664868</v>
      </c>
      <c r="K15" s="153">
        <f>IF('AW Schüler'!$L99=0,"x",F15/'AW Schüler'!$L99)</f>
        <v>0.73677177979690001</v>
      </c>
      <c r="L15" s="154">
        <f>IF('AW Schüler'!$O99=0,"x",G15/'AW Schüler'!$O99)</f>
        <v>0.74381219698902779</v>
      </c>
    </row>
    <row r="16" spans="1:13" ht="9" customHeight="1">
      <c r="A16" s="21" t="s">
        <v>84</v>
      </c>
      <c r="B16" s="120"/>
      <c r="C16" s="42">
        <f t="shared" si="0"/>
        <v>82</v>
      </c>
      <c r="D16" s="42">
        <f t="shared" si="0"/>
        <v>108</v>
      </c>
      <c r="E16" s="42">
        <f t="shared" ref="E16:F16" si="7">SUM(E34+E52)</f>
        <v>98</v>
      </c>
      <c r="F16" s="42">
        <f t="shared" si="7"/>
        <v>107</v>
      </c>
      <c r="G16" s="44">
        <f t="shared" ref="G16" si="8">SUM(G34+G52)</f>
        <v>0</v>
      </c>
      <c r="H16" s="153">
        <f>IF('AW Schüler'!$C100=0,"x",C16/'AW Schüler'!$C100)</f>
        <v>4.8292108362779744E-2</v>
      </c>
      <c r="I16" s="153">
        <f>IF('AW Schüler'!$F100=0,"x",D16/'AW Schüler'!$F100)</f>
        <v>6.5335753176043551E-2</v>
      </c>
      <c r="J16" s="153">
        <f>IF('AW Schüler'!$I100=0,"x",E16/'AW Schüler'!$I100)</f>
        <v>6.2860808210391278E-2</v>
      </c>
      <c r="K16" s="153">
        <f>IF('AW Schüler'!$L100=0,"x",F16/'AW Schüler'!$L100)</f>
        <v>6.9980379332897316E-2</v>
      </c>
      <c r="L16" s="154">
        <f>IF('AW Schüler'!$O100=0,"x",G16/'AW Schüler'!$O100)</f>
        <v>0</v>
      </c>
    </row>
    <row r="17" spans="1:13" ht="9" customHeight="1">
      <c r="A17" s="21" t="s">
        <v>85</v>
      </c>
      <c r="B17" s="120"/>
      <c r="C17" s="42">
        <f t="shared" si="0"/>
        <v>2433</v>
      </c>
      <c r="D17" s="42">
        <f t="shared" si="0"/>
        <v>2412</v>
      </c>
      <c r="E17" s="42">
        <f t="shared" ref="E17:F17" si="9">SUM(E35+E53)</f>
        <v>2321</v>
      </c>
      <c r="F17" s="42">
        <f t="shared" si="9"/>
        <v>2286</v>
      </c>
      <c r="G17" s="44">
        <f t="shared" ref="G17" si="10">SUM(G35+G53)</f>
        <v>2305</v>
      </c>
      <c r="H17" s="153">
        <f>IF('AW Schüler'!$C101=0,"x",C17/'AW Schüler'!$C101)</f>
        <v>0.87675675675675679</v>
      </c>
      <c r="I17" s="153">
        <f>IF('AW Schüler'!$F101=0,"x",D17/'AW Schüler'!$F101)</f>
        <v>0.87486398258977149</v>
      </c>
      <c r="J17" s="153">
        <f>IF('AW Schüler'!$I101=0,"x",E17/'AW Schüler'!$I101)</f>
        <v>0.86058583611420092</v>
      </c>
      <c r="K17" s="153">
        <f>IF('AW Schüler'!$L101=0,"x",F17/'AW Schüler'!$L101)</f>
        <v>0.84572697003329633</v>
      </c>
      <c r="L17" s="154">
        <f>IF('AW Schüler'!$O101=0,"x",G17/'AW Schüler'!$O101)</f>
        <v>0.84124087591240881</v>
      </c>
    </row>
    <row r="18" spans="1:13" ht="9" customHeight="1">
      <c r="A18" s="21" t="s">
        <v>86</v>
      </c>
      <c r="B18" s="120"/>
      <c r="C18" s="184">
        <f t="shared" si="0"/>
        <v>0</v>
      </c>
      <c r="D18" s="184">
        <f t="shared" si="0"/>
        <v>0</v>
      </c>
      <c r="E18" s="184">
        <f t="shared" ref="E18:F18" si="11">SUM(E36+E54)</f>
        <v>0</v>
      </c>
      <c r="F18" s="184">
        <f t="shared" si="11"/>
        <v>0</v>
      </c>
      <c r="G18" s="185">
        <f t="shared" ref="G18" si="12">SUM(G36+G54)</f>
        <v>0</v>
      </c>
      <c r="H18" s="186">
        <f>IF('AW Schüler'!$C102=0,"x",C18/'AW Schüler'!$C102)</f>
        <v>0</v>
      </c>
      <c r="I18" s="186">
        <f>IF('AW Schüler'!$F102=0,"x",D18/'AW Schüler'!$F102)</f>
        <v>0</v>
      </c>
      <c r="J18" s="186">
        <f>IF('AW Schüler'!$I102=0,"x",E18/'AW Schüler'!$I102)</f>
        <v>0</v>
      </c>
      <c r="K18" s="186">
        <f>IF('AW Schüler'!$L102=0,"x",F18/'AW Schüler'!$L102)</f>
        <v>0</v>
      </c>
      <c r="L18" s="187">
        <f>IF('AW Schüler'!$O102=0,"x",G18/'AW Schüler'!$O102)</f>
        <v>0</v>
      </c>
    </row>
    <row r="19" spans="1:13" ht="9" customHeight="1">
      <c r="A19" s="21" t="s">
        <v>174</v>
      </c>
      <c r="B19" s="120"/>
      <c r="C19" s="42">
        <f t="shared" si="0"/>
        <v>1799</v>
      </c>
      <c r="D19" s="42">
        <f t="shared" si="0"/>
        <v>1884</v>
      </c>
      <c r="E19" s="42">
        <f t="shared" ref="E19:F19" si="13">SUM(E37+E55)</f>
        <v>1884</v>
      </c>
      <c r="F19" s="42">
        <f t="shared" si="13"/>
        <v>1719</v>
      </c>
      <c r="G19" s="44">
        <f t="shared" ref="G19" si="14">SUM(G37+G55)</f>
        <v>1750</v>
      </c>
      <c r="H19" s="153">
        <f>IF('AW Schüler'!$C103=0,"x",C19/'AW Schüler'!$C103)</f>
        <v>0.94734070563454453</v>
      </c>
      <c r="I19" s="153">
        <f>IF('AW Schüler'!$F103=0,"x",D19/'AW Schüler'!$F103)</f>
        <v>0.98381201044386424</v>
      </c>
      <c r="J19" s="153">
        <f>IF('AW Schüler'!$I103=0,"x",E19/'AW Schüler'!$I103)</f>
        <v>0.94530858003010532</v>
      </c>
      <c r="K19" s="153">
        <f>IF('AW Schüler'!$L103=0,"x",F19/'AW Schüler'!$L103)</f>
        <v>0.81353525792711789</v>
      </c>
      <c r="L19" s="154">
        <f>IF('AW Schüler'!$O103=0,"x",G19/'AW Schüler'!$O103)</f>
        <v>0.77777777777777779</v>
      </c>
    </row>
    <row r="20" spans="1:13" ht="9" customHeight="1">
      <c r="A20" s="21" t="s">
        <v>88</v>
      </c>
      <c r="B20" s="120"/>
      <c r="C20" s="184">
        <f t="shared" si="0"/>
        <v>0</v>
      </c>
      <c r="D20" s="184">
        <f t="shared" si="0"/>
        <v>0</v>
      </c>
      <c r="E20" s="184">
        <f t="shared" ref="E20:F20" si="15">SUM(E38+E56)</f>
        <v>0</v>
      </c>
      <c r="F20" s="184">
        <f t="shared" si="15"/>
        <v>0</v>
      </c>
      <c r="G20" s="185">
        <f t="shared" ref="G20" si="16">SUM(G38+G56)</f>
        <v>0</v>
      </c>
      <c r="H20" s="186">
        <f>IF('AW Schüler'!$C104=0,"x",C20/'AW Schüler'!$C104)</f>
        <v>0</v>
      </c>
      <c r="I20" s="186">
        <f>IF('AW Schüler'!$F104=0,"x",D20/'AW Schüler'!$F104)</f>
        <v>0</v>
      </c>
      <c r="J20" s="186">
        <f>IF('AW Schüler'!$I104=0,"x",E20/'AW Schüler'!$I104)</f>
        <v>0</v>
      </c>
      <c r="K20" s="186">
        <f>IF('AW Schüler'!$L104=0,"x",F20/'AW Schüler'!$L104)</f>
        <v>0</v>
      </c>
      <c r="L20" s="187">
        <f>IF('AW Schüler'!$O104=0,"x",G20/'AW Schüler'!$O104)</f>
        <v>0</v>
      </c>
    </row>
    <row r="21" spans="1:13" ht="9" customHeight="1">
      <c r="A21" s="21" t="s">
        <v>89</v>
      </c>
      <c r="B21" s="120"/>
      <c r="C21" s="42">
        <f t="shared" si="0"/>
        <v>5257</v>
      </c>
      <c r="D21" s="42">
        <f t="shared" si="0"/>
        <v>6851</v>
      </c>
      <c r="E21" s="42">
        <f t="shared" ref="E21:F21" si="17">SUM(E39+E57)</f>
        <v>7964</v>
      </c>
      <c r="F21" s="42">
        <f t="shared" si="17"/>
        <v>8520</v>
      </c>
      <c r="G21" s="44">
        <f t="shared" ref="G21" si="18">SUM(G39+G57)</f>
        <v>8778</v>
      </c>
      <c r="H21" s="153">
        <f>IF('AW Schüler'!$C105=0,"x",C21/'AW Schüler'!$C105)</f>
        <v>9.7594029629079565E-2</v>
      </c>
      <c r="I21" s="153">
        <f>IF('AW Schüler'!$F105=0,"x",D21/'AW Schüler'!$F105)</f>
        <v>0.12750790991997021</v>
      </c>
      <c r="J21" s="153">
        <f>IF('AW Schüler'!$I105=0,"x",E21/'AW Schüler'!$I105)</f>
        <v>0.14962331147725777</v>
      </c>
      <c r="K21" s="153">
        <f>IF('AW Schüler'!$L105=0,"x",F21/'AW Schüler'!$L105)</f>
        <v>0.16027088036117382</v>
      </c>
      <c r="L21" s="154">
        <f>IF('AW Schüler'!$O105=0,"x",G21/'AW Schüler'!$O105)</f>
        <v>0.16457618538725463</v>
      </c>
    </row>
    <row r="22" spans="1:13" ht="9" customHeight="1">
      <c r="A22" s="21" t="s">
        <v>90</v>
      </c>
      <c r="B22" s="120"/>
      <c r="C22" s="42">
        <f t="shared" si="0"/>
        <v>3486</v>
      </c>
      <c r="D22" s="42">
        <f t="shared" si="0"/>
        <v>3775</v>
      </c>
      <c r="E22" s="42">
        <f t="shared" ref="E22:F22" si="19">SUM(E40+E58)</f>
        <v>3978</v>
      </c>
      <c r="F22" s="42">
        <f t="shared" si="19"/>
        <v>3860</v>
      </c>
      <c r="G22" s="44">
        <f t="shared" ref="G22" si="20">SUM(G40+G58)</f>
        <v>4030</v>
      </c>
      <c r="H22" s="153">
        <f>IF('AW Schüler'!$C106=0,"x",C22/'AW Schüler'!$C106)</f>
        <v>0.26747487148008903</v>
      </c>
      <c r="I22" s="153">
        <f>IF('AW Schüler'!$F106=0,"x",D22/'AW Schüler'!$F106)</f>
        <v>0.29299906861223224</v>
      </c>
      <c r="J22" s="153">
        <f>IF('AW Schüler'!$I106=0,"x",E22/'AW Schüler'!$I106)</f>
        <v>0.32034143984538571</v>
      </c>
      <c r="K22" s="153">
        <f>IF('AW Schüler'!$L106=0,"x",F22/'AW Schüler'!$L106)</f>
        <v>0.31191919191919193</v>
      </c>
      <c r="L22" s="154">
        <f>IF('AW Schüler'!$O106=0,"x",G22/'AW Schüler'!$O106)</f>
        <v>0.32385085181613626</v>
      </c>
    </row>
    <row r="23" spans="1:13" ht="9" customHeight="1">
      <c r="A23" s="21" t="s">
        <v>91</v>
      </c>
      <c r="B23" s="120"/>
      <c r="C23" s="42">
        <f t="shared" si="0"/>
        <v>338</v>
      </c>
      <c r="D23" s="42">
        <f t="shared" si="0"/>
        <v>390</v>
      </c>
      <c r="E23" s="42">
        <f t="shared" ref="E23:F23" si="21">SUM(E41+E59)</f>
        <v>359</v>
      </c>
      <c r="F23" s="42">
        <f t="shared" si="21"/>
        <v>481</v>
      </c>
      <c r="G23" s="44">
        <f t="shared" ref="G23" si="22">SUM(G41+G59)</f>
        <v>444</v>
      </c>
      <c r="H23" s="153">
        <f>IF('AW Schüler'!$C107=0,"x",C23/'AW Schüler'!$C107)</f>
        <v>0.18746533555185801</v>
      </c>
      <c r="I23" s="153">
        <f>IF('AW Schüler'!$F107=0,"x",D23/'AW Schüler'!$F107)</f>
        <v>0.18978102189781021</v>
      </c>
      <c r="J23" s="153">
        <f>IF('AW Schüler'!$I107=0,"x",E23/'AW Schüler'!$I107)</f>
        <v>0.17351377477042049</v>
      </c>
      <c r="K23" s="153">
        <f>IF('AW Schüler'!$L107=0,"x",F23/'AW Schüler'!$L107)</f>
        <v>0.23281703775411422</v>
      </c>
      <c r="L23" s="154">
        <f>IF('AW Schüler'!$O107=0,"x",G23/'AW Schüler'!$O107)</f>
        <v>0.21616358325219084</v>
      </c>
    </row>
    <row r="24" spans="1:13" ht="9" customHeight="1">
      <c r="A24" s="21" t="s">
        <v>92</v>
      </c>
      <c r="B24" s="120"/>
      <c r="C24" s="55">
        <f t="shared" si="0"/>
        <v>6861</v>
      </c>
      <c r="D24" s="55">
        <f t="shared" si="0"/>
        <v>7297</v>
      </c>
      <c r="E24" s="55">
        <f t="shared" ref="E24:F24" si="23">SUM(E42+E60)</f>
        <v>6729</v>
      </c>
      <c r="F24" s="55">
        <f t="shared" si="23"/>
        <v>6806</v>
      </c>
      <c r="G24" s="56">
        <f t="shared" ref="G24" si="24">SUM(G42+G60)</f>
        <v>7356</v>
      </c>
      <c r="H24" s="153">
        <f>IF('AW Schüler'!$C108=0,"x",C24/'AW Schüler'!$C108)</f>
        <v>0.99608013937282225</v>
      </c>
      <c r="I24" s="153">
        <f>IF('AW Schüler'!$F108=0,"x",D24/'AW Schüler'!$F108)</f>
        <v>1</v>
      </c>
      <c r="J24" s="153">
        <f>IF('AW Schüler'!$I108=0,"x",E24/'AW Schüler'!$I108)</f>
        <v>0.89078633836378074</v>
      </c>
      <c r="K24" s="153">
        <f>IF('AW Schüler'!$L108=0,"x",F24/'AW Schüler'!$L108)</f>
        <v>0.89072110980238184</v>
      </c>
      <c r="L24" s="154">
        <f>IF('AW Schüler'!$O108=0,"x",G24/'AW Schüler'!$O108)</f>
        <v>0.94610932475884246</v>
      </c>
    </row>
    <row r="25" spans="1:13" ht="9" customHeight="1">
      <c r="A25" s="21" t="s">
        <v>93</v>
      </c>
      <c r="B25" s="120"/>
      <c r="C25" s="184">
        <f t="shared" si="0"/>
        <v>0</v>
      </c>
      <c r="D25" s="184">
        <f t="shared" si="0"/>
        <v>0</v>
      </c>
      <c r="E25" s="184">
        <f t="shared" ref="E25:F25" si="25">SUM(E43+E61)</f>
        <v>0</v>
      </c>
      <c r="F25" s="184">
        <f t="shared" si="25"/>
        <v>0</v>
      </c>
      <c r="G25" s="185">
        <f t="shared" ref="G25" si="26">SUM(G43+G61)</f>
        <v>0</v>
      </c>
      <c r="H25" s="186">
        <f>IF('AW Schüler'!$C109=0,"x",C25/'AW Schüler'!$C109)</f>
        <v>0</v>
      </c>
      <c r="I25" s="186">
        <f>IF('AW Schüler'!$F109=0,"x",D25/'AW Schüler'!$F109)</f>
        <v>0</v>
      </c>
      <c r="J25" s="186">
        <f>IF('AW Schüler'!$I109=0,"x",E25/'AW Schüler'!$I109)</f>
        <v>0</v>
      </c>
      <c r="K25" s="186">
        <f>IF('AW Schüler'!$L109=0,"x",F25/'AW Schüler'!$L109)</f>
        <v>0</v>
      </c>
      <c r="L25" s="187">
        <f>IF('AW Schüler'!$O109=0,"x",G25/'AW Schüler'!$O109)</f>
        <v>0</v>
      </c>
    </row>
    <row r="26" spans="1:13" ht="9" customHeight="1">
      <c r="A26" s="21" t="s">
        <v>94</v>
      </c>
      <c r="B26" s="120"/>
      <c r="C26" s="42">
        <f t="shared" si="0"/>
        <v>0</v>
      </c>
      <c r="D26" s="42">
        <f t="shared" si="0"/>
        <v>0</v>
      </c>
      <c r="E26" s="42">
        <f t="shared" ref="E26:F26" si="27">SUM(E44+E62)</f>
        <v>0</v>
      </c>
      <c r="F26" s="42">
        <f t="shared" si="27"/>
        <v>0</v>
      </c>
      <c r="G26" s="44">
        <f t="shared" ref="G26" si="28">SUM(G44+G62)</f>
        <v>0</v>
      </c>
      <c r="H26" s="153">
        <f>IF('AW Schüler'!$C110=0,"x",C26/'AW Schüler'!$C110)</f>
        <v>0</v>
      </c>
      <c r="I26" s="153">
        <f>IF('AW Schüler'!$F110=0,"x",D26/'AW Schüler'!$F110)</f>
        <v>0</v>
      </c>
      <c r="J26" s="153">
        <f>IF('AW Schüler'!$I110=0,"x",E26/'AW Schüler'!$I110)</f>
        <v>0</v>
      </c>
      <c r="K26" s="153">
        <f>IF('AW Schüler'!$L110=0,"x",F26/'AW Schüler'!$L110)</f>
        <v>0</v>
      </c>
      <c r="L26" s="154">
        <f>IF('AW Schüler'!$O110=0,"x",G26/'AW Schüler'!$O110)</f>
        <v>0</v>
      </c>
    </row>
    <row r="27" spans="1:13" ht="9" customHeight="1">
      <c r="A27" s="21" t="s">
        <v>95</v>
      </c>
      <c r="B27" s="120"/>
      <c r="C27" s="42">
        <f t="shared" si="0"/>
        <v>739</v>
      </c>
      <c r="D27" s="42">
        <f t="shared" si="0"/>
        <v>874</v>
      </c>
      <c r="E27" s="42">
        <f t="shared" ref="E27:F27" si="29">SUM(E45+E63)</f>
        <v>968</v>
      </c>
      <c r="F27" s="42">
        <f t="shared" si="29"/>
        <v>1015</v>
      </c>
      <c r="G27" s="44">
        <f t="shared" ref="G27" si="30">SUM(G45+G63)</f>
        <v>1095</v>
      </c>
      <c r="H27" s="153">
        <f>IF('AW Schüler'!$C111=0,"x",C27/'AW Schüler'!$C111)</f>
        <v>0.28957680250783702</v>
      </c>
      <c r="I27" s="153">
        <f>IF('AW Schüler'!$F111=0,"x",D27/'AW Schüler'!$F111)</f>
        <v>0.33333333333333331</v>
      </c>
      <c r="J27" s="153">
        <f>IF('AW Schüler'!$I111=0,"x",E27/'AW Schüler'!$I111)</f>
        <v>0.35289828654757566</v>
      </c>
      <c r="K27" s="153">
        <f>IF('AW Schüler'!$L111=0,"x",F27/'AW Schüler'!$L111)</f>
        <v>0.36159600997506236</v>
      </c>
      <c r="L27" s="154">
        <f>IF('AW Schüler'!$O111=0,"x",G27/'AW Schüler'!$O111)</f>
        <v>0.38926413082118733</v>
      </c>
    </row>
    <row r="28" spans="1:13" ht="9" customHeight="1">
      <c r="A28" s="21" t="s">
        <v>96</v>
      </c>
      <c r="B28" s="120"/>
      <c r="C28" s="42">
        <f t="shared" si="0"/>
        <v>37915</v>
      </c>
      <c r="D28" s="42">
        <f t="shared" si="0"/>
        <v>40824</v>
      </c>
      <c r="E28" s="42">
        <f t="shared" ref="E28:F28" si="31">SUM(E46+E64)</f>
        <v>41476</v>
      </c>
      <c r="F28" s="42">
        <f t="shared" si="31"/>
        <v>42233</v>
      </c>
      <c r="G28" s="44">
        <f t="shared" ref="G28" si="32">SUM(G46+G64)</f>
        <v>42776</v>
      </c>
      <c r="H28" s="153">
        <f>IF('AW Schüler'!$C112=0,"x",C28/'AW Schüler'!$C112)</f>
        <v>0.27630207764004577</v>
      </c>
      <c r="I28" s="153">
        <f>IF('AW Schüler'!$F112=0,"x",D28/'AW Schüler'!$F112)</f>
        <v>0.29744262295081969</v>
      </c>
      <c r="J28" s="153">
        <f>IF('AW Schüler'!$I112=0,"x",E28/'AW Schüler'!$I112)</f>
        <v>0.30695223575731562</v>
      </c>
      <c r="K28" s="153">
        <f>IF('AW Schüler'!$L112=0,"x",F28/'AW Schüler'!$L112)</f>
        <v>0.31433185965852423</v>
      </c>
      <c r="L28" s="154">
        <f>IF('AW Schüler'!$O112=0,"x",G28/'AW Schüler'!$O112)</f>
        <v>0.31702834104114785</v>
      </c>
      <c r="M28" s="209"/>
    </row>
    <row r="29" spans="1:13" ht="12.75" customHeight="1">
      <c r="A29" s="391" t="s">
        <v>105</v>
      </c>
      <c r="B29" s="392"/>
      <c r="C29" s="392"/>
      <c r="D29" s="392"/>
      <c r="E29" s="392"/>
      <c r="F29" s="392"/>
      <c r="G29" s="392"/>
      <c r="H29" s="392"/>
      <c r="I29" s="392"/>
      <c r="J29" s="392"/>
      <c r="K29" s="392"/>
      <c r="L29" s="393"/>
    </row>
    <row r="30" spans="1:13" ht="9" customHeight="1">
      <c r="A30" s="21" t="s">
        <v>80</v>
      </c>
      <c r="B30" s="120"/>
      <c r="C30" s="23">
        <f>[1]GtS!$E$71</f>
        <v>5283</v>
      </c>
      <c r="D30" s="23">
        <f>[2]GtS!$E$75</f>
        <v>5195</v>
      </c>
      <c r="E30" s="23">
        <f>[3]GtS!$E$75</f>
        <v>5066</v>
      </c>
      <c r="F30" s="23">
        <f>[4]GtS!$E$75</f>
        <v>6188</v>
      </c>
      <c r="G30" s="34">
        <f>[5]GtS!$E$75</f>
        <v>5153</v>
      </c>
      <c r="H30" s="155">
        <f>IF('AW Schüler'!$C96=0,"x",C30/'AW Schüler'!$C96)</f>
        <v>0.24593827103021274</v>
      </c>
      <c r="I30" s="155">
        <f>IF('AW Schüler'!$F96=0,"x",D30/'AW Schüler'!$F96)</f>
        <v>0.23919149132096321</v>
      </c>
      <c r="J30" s="155">
        <f>IF('AW Schüler'!$I96=0,"x",E30/'AW Schüler'!$I96)</f>
        <v>0.23480880648899188</v>
      </c>
      <c r="K30" s="155">
        <f>IF('AW Schüler'!$L96=0,"x",F30/'AW Schüler'!$L96)</f>
        <v>0.28531907045370714</v>
      </c>
      <c r="L30" s="156">
        <f>IF('AW Schüler'!$O96=0,"x",G30/'AW Schüler'!$O96)</f>
        <v>0.23356903272595414</v>
      </c>
    </row>
    <row r="31" spans="1:13" ht="9" customHeight="1">
      <c r="A31" s="21" t="s">
        <v>81</v>
      </c>
      <c r="B31" s="120"/>
      <c r="C31" s="23">
        <f>[6]GtS!$E$71</f>
        <v>3016</v>
      </c>
      <c r="D31" s="23">
        <f>[7]GtS!$E$75</f>
        <v>3504</v>
      </c>
      <c r="E31" s="23">
        <f>[8]GtS!$E$75</f>
        <v>3504</v>
      </c>
      <c r="F31" s="23">
        <f>[9]GtS!$E$75</f>
        <v>2881</v>
      </c>
      <c r="G31" s="34">
        <f>[10]GtS!$E$75</f>
        <v>2983</v>
      </c>
      <c r="H31" s="155">
        <f>IF('AW Schüler'!$C97=0,"x",C31/'AW Schüler'!$C97)</f>
        <v>0.13399680113737339</v>
      </c>
      <c r="I31" s="155">
        <f>IF('AW Schüler'!$F97=0,"x",D31/'AW Schüler'!$F97)</f>
        <v>0.16122946670961211</v>
      </c>
      <c r="J31" s="155">
        <f>IF('AW Schüler'!$I97=0,"x",E31/'AW Schüler'!$I97)</f>
        <v>0.16952924669795347</v>
      </c>
      <c r="K31" s="155">
        <f>IF('AW Schüler'!$L97=0,"x",F31/'AW Schüler'!$L97)</f>
        <v>0.14563008643785069</v>
      </c>
      <c r="L31" s="156">
        <f>IF('AW Schüler'!$O97=0,"x",G31/'AW Schüler'!$O97)</f>
        <v>0.15369158637745375</v>
      </c>
    </row>
    <row r="32" spans="1:13" ht="9" customHeight="1">
      <c r="A32" s="21" t="s">
        <v>82</v>
      </c>
      <c r="B32" s="120"/>
      <c r="C32" s="23">
        <f>[11]GtS!$E$71</f>
        <v>714</v>
      </c>
      <c r="D32" s="23">
        <f>[12]GtS!$E$75</f>
        <v>328</v>
      </c>
      <c r="E32" s="23">
        <f>[13]GtS!$E$75</f>
        <v>368</v>
      </c>
      <c r="F32" s="23">
        <f>[14]GtS!$E$75</f>
        <v>320</v>
      </c>
      <c r="G32" s="34">
        <f>[15]GtS!$E$75</f>
        <v>576</v>
      </c>
      <c r="H32" s="155">
        <f>IF('AW Schüler'!$C98=0,"x",C32/'AW Schüler'!$C98)</f>
        <v>0.16847569608305804</v>
      </c>
      <c r="I32" s="155">
        <f>IF('AW Schüler'!$F98=0,"x",D32/'AW Schüler'!$F98)</f>
        <v>7.772511848341232E-2</v>
      </c>
      <c r="J32" s="155">
        <f>IF('AW Schüler'!$I98=0,"x",E32/'AW Schüler'!$I98)</f>
        <v>8.8567990373044525E-2</v>
      </c>
      <c r="K32" s="155">
        <f>IF('AW Schüler'!$L98=0,"x",F32/'AW Schüler'!$L98)</f>
        <v>7.716421509524958E-2</v>
      </c>
      <c r="L32" s="156">
        <f>IF('AW Schüler'!$O98=0,"x",G32/'AW Schüler'!$O98)</f>
        <v>0.1382953181272509</v>
      </c>
    </row>
    <row r="33" spans="1:13" ht="9" customHeight="1">
      <c r="A33" s="21" t="s">
        <v>83</v>
      </c>
      <c r="B33" s="120"/>
      <c r="C33" s="23">
        <f>[16]GtS!$E$71</f>
        <v>1786</v>
      </c>
      <c r="D33" s="23">
        <f>[17]GtS!$E$75</f>
        <v>1840</v>
      </c>
      <c r="E33" s="23">
        <f>[18]GtS!$E$75</f>
        <v>1795</v>
      </c>
      <c r="F33" s="23">
        <f>[19]GtS!$E$75</f>
        <v>1815</v>
      </c>
      <c r="G33" s="34">
        <f>[20]GtS!$E$75</f>
        <v>1949</v>
      </c>
      <c r="H33" s="155">
        <f>IF('AW Schüler'!$C99=0,"x",C33/'AW Schüler'!$C99)</f>
        <v>0.51292360712234353</v>
      </c>
      <c r="I33" s="155">
        <f>IF('AW Schüler'!$F99=0,"x",D33/'AW Schüler'!$F99)</f>
        <v>0.49743173830765069</v>
      </c>
      <c r="J33" s="155">
        <f>IF('AW Schüler'!$I99=0,"x",E33/'AW Schüler'!$I99)</f>
        <v>0.48278644432490586</v>
      </c>
      <c r="K33" s="155">
        <f>IF('AW Schüler'!$L99=0,"x",F33/'AW Schüler'!$L99)</f>
        <v>0.48503474078033137</v>
      </c>
      <c r="L33" s="156">
        <f>IF('AW Schüler'!$O99=0,"x",G33/'AW Schüler'!$O99)</f>
        <v>0.49732074508803265</v>
      </c>
    </row>
    <row r="34" spans="1:13" ht="9" customHeight="1">
      <c r="A34" s="21" t="s">
        <v>84</v>
      </c>
      <c r="B34" s="120"/>
      <c r="C34" s="23">
        <f>[21]GtS!$E$71</f>
        <v>0</v>
      </c>
      <c r="D34" s="23">
        <f>[22]GtS!$E$75</f>
        <v>0</v>
      </c>
      <c r="E34" s="23">
        <f>[23]GtS!$E$75</f>
        <v>0</v>
      </c>
      <c r="F34" s="23">
        <f>[24]GtS!$E$75</f>
        <v>0</v>
      </c>
      <c r="G34" s="34">
        <f>[25]GtS!$E$75</f>
        <v>0</v>
      </c>
      <c r="H34" s="155">
        <f>IF('AW Schüler'!$C100=0,"x",C34/'AW Schüler'!$C100)</f>
        <v>0</v>
      </c>
      <c r="I34" s="155">
        <f>IF('AW Schüler'!$F100=0,"x",D34/'AW Schüler'!$F100)</f>
        <v>0</v>
      </c>
      <c r="J34" s="155">
        <f>IF('AW Schüler'!$I100=0,"x",E34/'AW Schüler'!$I100)</f>
        <v>0</v>
      </c>
      <c r="K34" s="155">
        <f>IF('AW Schüler'!$L100=0,"x",F34/'AW Schüler'!$L100)</f>
        <v>0</v>
      </c>
      <c r="L34" s="156">
        <f>IF('AW Schüler'!$O100=0,"x",G34/'AW Schüler'!$O100)</f>
        <v>0</v>
      </c>
    </row>
    <row r="35" spans="1:13" ht="9" customHeight="1">
      <c r="A35" s="21" t="s">
        <v>85</v>
      </c>
      <c r="B35" s="120"/>
      <c r="C35" s="23">
        <f>[26]GtS!$E$71</f>
        <v>278</v>
      </c>
      <c r="D35" s="23">
        <f>[27]GtS!$E$75</f>
        <v>294</v>
      </c>
      <c r="E35" s="23">
        <f>[28]GtS!$E$75</f>
        <v>275</v>
      </c>
      <c r="F35" s="23">
        <f>[29]GtS!$E$75</f>
        <v>261</v>
      </c>
      <c r="G35" s="34">
        <f>[30]GtS!$E$75</f>
        <v>261</v>
      </c>
      <c r="H35" s="155">
        <f>IF('AW Schüler'!$C101=0,"x",C35/'AW Schüler'!$C101)</f>
        <v>0.10018018018018018</v>
      </c>
      <c r="I35" s="155">
        <f>IF('AW Schüler'!$F101=0,"x",D35/'AW Schüler'!$F101)</f>
        <v>0.10663764961915125</v>
      </c>
      <c r="J35" s="155">
        <f>IF('AW Schüler'!$I101=0,"x",E35/'AW Schüler'!$I101)</f>
        <v>0.10196514645902854</v>
      </c>
      <c r="K35" s="155">
        <f>IF('AW Schüler'!$L101=0,"x",F35/'AW Schüler'!$L101)</f>
        <v>9.6559378468368484E-2</v>
      </c>
      <c r="L35" s="156">
        <f>IF('AW Schüler'!$O101=0,"x",G35/'AW Schüler'!$O101)</f>
        <v>9.525547445255475E-2</v>
      </c>
    </row>
    <row r="36" spans="1:13" ht="9" customHeight="1">
      <c r="A36" s="21" t="s">
        <v>86</v>
      </c>
      <c r="B36" s="120"/>
      <c r="C36" s="124">
        <f>[66]GtS!$E$71</f>
        <v>0</v>
      </c>
      <c r="D36" s="124">
        <f>[67]GtS!$E$75</f>
        <v>0</v>
      </c>
      <c r="E36" s="124">
        <f>[68]GtS!$E$75</f>
        <v>0</v>
      </c>
      <c r="F36" s="124">
        <f>[69]GtS!$E$75</f>
        <v>0</v>
      </c>
      <c r="G36" s="188">
        <f>[70]GtS!$E$75</f>
        <v>0</v>
      </c>
      <c r="H36" s="189">
        <f>IF('AW Schüler'!$C102=0,"x",C36/'AW Schüler'!$C102)</f>
        <v>0</v>
      </c>
      <c r="I36" s="189">
        <f>IF('AW Schüler'!$F102=0,"x",D36/'AW Schüler'!$F102)</f>
        <v>0</v>
      </c>
      <c r="J36" s="189">
        <f>IF('AW Schüler'!$I102=0,"x",E36/'AW Schüler'!$I102)</f>
        <v>0</v>
      </c>
      <c r="K36" s="189">
        <f>IF('AW Schüler'!$L102=0,"x",F36/'AW Schüler'!$L102)</f>
        <v>0</v>
      </c>
      <c r="L36" s="190">
        <f>IF('AW Schüler'!$O102=0,"x",G36/'AW Schüler'!$O102)</f>
        <v>0</v>
      </c>
    </row>
    <row r="37" spans="1:13" ht="9" customHeight="1">
      <c r="A37" s="21" t="s">
        <v>174</v>
      </c>
      <c r="B37" s="120"/>
      <c r="C37" s="23">
        <f>[31]GtS!$E$71</f>
        <v>1087</v>
      </c>
      <c r="D37" s="23">
        <f>[32]GtS!$E$75</f>
        <v>1176</v>
      </c>
      <c r="E37" s="23">
        <f>[33]GtS!$E$75</f>
        <v>1176</v>
      </c>
      <c r="F37" s="23">
        <f>[34]GtS!$E$75</f>
        <v>913</v>
      </c>
      <c r="G37" s="34">
        <f>[35]GtS!$E$75</f>
        <v>1028</v>
      </c>
      <c r="H37" s="155">
        <f>IF('AW Schüler'!$C103=0,"x",C37/'AW Schüler'!$C103)</f>
        <v>0.57240652975250128</v>
      </c>
      <c r="I37" s="155">
        <f>IF('AW Schüler'!$F103=0,"x",D37/'AW Schüler'!$F103)</f>
        <v>0.61409921671018275</v>
      </c>
      <c r="J37" s="155">
        <f>IF('AW Schüler'!$I103=0,"x",E37/'AW Schüler'!$I103)</f>
        <v>0.59006522829904662</v>
      </c>
      <c r="K37" s="155">
        <f>IF('AW Schüler'!$L103=0,"x",F37/'AW Schüler'!$L103)</f>
        <v>0.43208707998106954</v>
      </c>
      <c r="L37" s="156">
        <f>IF('AW Schüler'!$O103=0,"x",G37/'AW Schüler'!$O103)</f>
        <v>0.4568888888888889</v>
      </c>
    </row>
    <row r="38" spans="1:13" ht="9" customHeight="1">
      <c r="A38" s="21" t="s">
        <v>88</v>
      </c>
      <c r="B38" s="120"/>
      <c r="C38" s="124">
        <f>[71]GtS!$E$71</f>
        <v>0</v>
      </c>
      <c r="D38" s="124">
        <f>[72]GtS!$E$75</f>
        <v>0</v>
      </c>
      <c r="E38" s="124">
        <f>[73]GtS!$E$75</f>
        <v>0</v>
      </c>
      <c r="F38" s="124">
        <f>[74]GtS!$E$75</f>
        <v>0</v>
      </c>
      <c r="G38" s="188">
        <f>[75]GtS!$E$75</f>
        <v>0</v>
      </c>
      <c r="H38" s="189">
        <f>IF('AW Schüler'!$C104=0,"x",C38/'AW Schüler'!$C104)</f>
        <v>0</v>
      </c>
      <c r="I38" s="189">
        <f>IF('AW Schüler'!$F104=0,"x",D38/'AW Schüler'!$F104)</f>
        <v>0</v>
      </c>
      <c r="J38" s="189">
        <f>IF('AW Schüler'!$I104=0,"x",E38/'AW Schüler'!$I104)</f>
        <v>0</v>
      </c>
      <c r="K38" s="189">
        <f>IF('AW Schüler'!$L104=0,"x",F38/'AW Schüler'!$L104)</f>
        <v>0</v>
      </c>
      <c r="L38" s="190">
        <f>IF('AW Schüler'!$O104=0,"x",G38/'AW Schüler'!$O104)</f>
        <v>0</v>
      </c>
    </row>
    <row r="39" spans="1:13" ht="9" customHeight="1">
      <c r="A39" s="21" t="s">
        <v>89</v>
      </c>
      <c r="B39" s="120"/>
      <c r="C39" s="23">
        <f>[36]GtS!$E$71</f>
        <v>5257</v>
      </c>
      <c r="D39" s="23">
        <f>[37]GtS!$E$75</f>
        <v>6851</v>
      </c>
      <c r="E39" s="23">
        <f>[38]GtS!$E$75</f>
        <v>7964</v>
      </c>
      <c r="F39" s="23">
        <f>[39]GtS!$E$75</f>
        <v>8520</v>
      </c>
      <c r="G39" s="34">
        <f>[40]GtS!$E$75</f>
        <v>8778</v>
      </c>
      <c r="H39" s="155">
        <f>IF('AW Schüler'!$C105=0,"x",C39/'AW Schüler'!$C105)</f>
        <v>9.7594029629079565E-2</v>
      </c>
      <c r="I39" s="155">
        <f>IF('AW Schüler'!$F105=0,"x",D39/'AW Schüler'!$F105)</f>
        <v>0.12750790991997021</v>
      </c>
      <c r="J39" s="155">
        <f>IF('AW Schüler'!$I105=0,"x",E39/'AW Schüler'!$I105)</f>
        <v>0.14962331147725777</v>
      </c>
      <c r="K39" s="155">
        <f>IF('AW Schüler'!$L105=0,"x",F39/'AW Schüler'!$L105)</f>
        <v>0.16027088036117382</v>
      </c>
      <c r="L39" s="156">
        <f>IF('AW Schüler'!$O105=0,"x",G39/'AW Schüler'!$O105)</f>
        <v>0.16457618538725463</v>
      </c>
    </row>
    <row r="40" spans="1:13" ht="9" customHeight="1">
      <c r="A40" s="21" t="s">
        <v>90</v>
      </c>
      <c r="B40" s="120"/>
      <c r="C40" s="23">
        <f>[41]GtS!$E$71</f>
        <v>3455</v>
      </c>
      <c r="D40" s="23">
        <f>[42]GtS!$E$75</f>
        <v>3734</v>
      </c>
      <c r="E40" s="23">
        <f>[43]GtS!$E$75</f>
        <v>3939</v>
      </c>
      <c r="F40" s="23">
        <f>[44]GtS!$E$75</f>
        <v>3822</v>
      </c>
      <c r="G40" s="34">
        <f>[45]GtS!$E$75</f>
        <v>4005</v>
      </c>
      <c r="H40" s="155">
        <f>IF('AW Schüler'!$C106=0,"x",C40/'AW Schüler'!$C106)</f>
        <v>0.26509629402286505</v>
      </c>
      <c r="I40" s="155">
        <f>IF('AW Schüler'!$F106=0,"x",D40/'AW Schüler'!$F106)</f>
        <v>0.2898168270723378</v>
      </c>
      <c r="J40" s="155">
        <f>IF('AW Schüler'!$I106=0,"x",E40/'AW Schüler'!$I106)</f>
        <v>0.31720083749396039</v>
      </c>
      <c r="K40" s="155">
        <f>IF('AW Schüler'!$L106=0,"x",F40/'AW Schüler'!$L106)</f>
        <v>0.30884848484848487</v>
      </c>
      <c r="L40" s="156">
        <f>IF('AW Schüler'!$O106=0,"x",G40/'AW Schüler'!$O106)</f>
        <v>0.32184185149469624</v>
      </c>
    </row>
    <row r="41" spans="1:13" ht="9" customHeight="1">
      <c r="A41" s="21" t="s">
        <v>91</v>
      </c>
      <c r="B41" s="120"/>
      <c r="C41" s="23">
        <f>[46]GtS!$E$71</f>
        <v>0</v>
      </c>
      <c r="D41" s="23">
        <f>[47]GtS!$E$75</f>
        <v>69</v>
      </c>
      <c r="E41" s="23">
        <f>[48]GtS!$E$75</f>
        <v>0</v>
      </c>
      <c r="F41" s="23">
        <f>[49]GtS!$E$75</f>
        <v>110</v>
      </c>
      <c r="G41" s="34">
        <f>[50]GtS!$E$75</f>
        <v>52</v>
      </c>
      <c r="H41" s="155">
        <f>IF('AW Schüler'!$C107=0,"x",C41/'AW Schüler'!$C107)</f>
        <v>0</v>
      </c>
      <c r="I41" s="155">
        <f>IF('AW Schüler'!$F107=0,"x",D41/'AW Schüler'!$F107)</f>
        <v>3.3576642335766425E-2</v>
      </c>
      <c r="J41" s="155">
        <f>IF('AW Schüler'!$I107=0,"x",E41/'AW Schüler'!$I107)</f>
        <v>0</v>
      </c>
      <c r="K41" s="155">
        <f>IF('AW Schüler'!$L107=0,"x",F41/'AW Schüler'!$L107)</f>
        <v>5.324298160696999E-2</v>
      </c>
      <c r="L41" s="156">
        <f>IF('AW Schüler'!$O107=0,"x",G41/'AW Schüler'!$O107)</f>
        <v>2.5316455696202531E-2</v>
      </c>
    </row>
    <row r="42" spans="1:13" ht="9" customHeight="1">
      <c r="A42" s="21" t="s">
        <v>92</v>
      </c>
      <c r="B42" s="120"/>
      <c r="C42" s="36">
        <f>[51]GtS!$E$71</f>
        <v>3461</v>
      </c>
      <c r="D42" s="36">
        <f>[52]GtS!$E$75</f>
        <v>3227</v>
      </c>
      <c r="E42" s="36">
        <f>[53]GtS!$E$75</f>
        <v>3517</v>
      </c>
      <c r="F42" s="36">
        <f>[54]GtS!$E$75</f>
        <v>3661</v>
      </c>
      <c r="G42" s="37">
        <f>[55]GtS!$E$75</f>
        <v>4151</v>
      </c>
      <c r="H42" s="155">
        <f>IF('AW Schüler'!$C108=0,"x",C42/'AW Schüler'!$C108)</f>
        <v>0.50246806039488967</v>
      </c>
      <c r="I42" s="155">
        <f>IF('AW Schüler'!$F108=0,"x",D42/'AW Schüler'!$F108)</f>
        <v>0.44223653556255993</v>
      </c>
      <c r="J42" s="155">
        <f>IF('AW Schüler'!$I108=0,"x",E42/'AW Schüler'!$I108)</f>
        <v>0.46558114906010062</v>
      </c>
      <c r="K42" s="155">
        <f>IF('AW Schüler'!$L108=0,"x",F42/'AW Schüler'!$L108)</f>
        <v>0.47912576887841907</v>
      </c>
      <c r="L42" s="156">
        <f>IF('AW Schüler'!$O108=0,"x",G42/'AW Schüler'!$O108)</f>
        <v>0.53389067524115752</v>
      </c>
    </row>
    <row r="43" spans="1:13" ht="9" customHeight="1">
      <c r="A43" s="21" t="s">
        <v>93</v>
      </c>
      <c r="B43" s="120"/>
      <c r="C43" s="124">
        <f>[76]GtS!$E$71</f>
        <v>0</v>
      </c>
      <c r="D43" s="124">
        <f>[77]GtS!$E$75</f>
        <v>0</v>
      </c>
      <c r="E43" s="124">
        <f>[78]GtS!$E$75</f>
        <v>0</v>
      </c>
      <c r="F43" s="124">
        <f>[79]GtS!$E$75</f>
        <v>0</v>
      </c>
      <c r="G43" s="188">
        <f>[80]GtS!$E$75</f>
        <v>0</v>
      </c>
      <c r="H43" s="189">
        <f>IF('AW Schüler'!$C109=0,"x",C43/'AW Schüler'!$C109)</f>
        <v>0</v>
      </c>
      <c r="I43" s="189">
        <f>IF('AW Schüler'!$F109=0,"x",D43/'AW Schüler'!$F109)</f>
        <v>0</v>
      </c>
      <c r="J43" s="189">
        <f>IF('AW Schüler'!$I109=0,"x",E43/'AW Schüler'!$I109)</f>
        <v>0</v>
      </c>
      <c r="K43" s="189">
        <f>IF('AW Schüler'!$L109=0,"x",F43/'AW Schüler'!$L109)</f>
        <v>0</v>
      </c>
      <c r="L43" s="190">
        <f>IF('AW Schüler'!$O109=0,"x",G43/'AW Schüler'!$O109)</f>
        <v>0</v>
      </c>
    </row>
    <row r="44" spans="1:13" ht="9" customHeight="1">
      <c r="A44" s="21" t="s">
        <v>94</v>
      </c>
      <c r="B44" s="120"/>
      <c r="C44" s="23">
        <f>[56]GtS!$E$71</f>
        <v>0</v>
      </c>
      <c r="D44" s="23">
        <f>[57]GtS!$E$75</f>
        <v>0</v>
      </c>
      <c r="E44" s="23">
        <f>[58]GtS!$E$75</f>
        <v>0</v>
      </c>
      <c r="F44" s="23">
        <f>[59]GtS!$E$75</f>
        <v>0</v>
      </c>
      <c r="G44" s="34">
        <f>[60]GtS!$E$75</f>
        <v>0</v>
      </c>
      <c r="H44" s="155">
        <f>IF('AW Schüler'!$C110=0,"x",C44/'AW Schüler'!$C110)</f>
        <v>0</v>
      </c>
      <c r="I44" s="155">
        <f>IF('AW Schüler'!$F110=0,"x",D44/'AW Schüler'!$F110)</f>
        <v>0</v>
      </c>
      <c r="J44" s="155">
        <f>IF('AW Schüler'!$I110=0,"x",E44/'AW Schüler'!$I110)</f>
        <v>0</v>
      </c>
      <c r="K44" s="155">
        <f>IF('AW Schüler'!$L110=0,"x",F44/'AW Schüler'!$L110)</f>
        <v>0</v>
      </c>
      <c r="L44" s="156">
        <f>IF('AW Schüler'!$O110=0,"x",G44/'AW Schüler'!$O110)</f>
        <v>0</v>
      </c>
    </row>
    <row r="45" spans="1:13" ht="9" customHeight="1">
      <c r="A45" s="21" t="s">
        <v>95</v>
      </c>
      <c r="B45" s="120"/>
      <c r="C45" s="23">
        <f>[61]GtS!$E$71</f>
        <v>136</v>
      </c>
      <c r="D45" s="23">
        <f>[62]GtS!$E$75</f>
        <v>178</v>
      </c>
      <c r="E45" s="23">
        <f>[63]GtS!$E$75</f>
        <v>228</v>
      </c>
      <c r="F45" s="23">
        <f>[64]GtS!$E$75</f>
        <v>241</v>
      </c>
      <c r="G45" s="34">
        <f>[65]GtS!$E$75</f>
        <v>254</v>
      </c>
      <c r="H45" s="155">
        <f>IF('AW Schüler'!$C111=0,"x",C45/'AW Schüler'!$C111)</f>
        <v>5.329153605015674E-2</v>
      </c>
      <c r="I45" s="155">
        <f>IF('AW Schüler'!$F111=0,"x",D45/'AW Schüler'!$F111)</f>
        <v>6.7887109077040431E-2</v>
      </c>
      <c r="J45" s="155">
        <f>IF('AW Schüler'!$I111=0,"x",E45/'AW Schüler'!$I111)</f>
        <v>8.3120670798395913E-2</v>
      </c>
      <c r="K45" s="155">
        <f>IF('AW Schüler'!$L111=0,"x",F45/'AW Schüler'!$L111)</f>
        <v>8.5856786604916274E-2</v>
      </c>
      <c r="L45" s="156">
        <f>IF('AW Schüler'!$O111=0,"x",G45/'AW Schüler'!$O111)</f>
        <v>9.0295058656238894E-2</v>
      </c>
    </row>
    <row r="46" spans="1:13" ht="9" customHeight="1">
      <c r="A46" s="21" t="s">
        <v>96</v>
      </c>
      <c r="B46" s="120"/>
      <c r="C46" s="23">
        <f>SUM(C30:C45)</f>
        <v>24473</v>
      </c>
      <c r="D46" s="23">
        <f>SUM(D30:D45)</f>
        <v>26396</v>
      </c>
      <c r="E46" s="23">
        <f>SUM(E30:E45)</f>
        <v>27832</v>
      </c>
      <c r="F46" s="23">
        <f>SUM(F30:F45)</f>
        <v>28732</v>
      </c>
      <c r="G46" s="34">
        <f>SUM(G30:G45)</f>
        <v>29190</v>
      </c>
      <c r="H46" s="155">
        <f>IF('AW Schüler'!$C112=0,"x",C46/'AW Schüler'!$C112)</f>
        <v>0.17834473812699037</v>
      </c>
      <c r="I46" s="155">
        <f>IF('AW Schüler'!$F112=0,"x",D46/'AW Schüler'!$F112)</f>
        <v>0.19232058287795992</v>
      </c>
      <c r="J46" s="155">
        <f>IF('AW Schüler'!$I112=0,"x",E46/'AW Schüler'!$I112)</f>
        <v>0.20597682094699604</v>
      </c>
      <c r="K46" s="155">
        <f>IF('AW Schüler'!$L112=0,"x",F46/'AW Schüler'!$L112)</f>
        <v>0.21384658896381309</v>
      </c>
      <c r="L46" s="156">
        <f>IF('AW Schüler'!$O112=0,"x",G46/'AW Schüler'!$O112)</f>
        <v>0.21633760227676982</v>
      </c>
      <c r="M46" s="209"/>
    </row>
    <row r="47" spans="1:13">
      <c r="A47" s="391" t="s">
        <v>100</v>
      </c>
      <c r="B47" s="392"/>
      <c r="C47" s="392"/>
      <c r="D47" s="392"/>
      <c r="E47" s="392"/>
      <c r="F47" s="392"/>
      <c r="G47" s="392"/>
      <c r="H47" s="392"/>
      <c r="I47" s="392"/>
      <c r="J47" s="392"/>
      <c r="K47" s="392"/>
      <c r="L47" s="393"/>
    </row>
    <row r="48" spans="1:13" ht="9" customHeight="1">
      <c r="A48" s="21" t="s">
        <v>80</v>
      </c>
      <c r="B48" s="120"/>
      <c r="C48" s="23">
        <f>[1]GtS!$H$71</f>
        <v>1620</v>
      </c>
      <c r="D48" s="23">
        <f>[2]GtS!$H$75</f>
        <v>1882</v>
      </c>
      <c r="E48" s="23">
        <f>[3]GtS!$H$75</f>
        <v>1708</v>
      </c>
      <c r="F48" s="23">
        <f>[4]GtS!$H$75</f>
        <v>1465</v>
      </c>
      <c r="G48" s="34">
        <f>[5]GtS!$H$75</f>
        <v>1602</v>
      </c>
      <c r="H48" s="155">
        <f>IF('AW Schüler'!$C96=0,"x",C48/'AW Schüler'!$C96)</f>
        <v>7.5415483450491136E-2</v>
      </c>
      <c r="I48" s="155">
        <f>IF('AW Schüler'!$F96=0,"x",D48/'AW Schüler'!$F96)</f>
        <v>8.665223997421613E-2</v>
      </c>
      <c r="J48" s="155">
        <f>IF('AW Schüler'!$I96=0,"x",E48/'AW Schüler'!$I96)</f>
        <v>7.9165701042873696E-2</v>
      </c>
      <c r="K48" s="155">
        <f>IF('AW Schüler'!$L96=0,"x",F48/'AW Schüler'!$L96)</f>
        <v>6.7548874953891558E-2</v>
      </c>
      <c r="L48" s="156">
        <f>IF('AW Schüler'!$O96=0,"x",G48/'AW Schüler'!$O96)</f>
        <v>7.2613543649714438E-2</v>
      </c>
    </row>
    <row r="49" spans="1:13" ht="9" customHeight="1">
      <c r="A49" s="21" t="s">
        <v>81</v>
      </c>
      <c r="B49" s="120"/>
      <c r="C49" s="23">
        <f>[6]GtS!$H$71</f>
        <v>2962</v>
      </c>
      <c r="D49" s="23">
        <f>[7]GtS!$H$75</f>
        <v>3142</v>
      </c>
      <c r="E49" s="23">
        <f>[8]GtS!$H$75</f>
        <v>3142</v>
      </c>
      <c r="F49" s="23">
        <f>[9]GtS!$H$75</f>
        <v>3227</v>
      </c>
      <c r="G49" s="34">
        <f>[10]GtS!$H$75</f>
        <v>2969</v>
      </c>
      <c r="H49" s="155">
        <f>IF('AW Schüler'!$C97=0,"x",C49/'AW Schüler'!$C97)</f>
        <v>0.13159765416740715</v>
      </c>
      <c r="I49" s="155">
        <f>IF('AW Schüler'!$F97=0,"x",D49/'AW Schüler'!$F97)</f>
        <v>0.14457276952100492</v>
      </c>
      <c r="J49" s="155">
        <f>IF('AW Schüler'!$I97=0,"x",E49/'AW Schüler'!$I97)</f>
        <v>0.15201509506991145</v>
      </c>
      <c r="K49" s="155">
        <f>IF('AW Schüler'!$L97=0,"x",F49/'AW Schüler'!$L97)</f>
        <v>0.16311985037658597</v>
      </c>
      <c r="L49" s="156">
        <f>IF('AW Schüler'!$O97=0,"x",G49/'AW Schüler'!$O97)</f>
        <v>0.15297027152352002</v>
      </c>
    </row>
    <row r="50" spans="1:13" ht="9" customHeight="1">
      <c r="A50" s="21" t="s">
        <v>82</v>
      </c>
      <c r="B50" s="120"/>
      <c r="C50" s="23">
        <f>[11]GtS!$H$71</f>
        <v>863</v>
      </c>
      <c r="D50" s="23">
        <f>[12]GtS!$H$75</f>
        <v>616</v>
      </c>
      <c r="E50" s="23">
        <f>[13]GtS!$H$75</f>
        <v>832</v>
      </c>
      <c r="F50" s="23">
        <f>[14]GtS!$H$75</f>
        <v>601</v>
      </c>
      <c r="G50" s="34">
        <f>[15]GtS!$H$75</f>
        <v>820</v>
      </c>
      <c r="H50" s="155">
        <f>IF('AW Schüler'!$C98=0,"x",C50/'AW Schüler'!$C98)</f>
        <v>0.20363378952336009</v>
      </c>
      <c r="I50" s="155">
        <f>IF('AW Schüler'!$F98=0,"x",D50/'AW Schüler'!$F98)</f>
        <v>0.14597156398104266</v>
      </c>
      <c r="J50" s="155">
        <f>IF('AW Schüler'!$I98=0,"x",E50/'AW Schüler'!$I98)</f>
        <v>0.20024067388688327</v>
      </c>
      <c r="K50" s="155">
        <f>IF('AW Schüler'!$L98=0,"x",F50/'AW Schüler'!$L98)</f>
        <v>0.14492404147576562</v>
      </c>
      <c r="L50" s="156">
        <f>IF('AW Schüler'!$O98=0,"x",G50/'AW Schüler'!$O98)</f>
        <v>0.19687875150060025</v>
      </c>
    </row>
    <row r="51" spans="1:13" ht="9" customHeight="1">
      <c r="A51" s="21" t="s">
        <v>83</v>
      </c>
      <c r="B51" s="120"/>
      <c r="C51" s="23">
        <f>[16]GtS!$H$71</f>
        <v>676</v>
      </c>
      <c r="D51" s="23">
        <f>[17]GtS!$H$75</f>
        <v>726</v>
      </c>
      <c r="E51" s="23">
        <f>[18]GtS!$H$75</f>
        <v>760</v>
      </c>
      <c r="F51" s="23">
        <f>[19]GtS!$H$75</f>
        <v>942</v>
      </c>
      <c r="G51" s="34">
        <f>[20]GtS!$H$75</f>
        <v>966</v>
      </c>
      <c r="H51" s="155">
        <f>IF('AW Schüler'!$C99=0,"x",C51/'AW Schüler'!$C99)</f>
        <v>0.19414129810453762</v>
      </c>
      <c r="I51" s="155">
        <f>IF('AW Schüler'!$F99=0,"x",D51/'AW Schüler'!$F99)</f>
        <v>0.19626926196269262</v>
      </c>
      <c r="J51" s="155">
        <f>IF('AW Schüler'!$I99=0,"x",E51/'AW Schüler'!$I99)</f>
        <v>0.20441097364174288</v>
      </c>
      <c r="K51" s="155">
        <f>IF('AW Schüler'!$L99=0,"x",F51/'AW Schüler'!$L99)</f>
        <v>0.25173703901656869</v>
      </c>
      <c r="L51" s="156">
        <f>IF('AW Schüler'!$O99=0,"x",G51/'AW Schüler'!$O99)</f>
        <v>0.24649145190099514</v>
      </c>
    </row>
    <row r="52" spans="1:13" ht="9" customHeight="1">
      <c r="A52" s="21" t="s">
        <v>84</v>
      </c>
      <c r="B52" s="120"/>
      <c r="C52" s="23">
        <f>[21]GtS!$H$71</f>
        <v>82</v>
      </c>
      <c r="D52" s="23">
        <f>[22]GtS!$H$75</f>
        <v>108</v>
      </c>
      <c r="E52" s="23">
        <f>[23]GtS!$H$75</f>
        <v>98</v>
      </c>
      <c r="F52" s="23">
        <f>[24]GtS!$H$75</f>
        <v>107</v>
      </c>
      <c r="G52" s="34">
        <f>[25]GtS!$H$75</f>
        <v>0</v>
      </c>
      <c r="H52" s="155">
        <f>IF('AW Schüler'!$C100=0,"x",C52/'AW Schüler'!$C100)</f>
        <v>4.8292108362779744E-2</v>
      </c>
      <c r="I52" s="155">
        <f>IF('AW Schüler'!$F100=0,"x",D52/'AW Schüler'!$F100)</f>
        <v>6.5335753176043551E-2</v>
      </c>
      <c r="J52" s="155">
        <f>IF('AW Schüler'!$I100=0,"x",E52/'AW Schüler'!$I100)</f>
        <v>6.2860808210391278E-2</v>
      </c>
      <c r="K52" s="155">
        <f>IF('AW Schüler'!$L100=0,"x",F52/'AW Schüler'!$L100)</f>
        <v>6.9980379332897316E-2</v>
      </c>
      <c r="L52" s="156">
        <f>IF('AW Schüler'!$O100=0,"x",G52/'AW Schüler'!$O100)</f>
        <v>0</v>
      </c>
    </row>
    <row r="53" spans="1:13" ht="9" customHeight="1">
      <c r="A53" s="21" t="s">
        <v>85</v>
      </c>
      <c r="B53" s="120"/>
      <c r="C53" s="23">
        <f>[26]GtS!$H$71</f>
        <v>2155</v>
      </c>
      <c r="D53" s="23">
        <f>[27]GtS!$H$75</f>
        <v>2118</v>
      </c>
      <c r="E53" s="23">
        <f>[28]GtS!$H$75</f>
        <v>2046</v>
      </c>
      <c r="F53" s="23">
        <f>[29]GtS!$H$75</f>
        <v>2025</v>
      </c>
      <c r="G53" s="34">
        <f>[30]GtS!$H$75</f>
        <v>2044</v>
      </c>
      <c r="H53" s="155">
        <f>IF('AW Schüler'!$C101=0,"x",C53/'AW Schüler'!$C101)</f>
        <v>0.77657657657657653</v>
      </c>
      <c r="I53" s="155">
        <f>IF('AW Schüler'!$F101=0,"x",D53/'AW Schüler'!$F101)</f>
        <v>0.76822633297062026</v>
      </c>
      <c r="J53" s="155">
        <f>IF('AW Schüler'!$I101=0,"x",E53/'AW Schüler'!$I101)</f>
        <v>0.75862068965517238</v>
      </c>
      <c r="K53" s="155">
        <f>IF('AW Schüler'!$L101=0,"x",F53/'AW Schüler'!$L101)</f>
        <v>0.74916759156492785</v>
      </c>
      <c r="L53" s="156">
        <f>IF('AW Schüler'!$O101=0,"x",G53/'AW Schüler'!$O101)</f>
        <v>0.74598540145985404</v>
      </c>
    </row>
    <row r="54" spans="1:13" ht="9" customHeight="1">
      <c r="A54" s="21" t="s">
        <v>86</v>
      </c>
      <c r="B54" s="120"/>
      <c r="C54" s="124">
        <f>[66]GtS!$H$71</f>
        <v>0</v>
      </c>
      <c r="D54" s="124">
        <f>[67]GtS!$H$75</f>
        <v>0</v>
      </c>
      <c r="E54" s="124">
        <f>[68]GtS!$H$75</f>
        <v>0</v>
      </c>
      <c r="F54" s="124">
        <f>[69]GtS!$H$75</f>
        <v>0</v>
      </c>
      <c r="G54" s="188">
        <f>[70]GtS!$H$75</f>
        <v>0</v>
      </c>
      <c r="H54" s="189">
        <f>IF('AW Schüler'!$C102=0,"x",C54/'AW Schüler'!$C102)</f>
        <v>0</v>
      </c>
      <c r="I54" s="189">
        <f>IF('AW Schüler'!$F102=0,"x",D54/'AW Schüler'!$F102)</f>
        <v>0</v>
      </c>
      <c r="J54" s="189">
        <f>IF('AW Schüler'!$I102=0,"x",E54/'AW Schüler'!$I102)</f>
        <v>0</v>
      </c>
      <c r="K54" s="189">
        <f>IF('AW Schüler'!$L102=0,"x",F54/'AW Schüler'!$L102)</f>
        <v>0</v>
      </c>
      <c r="L54" s="190">
        <f>IF('AW Schüler'!$O102=0,"x",G54/'AW Schüler'!$O102)</f>
        <v>0</v>
      </c>
    </row>
    <row r="55" spans="1:13" ht="9" customHeight="1">
      <c r="A55" s="21" t="s">
        <v>174</v>
      </c>
      <c r="B55" s="120"/>
      <c r="C55" s="23">
        <f>[31]GtS!$H$71</f>
        <v>712</v>
      </c>
      <c r="D55" s="23">
        <f>[32]GtS!$H$75</f>
        <v>708</v>
      </c>
      <c r="E55" s="23">
        <f>[33]GtS!$H$75</f>
        <v>708</v>
      </c>
      <c r="F55" s="23">
        <f>[34]GtS!$H$75</f>
        <v>806</v>
      </c>
      <c r="G55" s="34">
        <f>[35]GtS!$H$75</f>
        <v>722</v>
      </c>
      <c r="H55" s="155">
        <f>IF('AW Schüler'!$C103=0,"x",C55/'AW Schüler'!$C103)</f>
        <v>0.3749341758820432</v>
      </c>
      <c r="I55" s="155">
        <f>IF('AW Schüler'!$F103=0,"x",D55/'AW Schüler'!$F103)</f>
        <v>0.36971279373368149</v>
      </c>
      <c r="J55" s="155">
        <f>IF('AW Schüler'!$I103=0,"x",E55/'AW Schüler'!$I103)</f>
        <v>0.3552433517310587</v>
      </c>
      <c r="K55" s="155">
        <f>IF('AW Schüler'!$L103=0,"x",F55/'AW Schüler'!$L103)</f>
        <v>0.38144817794604829</v>
      </c>
      <c r="L55" s="156">
        <f>IF('AW Schüler'!$O103=0,"x",G55/'AW Schüler'!$O103)</f>
        <v>0.32088888888888889</v>
      </c>
    </row>
    <row r="56" spans="1:13" ht="9" customHeight="1">
      <c r="A56" s="21" t="s">
        <v>88</v>
      </c>
      <c r="B56" s="120"/>
      <c r="C56" s="124">
        <f>[71]GtS!$H$71</f>
        <v>0</v>
      </c>
      <c r="D56" s="124">
        <f>[72]GtS!$H$75</f>
        <v>0</v>
      </c>
      <c r="E56" s="124">
        <f>[73]GtS!$H$75</f>
        <v>0</v>
      </c>
      <c r="F56" s="124">
        <f>[74]GtS!$H$75</f>
        <v>0</v>
      </c>
      <c r="G56" s="188">
        <f>[75]GtS!$H$75</f>
        <v>0</v>
      </c>
      <c r="H56" s="189">
        <f>IF('AW Schüler'!$C104=0,"x",C56/'AW Schüler'!$C104)</f>
        <v>0</v>
      </c>
      <c r="I56" s="189">
        <f>IF('AW Schüler'!$F104=0,"x",D56/'AW Schüler'!$F104)</f>
        <v>0</v>
      </c>
      <c r="J56" s="189">
        <f>IF('AW Schüler'!$I104=0,"x",E56/'AW Schüler'!$I104)</f>
        <v>0</v>
      </c>
      <c r="K56" s="189">
        <f>IF('AW Schüler'!$L104=0,"x",F56/'AW Schüler'!$L104)</f>
        <v>0</v>
      </c>
      <c r="L56" s="190">
        <f>IF('AW Schüler'!$O104=0,"x",G56/'AW Schüler'!$O104)</f>
        <v>0</v>
      </c>
    </row>
    <row r="57" spans="1:13" ht="9" customHeight="1">
      <c r="A57" s="21" t="s">
        <v>89</v>
      </c>
      <c r="B57" s="120"/>
      <c r="C57" s="23">
        <f>[36]GtS!$H$71</f>
        <v>0</v>
      </c>
      <c r="D57" s="23">
        <f>[37]GtS!$H$75</f>
        <v>0</v>
      </c>
      <c r="E57" s="23">
        <f>[38]GtS!$H$75</f>
        <v>0</v>
      </c>
      <c r="F57" s="23">
        <f>[39]GtS!$H$75</f>
        <v>0</v>
      </c>
      <c r="G57" s="34">
        <f>[40]GtS!$H$75</f>
        <v>0</v>
      </c>
      <c r="H57" s="155">
        <f>IF('AW Schüler'!$C105=0,"x",C57/'AW Schüler'!$C105)</f>
        <v>0</v>
      </c>
      <c r="I57" s="155">
        <f>IF('AW Schüler'!$F105=0,"x",D57/'AW Schüler'!$F105)</f>
        <v>0</v>
      </c>
      <c r="J57" s="155">
        <f>IF('AW Schüler'!$I105=0,"x",E57/'AW Schüler'!$I105)</f>
        <v>0</v>
      </c>
      <c r="K57" s="155">
        <f>IF('AW Schüler'!$L105=0,"x",F57/'AW Schüler'!$L105)</f>
        <v>0</v>
      </c>
      <c r="L57" s="156">
        <f>IF('AW Schüler'!$O105=0,"x",G57/'AW Schüler'!$O105)</f>
        <v>0</v>
      </c>
    </row>
    <row r="58" spans="1:13" ht="9" customHeight="1">
      <c r="A58" s="21" t="s">
        <v>90</v>
      </c>
      <c r="B58" s="120"/>
      <c r="C58" s="23">
        <f>[41]GtS!$H$71</f>
        <v>31</v>
      </c>
      <c r="D58" s="23">
        <f>[42]GtS!$H$75</f>
        <v>41</v>
      </c>
      <c r="E58" s="23">
        <f>[43]GtS!$H$75</f>
        <v>39</v>
      </c>
      <c r="F58" s="23">
        <f>[44]GtS!$H$75</f>
        <v>38</v>
      </c>
      <c r="G58" s="34">
        <f>[45]GtS!$H$75</f>
        <v>25</v>
      </c>
      <c r="H58" s="155">
        <f>IF('AW Schüler'!$C106=0,"x",C58/'AW Schüler'!$C106)</f>
        <v>2.3785774572239698E-3</v>
      </c>
      <c r="I58" s="155">
        <f>IF('AW Schüler'!$F106=0,"x",D58/'AW Schüler'!$F106)</f>
        <v>3.1822415398944427E-3</v>
      </c>
      <c r="J58" s="155">
        <f>IF('AW Schüler'!$I106=0,"x",E58/'AW Schüler'!$I106)</f>
        <v>3.1406023514253503E-3</v>
      </c>
      <c r="K58" s="155">
        <f>IF('AW Schüler'!$L106=0,"x",F58/'AW Schüler'!$L106)</f>
        <v>3.0707070707070706E-3</v>
      </c>
      <c r="L58" s="156">
        <f>IF('AW Schüler'!$O106=0,"x",G58/'AW Schüler'!$O106)</f>
        <v>2.0090003214400516E-3</v>
      </c>
    </row>
    <row r="59" spans="1:13" ht="9" customHeight="1">
      <c r="A59" s="21" t="s">
        <v>91</v>
      </c>
      <c r="B59" s="120"/>
      <c r="C59" s="23">
        <f>[46]GtS!$H$71</f>
        <v>338</v>
      </c>
      <c r="D59" s="23">
        <f>[47]GtS!$H$75</f>
        <v>321</v>
      </c>
      <c r="E59" s="23">
        <f>[48]GtS!$H$75</f>
        <v>359</v>
      </c>
      <c r="F59" s="23">
        <f>[49]GtS!$H$75</f>
        <v>371</v>
      </c>
      <c r="G59" s="34">
        <f>[50]GtS!$H$75</f>
        <v>392</v>
      </c>
      <c r="H59" s="155">
        <f>IF('AW Schüler'!$C107=0,"x",C59/'AW Schüler'!$C107)</f>
        <v>0.18746533555185801</v>
      </c>
      <c r="I59" s="155">
        <f>IF('AW Schüler'!$F107=0,"x",D59/'AW Schüler'!$F107)</f>
        <v>0.1562043795620438</v>
      </c>
      <c r="J59" s="155">
        <f>IF('AW Schüler'!$I107=0,"x",E59/'AW Schüler'!$I107)</f>
        <v>0.17351377477042049</v>
      </c>
      <c r="K59" s="155">
        <f>IF('AW Schüler'!$L107=0,"x",F59/'AW Schüler'!$L107)</f>
        <v>0.17957405614714425</v>
      </c>
      <c r="L59" s="156">
        <f>IF('AW Schüler'!$O107=0,"x",G59/'AW Schüler'!$O107)</f>
        <v>0.19084712755598832</v>
      </c>
    </row>
    <row r="60" spans="1:13" ht="9" customHeight="1">
      <c r="A60" s="21" t="s">
        <v>92</v>
      </c>
      <c r="B60" s="120"/>
      <c r="C60" s="36">
        <f>[51]GtS!$H$71</f>
        <v>3400</v>
      </c>
      <c r="D60" s="36">
        <f>[52]GtS!$H$75</f>
        <v>4070</v>
      </c>
      <c r="E60" s="36">
        <f>[53]GtS!$H$75</f>
        <v>3212</v>
      </c>
      <c r="F60" s="36">
        <f>[54]GtS!$H$75</f>
        <v>3145</v>
      </c>
      <c r="G60" s="37">
        <f>[55]GtS!$H$75</f>
        <v>3205</v>
      </c>
      <c r="H60" s="155">
        <f>IF('AW Schüler'!$C108=0,"x",C60/'AW Schüler'!$C108)</f>
        <v>0.49361207897793263</v>
      </c>
      <c r="I60" s="155">
        <f>IF('AW Schüler'!$F108=0,"x",D60/'AW Schüler'!$F108)</f>
        <v>0.55776346443744007</v>
      </c>
      <c r="J60" s="155">
        <f>IF('AW Schüler'!$I108=0,"x",E60/'AW Schüler'!$I108)</f>
        <v>0.42520518930368018</v>
      </c>
      <c r="K60" s="155">
        <f>IF('AW Schüler'!$L108=0,"x",F60/'AW Schüler'!$L108)</f>
        <v>0.41159534092396283</v>
      </c>
      <c r="L60" s="156">
        <f>IF('AW Schüler'!$O108=0,"x",G60/'AW Schüler'!$O108)</f>
        <v>0.41221864951768489</v>
      </c>
    </row>
    <row r="61" spans="1:13" ht="9" customHeight="1">
      <c r="A61" s="21" t="s">
        <v>93</v>
      </c>
      <c r="B61" s="120"/>
      <c r="C61" s="124">
        <f>[76]GtS!$H$71</f>
        <v>0</v>
      </c>
      <c r="D61" s="124">
        <f>[77]GtS!$H$75</f>
        <v>0</v>
      </c>
      <c r="E61" s="124">
        <f>[78]GtS!$H$75</f>
        <v>0</v>
      </c>
      <c r="F61" s="124">
        <f>[79]GtS!$H$75</f>
        <v>0</v>
      </c>
      <c r="G61" s="188">
        <f>[80]GtS!$H$75</f>
        <v>0</v>
      </c>
      <c r="H61" s="189">
        <f>IF('AW Schüler'!$C109=0,"x",C61/'AW Schüler'!$C109)</f>
        <v>0</v>
      </c>
      <c r="I61" s="189">
        <f>IF('AW Schüler'!$F109=0,"x",D61/'AW Schüler'!$F109)</f>
        <v>0</v>
      </c>
      <c r="J61" s="189">
        <f>IF('AW Schüler'!$I109=0,"x",E61/'AW Schüler'!$I109)</f>
        <v>0</v>
      </c>
      <c r="K61" s="189">
        <f>IF('AW Schüler'!$L109=0,"x",F61/'AW Schüler'!$L109)</f>
        <v>0</v>
      </c>
      <c r="L61" s="190">
        <f>IF('AW Schüler'!$O109=0,"x",G61/'AW Schüler'!$O109)</f>
        <v>0</v>
      </c>
    </row>
    <row r="62" spans="1:13" ht="9" customHeight="1">
      <c r="A62" s="21" t="s">
        <v>94</v>
      </c>
      <c r="B62" s="120"/>
      <c r="C62" s="23">
        <f>[56]GtS!$H$71</f>
        <v>0</v>
      </c>
      <c r="D62" s="23">
        <f>[57]GtS!$H$75</f>
        <v>0</v>
      </c>
      <c r="E62" s="23">
        <f>[58]GtS!$H$75</f>
        <v>0</v>
      </c>
      <c r="F62" s="23">
        <f>[59]GtS!$H$75</f>
        <v>0</v>
      </c>
      <c r="G62" s="34">
        <f>[60]GtS!$H$75</f>
        <v>0</v>
      </c>
      <c r="H62" s="155">
        <f>IF('AW Schüler'!$C110=0,"x",C62/'AW Schüler'!$C110)</f>
        <v>0</v>
      </c>
      <c r="I62" s="155">
        <f>IF('AW Schüler'!$F110=0,"x",D62/'AW Schüler'!$F110)</f>
        <v>0</v>
      </c>
      <c r="J62" s="155">
        <f>IF('AW Schüler'!$I110=0,"x",E62/'AW Schüler'!$I110)</f>
        <v>0</v>
      </c>
      <c r="K62" s="155">
        <f>IF('AW Schüler'!$L110=0,"x",F62/'AW Schüler'!$L110)</f>
        <v>0</v>
      </c>
      <c r="L62" s="156">
        <f>IF('AW Schüler'!$O110=0,"x",G62/'AW Schüler'!$O110)</f>
        <v>0</v>
      </c>
    </row>
    <row r="63" spans="1:13" ht="9" customHeight="1">
      <c r="A63" s="21" t="s">
        <v>95</v>
      </c>
      <c r="B63" s="120"/>
      <c r="C63" s="23">
        <f>[61]GtS!$H$71</f>
        <v>603</v>
      </c>
      <c r="D63" s="23">
        <f>[62]GtS!$H$75</f>
        <v>696</v>
      </c>
      <c r="E63" s="23">
        <f>[63]GtS!$H$75</f>
        <v>740</v>
      </c>
      <c r="F63" s="23">
        <f>[64]GtS!$H$75</f>
        <v>774</v>
      </c>
      <c r="G63" s="34">
        <f>[65]GtS!$H$75</f>
        <v>841</v>
      </c>
      <c r="H63" s="155">
        <f>IF('AW Schüler'!$C111=0,"x",C63/'AW Schüler'!$C111)</f>
        <v>0.23628526645768025</v>
      </c>
      <c r="I63" s="155">
        <f>IF('AW Schüler'!$F111=0,"x",D63/'AW Schüler'!$F111)</f>
        <v>0.26544622425629288</v>
      </c>
      <c r="J63" s="155">
        <f>IF('AW Schüler'!$I111=0,"x",E63/'AW Schüler'!$I111)</f>
        <v>0.26977761574917974</v>
      </c>
      <c r="K63" s="155">
        <f>IF('AW Schüler'!$L111=0,"x",F63/'AW Schüler'!$L111)</f>
        <v>0.27573922337014606</v>
      </c>
      <c r="L63" s="156">
        <f>IF('AW Schüler'!$O111=0,"x",G63/'AW Schüler'!$O111)</f>
        <v>0.29896907216494845</v>
      </c>
    </row>
    <row r="64" spans="1:13" ht="8.65" customHeight="1">
      <c r="A64" s="24" t="s">
        <v>96</v>
      </c>
      <c r="B64" s="121"/>
      <c r="C64" s="26">
        <f>SUM(C48:C63)</f>
        <v>13442</v>
      </c>
      <c r="D64" s="26">
        <f>SUM(D48:D63)</f>
        <v>14428</v>
      </c>
      <c r="E64" s="26">
        <f>SUM(E48:E63)</f>
        <v>13644</v>
      </c>
      <c r="F64" s="26">
        <f>SUM(F48:F63)</f>
        <v>13501</v>
      </c>
      <c r="G64" s="47">
        <f>SUM(G48:G63)</f>
        <v>13586</v>
      </c>
      <c r="H64" s="157">
        <f>IF('AW Schüler'!$C112=0,"x",C64/'AW Schüler'!$C112)</f>
        <v>9.7957339513055394E-2</v>
      </c>
      <c r="I64" s="157">
        <f>IF('AW Schüler'!$F112=0,"x",D64/'AW Schüler'!$F112)</f>
        <v>0.10512204007285975</v>
      </c>
      <c r="J64" s="157">
        <f>IF('AW Schüler'!$I112=0,"x",E64/'AW Schüler'!$I112)</f>
        <v>0.10097541481031956</v>
      </c>
      <c r="K64" s="157">
        <f>IF('AW Schüler'!$L112=0,"x",F64/'AW Schüler'!$L112)</f>
        <v>0.10048527069471115</v>
      </c>
      <c r="L64" s="158">
        <f>IF('AW Schüler'!$O112=0,"x",G64/'AW Schüler'!$O112)</f>
        <v>0.10069073876437803</v>
      </c>
      <c r="M64" s="209"/>
    </row>
    <row r="65" spans="1:13" ht="18.75" customHeight="1">
      <c r="A65" s="396" t="s">
        <v>312</v>
      </c>
      <c r="B65" s="396"/>
      <c r="C65" s="396"/>
      <c r="D65" s="396"/>
      <c r="E65" s="396"/>
      <c r="F65" s="396"/>
      <c r="G65" s="396"/>
      <c r="H65" s="396"/>
      <c r="I65" s="396"/>
      <c r="J65" s="396"/>
      <c r="K65" s="396"/>
      <c r="L65" s="396"/>
      <c r="M65" s="209"/>
    </row>
    <row r="66" spans="1:13" ht="10.15" customHeight="1">
      <c r="A66" s="408" t="s">
        <v>166</v>
      </c>
      <c r="B66" s="408"/>
      <c r="C66" s="408"/>
      <c r="D66" s="408"/>
      <c r="E66" s="408"/>
      <c r="F66" s="408"/>
      <c r="G66" s="408"/>
      <c r="H66" s="408"/>
      <c r="I66" s="408"/>
      <c r="J66" s="258"/>
      <c r="K66" s="278"/>
      <c r="L66" s="278"/>
    </row>
    <row r="67" spans="1:13" ht="9.6" customHeight="1">
      <c r="A67" s="399" t="s">
        <v>183</v>
      </c>
      <c r="B67" s="399"/>
      <c r="C67" s="399"/>
      <c r="D67" s="399"/>
      <c r="E67" s="399"/>
      <c r="F67" s="399"/>
      <c r="G67" s="399"/>
      <c r="H67" s="399"/>
      <c r="I67" s="399"/>
      <c r="J67" s="257"/>
      <c r="K67" s="325"/>
      <c r="L67" s="350"/>
    </row>
    <row r="68" spans="1:13" ht="10.15" customHeight="1">
      <c r="A68" s="220" t="s">
        <v>228</v>
      </c>
    </row>
    <row r="69" spans="1:13" ht="10.15" customHeight="1">
      <c r="A69" s="306" t="s">
        <v>169</v>
      </c>
    </row>
    <row r="83" spans="1:1" ht="10.5" customHeight="1"/>
    <row r="84" spans="1:1" ht="10.15" customHeight="1">
      <c r="A84" s="214"/>
    </row>
  </sheetData>
  <mergeCells count="9">
    <mergeCell ref="A1:L1"/>
    <mergeCell ref="A66:I66"/>
    <mergeCell ref="A67:I67"/>
    <mergeCell ref="C9:G9"/>
    <mergeCell ref="H9:L9"/>
    <mergeCell ref="A11:L11"/>
    <mergeCell ref="A29:L29"/>
    <mergeCell ref="A47:L47"/>
    <mergeCell ref="A65:L65"/>
  </mergeCells>
  <phoneticPr fontId="18" type="noConversion"/>
  <conditionalFormatting sqref="M25">
    <cfRule type="cellIs" dxfId="7"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M85"/>
  <sheetViews>
    <sheetView view="pageBreakPreview" topLeftCell="A19" zoomScale="175" zoomScaleNormal="115" zoomScaleSheetLayoutView="175" workbookViewId="0">
      <selection activeCell="L41" sqref="L41"/>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'3.3.7'!A1:F1+1</f>
        <v>64</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4.1" customHeight="1">
      <c r="A5" s="13" t="s">
        <v>67</v>
      </c>
      <c r="B5" s="39" t="s">
        <v>188</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12.75" customHeight="1">
      <c r="A12" s="21" t="s">
        <v>173</v>
      </c>
      <c r="B12" s="120"/>
      <c r="C12" s="149">
        <f t="shared" ref="C12:D28" si="0">SUM(C30+C48)</f>
        <v>81</v>
      </c>
      <c r="D12" s="149">
        <f t="shared" si="0"/>
        <v>253</v>
      </c>
      <c r="E12" s="149">
        <f t="shared" ref="E12:F12" si="1">SUM(E30+E48)</f>
        <v>513</v>
      </c>
      <c r="F12" s="149">
        <f t="shared" si="1"/>
        <v>908</v>
      </c>
      <c r="G12" s="150">
        <f t="shared" ref="G12" si="2">SUM(G30+G48)</f>
        <v>1225</v>
      </c>
      <c r="H12" s="153">
        <f>IF('AW Schüler'!$C114=0,"x",C12/'AW Schüler'!$C114)</f>
        <v>1</v>
      </c>
      <c r="I12" s="153">
        <f>IF('AW Schüler'!$F114=0,"x",D12/'AW Schüler'!$F114)</f>
        <v>0.73546511627906974</v>
      </c>
      <c r="J12" s="153">
        <f>IF('AW Schüler'!$I114=0,"x",E12/'AW Schüler'!$I114)</f>
        <v>0.71448467966573814</v>
      </c>
      <c r="K12" s="153">
        <f>IF('AW Schüler'!$L114=0,"x",F12/'AW Schüler'!$L114)</f>
        <v>0.81434977578475332</v>
      </c>
      <c r="L12" s="154">
        <f>IF('AW Schüler'!$O114=0,"x",G12/'AW Schüler'!$O114)</f>
        <v>0.72614107883817425</v>
      </c>
    </row>
    <row r="13" spans="1:13" ht="9" customHeight="1">
      <c r="A13" s="21" t="s">
        <v>81</v>
      </c>
      <c r="B13" s="120"/>
      <c r="C13" s="149">
        <f t="shared" si="0"/>
        <v>0</v>
      </c>
      <c r="D13" s="149">
        <f t="shared" si="0"/>
        <v>0</v>
      </c>
      <c r="E13" s="149">
        <f t="shared" ref="E13:F13" si="3">SUM(E31+E49)</f>
        <v>0</v>
      </c>
      <c r="F13" s="149" t="e">
        <f t="shared" si="3"/>
        <v>#VALUE!</v>
      </c>
      <c r="G13" s="150">
        <f t="shared" ref="G13" si="4">SUM(G31+G49)</f>
        <v>0</v>
      </c>
      <c r="H13" s="153" t="str">
        <f>IF('AW Schüler'!$C115=0,"x",C13/'AW Schüler'!$C115)</f>
        <v>x</v>
      </c>
      <c r="I13" s="153" t="str">
        <f>IF('AW Schüler'!$F115=0,"x",D13/'AW Schüler'!$F115)</f>
        <v>x</v>
      </c>
      <c r="J13" s="153" t="str">
        <f>IF('AW Schüler'!$I115=0,"x",E13/'AW Schüler'!$I115)</f>
        <v>x</v>
      </c>
      <c r="K13" s="153" t="str">
        <f>IF('AW Schüler'!$L115=0,"x",F13/'AW Schüler'!$L115)</f>
        <v>x</v>
      </c>
      <c r="L13" s="154" t="str">
        <f>IF('AW Schüler'!$O115=0,"x",G13/'AW Schüler'!$O115)</f>
        <v>x</v>
      </c>
    </row>
    <row r="14" spans="1:13" ht="9" customHeight="1">
      <c r="A14" s="21" t="s">
        <v>82</v>
      </c>
      <c r="B14" s="120"/>
      <c r="C14" s="42">
        <f t="shared" si="0"/>
        <v>3154</v>
      </c>
      <c r="D14" s="42">
        <f t="shared" si="0"/>
        <v>3421</v>
      </c>
      <c r="E14" s="42">
        <f t="shared" ref="E14:F14" si="5">SUM(E32+E50)</f>
        <v>3473</v>
      </c>
      <c r="F14" s="42">
        <f t="shared" si="5"/>
        <v>4966</v>
      </c>
      <c r="G14" s="44">
        <f t="shared" ref="G14" si="6">SUM(G32+G50)</f>
        <v>5363</v>
      </c>
      <c r="H14" s="153">
        <f>IF('AW Schüler'!$C116=0,"x",C14/'AW Schüler'!$C116)</f>
        <v>0.48101265822784811</v>
      </c>
      <c r="I14" s="153">
        <f>IF('AW Schüler'!$F116=0,"x",D14/'AW Schüler'!$F116)</f>
        <v>0.46824527785381875</v>
      </c>
      <c r="J14" s="153">
        <f>IF('AW Schüler'!$I116=0,"x",E14/'AW Schüler'!$I116)</f>
        <v>0.43768115942028984</v>
      </c>
      <c r="K14" s="153">
        <f>IF('AW Schüler'!$L116=0,"x",F14/'AW Schüler'!$L116)</f>
        <v>0.58547512379155864</v>
      </c>
      <c r="L14" s="154">
        <f>IF('AW Schüler'!$O116=0,"x",G14/'AW Schüler'!$O116)</f>
        <v>0.59622012229016119</v>
      </c>
    </row>
    <row r="15" spans="1:13" ht="9" customHeight="1">
      <c r="A15" s="21" t="s">
        <v>83</v>
      </c>
      <c r="B15" s="120"/>
      <c r="C15" s="42">
        <f t="shared" si="0"/>
        <v>522</v>
      </c>
      <c r="D15" s="42">
        <f t="shared" si="0"/>
        <v>617</v>
      </c>
      <c r="E15" s="42">
        <f t="shared" ref="E15:F15" si="7">SUM(E33+E51)</f>
        <v>815</v>
      </c>
      <c r="F15" s="42">
        <f t="shared" si="7"/>
        <v>1242</v>
      </c>
      <c r="G15" s="44">
        <f t="shared" ref="G15" si="8">SUM(G33+G51)</f>
        <v>1394</v>
      </c>
      <c r="H15" s="153">
        <f>IF('AW Schüler'!$C117=0,"x",C15/'AW Schüler'!$C117)</f>
        <v>0.84193548387096773</v>
      </c>
      <c r="I15" s="153">
        <f>IF('AW Schüler'!$F117=0,"x",D15/'AW Schüler'!$F117)</f>
        <v>0.78698979591836737</v>
      </c>
      <c r="J15" s="153">
        <f>IF('AW Schüler'!$I117=0,"x",E15/'AW Schüler'!$I117)</f>
        <v>0.76310861423220977</v>
      </c>
      <c r="K15" s="153">
        <f>IF('AW Schüler'!$L117=0,"x",F15/'AW Schüler'!$L117)</f>
        <v>0.91863905325443784</v>
      </c>
      <c r="L15" s="154">
        <f>IF('AW Schüler'!$O117=0,"x",G15/'AW Schüler'!$O117)</f>
        <v>0.92195767195767198</v>
      </c>
    </row>
    <row r="16" spans="1:13" ht="9" customHeight="1">
      <c r="A16" s="21" t="s">
        <v>84</v>
      </c>
      <c r="B16" s="120"/>
      <c r="C16" s="42">
        <f t="shared" si="0"/>
        <v>186</v>
      </c>
      <c r="D16" s="42">
        <f t="shared" si="0"/>
        <v>185</v>
      </c>
      <c r="E16" s="42">
        <f t="shared" ref="E16:F16" si="9">SUM(E34+E52)</f>
        <v>182</v>
      </c>
      <c r="F16" s="42">
        <f t="shared" si="9"/>
        <v>176</v>
      </c>
      <c r="G16" s="44">
        <f t="shared" ref="G16" si="10">SUM(G34+G52)</f>
        <v>160</v>
      </c>
      <c r="H16" s="153">
        <f>IF('AW Schüler'!$C118=0,"x",C16/'AW Schüler'!$C118)</f>
        <v>0.47814910025706941</v>
      </c>
      <c r="I16" s="153">
        <f>IF('AW Schüler'!$F118=0,"x",D16/'AW Schüler'!$F118)</f>
        <v>0.40217391304347827</v>
      </c>
      <c r="J16" s="153">
        <f>IF('AW Schüler'!$I118=0,"x",E16/'AW Schüler'!$I118)</f>
        <v>0.30383973288814692</v>
      </c>
      <c r="K16" s="153">
        <f>IF('AW Schüler'!$L118=0,"x",F16/'AW Schüler'!$L118)</f>
        <v>0.14877430262045646</v>
      </c>
      <c r="L16" s="154">
        <f>IF('AW Schüler'!$O118=0,"x",G16/'AW Schüler'!$O118)</f>
        <v>0.11738811445341159</v>
      </c>
    </row>
    <row r="17" spans="1:12" ht="9" customHeight="1">
      <c r="A17" s="21" t="s">
        <v>85</v>
      </c>
      <c r="B17" s="120"/>
      <c r="C17" s="42">
        <f t="shared" si="0"/>
        <v>2933</v>
      </c>
      <c r="D17" s="42">
        <f t="shared" si="0"/>
        <v>4247</v>
      </c>
      <c r="E17" s="42">
        <f t="shared" ref="E17:F17" si="11">SUM(E35+E53)</f>
        <v>4483</v>
      </c>
      <c r="F17" s="42">
        <f t="shared" si="11"/>
        <v>4446</v>
      </c>
      <c r="G17" s="44">
        <f t="shared" ref="G17" si="12">SUM(G35+G53)</f>
        <v>4468</v>
      </c>
      <c r="H17" s="153">
        <f>IF('AW Schüler'!$C119=0,"x",C17/'AW Schüler'!$C119)</f>
        <v>0.61656506201387429</v>
      </c>
      <c r="I17" s="153">
        <f>IF('AW Schüler'!$F119=0,"x",D17/'AW Schüler'!$F119)</f>
        <v>0.81940960833494114</v>
      </c>
      <c r="J17" s="153">
        <f>IF('AW Schüler'!$I119=0,"x",E17/'AW Schüler'!$I119)</f>
        <v>0.87456106125634026</v>
      </c>
      <c r="K17" s="153">
        <f>IF('AW Schüler'!$L119=0,"x",F17/'AW Schüler'!$L119)</f>
        <v>0.89619028421689173</v>
      </c>
      <c r="L17" s="154">
        <f>IF('AW Schüler'!$O119=0,"x",G17/'AW Schüler'!$O119)</f>
        <v>0.90500303828235773</v>
      </c>
    </row>
    <row r="18" spans="1:12" ht="9" customHeight="1">
      <c r="A18" s="21" t="s">
        <v>86</v>
      </c>
      <c r="B18" s="120"/>
      <c r="C18" s="184">
        <f t="shared" si="0"/>
        <v>0</v>
      </c>
      <c r="D18" s="184">
        <f t="shared" si="0"/>
        <v>0</v>
      </c>
      <c r="E18" s="184">
        <f t="shared" ref="E18:F18" si="13">SUM(E36+E54)</f>
        <v>0</v>
      </c>
      <c r="F18" s="184">
        <f t="shared" si="13"/>
        <v>0</v>
      </c>
      <c r="G18" s="185">
        <f t="shared" ref="G18" si="14">SUM(G36+G54)</f>
        <v>0</v>
      </c>
      <c r="H18" s="186">
        <f>IF('AW Schüler'!$C120=0,"x",C18/'AW Schüler'!$C120)</f>
        <v>0</v>
      </c>
      <c r="I18" s="186">
        <f>IF('AW Schüler'!$F120=0,"x",D18/'AW Schüler'!$F120)</f>
        <v>0</v>
      </c>
      <c r="J18" s="186">
        <f>IF('AW Schüler'!$I120=0,"x",E18/'AW Schüler'!$I120)</f>
        <v>0</v>
      </c>
      <c r="K18" s="186">
        <f>IF('AW Schüler'!$L120=0,"x",F18/'AW Schüler'!$L120)</f>
        <v>0</v>
      </c>
      <c r="L18" s="187">
        <f>IF('AW Schüler'!$O120=0,"x",G18/'AW Schüler'!$O120)</f>
        <v>0</v>
      </c>
    </row>
    <row r="19" spans="1:12" ht="9" customHeight="1">
      <c r="A19" s="21" t="s">
        <v>223</v>
      </c>
      <c r="B19" s="120"/>
      <c r="C19" s="42">
        <f t="shared" si="0"/>
        <v>1446</v>
      </c>
      <c r="D19" s="42">
        <f t="shared" si="0"/>
        <v>1672</v>
      </c>
      <c r="E19" s="42">
        <f t="shared" ref="E19:F19" si="15">SUM(E37+E55)</f>
        <v>1672</v>
      </c>
      <c r="F19" s="42">
        <f t="shared" si="15"/>
        <v>1772</v>
      </c>
      <c r="G19" s="44">
        <f t="shared" ref="G19" si="16">SUM(G37+G55)</f>
        <v>2130</v>
      </c>
      <c r="H19" s="153">
        <f>IF('AW Schüler'!$C121=0,"x",C19/'AW Schüler'!$C121)</f>
        <v>0.92455242966751916</v>
      </c>
      <c r="I19" s="153">
        <f>IF('AW Schüler'!$F121=0,"x",D19/'AW Schüler'!$F121)</f>
        <v>0.97265852239674233</v>
      </c>
      <c r="J19" s="153">
        <f>IF('AW Schüler'!$I121=0,"x",E19/'AW Schüler'!$I121)</f>
        <v>0.89555436529191212</v>
      </c>
      <c r="K19" s="153">
        <f>IF('AW Schüler'!$L121=0,"x",F19/'AW Schüler'!$L121)</f>
        <v>0.92774869109947644</v>
      </c>
      <c r="L19" s="154">
        <f>IF('AW Schüler'!$O121=0,"x",G19/'AW Schüler'!$O121)</f>
        <v>0.9967243799719232</v>
      </c>
    </row>
    <row r="20" spans="1:12" ht="9" customHeight="1">
      <c r="A20" s="21" t="s">
        <v>88</v>
      </c>
      <c r="B20" s="120"/>
      <c r="C20" s="184">
        <f t="shared" si="0"/>
        <v>0</v>
      </c>
      <c r="D20" s="184">
        <f t="shared" si="0"/>
        <v>0</v>
      </c>
      <c r="E20" s="184">
        <f t="shared" ref="E20:F20" si="17">SUM(E38+E56)</f>
        <v>0</v>
      </c>
      <c r="F20" s="184">
        <f t="shared" si="17"/>
        <v>0</v>
      </c>
      <c r="G20" s="185">
        <f t="shared" ref="G20" si="18">SUM(G38+G56)</f>
        <v>0</v>
      </c>
      <c r="H20" s="186">
        <f>IF('AW Schüler'!$C122=0,"x",C20/'AW Schüler'!$C122)</f>
        <v>0</v>
      </c>
      <c r="I20" s="186">
        <f>IF('AW Schüler'!$F122=0,"x",D20/'AW Schüler'!$F122)</f>
        <v>0</v>
      </c>
      <c r="J20" s="186">
        <f>IF('AW Schüler'!$I122=0,"x",E20/'AW Schüler'!$I122)</f>
        <v>0</v>
      </c>
      <c r="K20" s="186">
        <f>IF('AW Schüler'!$L122=0,"x",F20/'AW Schüler'!$L122)</f>
        <v>0</v>
      </c>
      <c r="L20" s="187">
        <f>IF('AW Schüler'!$O122=0,"x",G20/'AW Schüler'!$O122)</f>
        <v>0</v>
      </c>
    </row>
    <row r="21" spans="1:12" ht="9" customHeight="1">
      <c r="A21" s="21" t="s">
        <v>89</v>
      </c>
      <c r="B21" s="120"/>
      <c r="C21" s="42">
        <f t="shared" si="0"/>
        <v>5548</v>
      </c>
      <c r="D21" s="42">
        <f t="shared" si="0"/>
        <v>5687</v>
      </c>
      <c r="E21" s="42">
        <f t="shared" ref="E21:F21" si="19">SUM(E39+E57)</f>
        <v>6398</v>
      </c>
      <c r="F21" s="42">
        <f t="shared" si="19"/>
        <v>6980</v>
      </c>
      <c r="G21" s="44">
        <f t="shared" ref="G21" si="20">SUM(G39+G57)</f>
        <v>7709</v>
      </c>
      <c r="H21" s="153">
        <f>IF('AW Schüler'!$C123=0,"x",C21/'AW Schüler'!$C123)</f>
        <v>0.64707254490319566</v>
      </c>
      <c r="I21" s="153">
        <f>IF('AW Schüler'!$F123=0,"x",D21/'AW Schüler'!$F123)</f>
        <v>0.64809116809116807</v>
      </c>
      <c r="J21" s="153">
        <f>IF('AW Schüler'!$I123=0,"x",E21/'AW Schüler'!$I123)</f>
        <v>0.66896695943120033</v>
      </c>
      <c r="K21" s="153">
        <f>IF('AW Schüler'!$L123=0,"x",F21/'AW Schüler'!$L123)</f>
        <v>0.68324197337509784</v>
      </c>
      <c r="L21" s="154">
        <f>IF('AW Schüler'!$O123=0,"x",G21/'AW Schüler'!$O123)</f>
        <v>0.69481748535376298</v>
      </c>
    </row>
    <row r="22" spans="1:12" ht="9" customHeight="1">
      <c r="A22" s="21" t="s">
        <v>90</v>
      </c>
      <c r="B22" s="120"/>
      <c r="C22" s="55">
        <f t="shared" si="0"/>
        <v>217</v>
      </c>
      <c r="D22" s="55">
        <f t="shared" si="0"/>
        <v>308</v>
      </c>
      <c r="E22" s="55">
        <f t="shared" ref="E22:F22" si="21">SUM(E40+E58)</f>
        <v>316</v>
      </c>
      <c r="F22" s="55">
        <f t="shared" si="21"/>
        <v>355</v>
      </c>
      <c r="G22" s="56">
        <f t="shared" ref="G22" si="22">SUM(G40+G58)</f>
        <v>372</v>
      </c>
      <c r="H22" s="153">
        <f>IF('AW Schüler'!$C124=0,"x",C22/'AW Schüler'!$C124)</f>
        <v>0.86111111111111116</v>
      </c>
      <c r="I22" s="153">
        <f>IF('AW Schüler'!$F124=0,"x",D22/'AW Schüler'!$F124)</f>
        <v>1</v>
      </c>
      <c r="J22" s="153">
        <f>IF('AW Schüler'!$I124=0,"x",E22/'AW Schüler'!$I124)</f>
        <v>0.98750000000000004</v>
      </c>
      <c r="K22" s="153">
        <f>IF('AW Schüler'!$L124=0,"x",F22/'AW Schüler'!$L124)</f>
        <v>1</v>
      </c>
      <c r="L22" s="154">
        <f>IF('AW Schüler'!$O124=0,"x",G22/'AW Schüler'!$O124)</f>
        <v>1</v>
      </c>
    </row>
    <row r="23" spans="1:12" ht="9" customHeight="1">
      <c r="A23" s="21" t="s">
        <v>91</v>
      </c>
      <c r="B23" s="120"/>
      <c r="C23" s="42">
        <f t="shared" si="0"/>
        <v>137</v>
      </c>
      <c r="D23" s="42">
        <f t="shared" si="0"/>
        <v>144</v>
      </c>
      <c r="E23" s="42">
        <f t="shared" ref="E23:F23" si="23">SUM(E41+E59)</f>
        <v>147</v>
      </c>
      <c r="F23" s="42">
        <f t="shared" si="23"/>
        <v>159</v>
      </c>
      <c r="G23" s="44">
        <f t="shared" ref="G23" si="24">SUM(G41+G59)</f>
        <v>277</v>
      </c>
      <c r="H23" s="153">
        <f>IF('AW Schüler'!$C125=0,"x",C23/'AW Schüler'!$C125)</f>
        <v>1</v>
      </c>
      <c r="I23" s="153">
        <f>IF('AW Schüler'!$F125=0,"x",D23/'AW Schüler'!$F125)</f>
        <v>0.99310344827586206</v>
      </c>
      <c r="J23" s="153">
        <f>IF('AW Schüler'!$I125=0,"x",E23/'AW Schüler'!$I125)</f>
        <v>0.78609625668449201</v>
      </c>
      <c r="K23" s="153">
        <f>IF('AW Schüler'!$L125=0,"x",F23/'AW Schüler'!$L125)</f>
        <v>0.6489795918367347</v>
      </c>
      <c r="L23" s="154">
        <f>IF('AW Schüler'!$O125=0,"x",G23/'AW Schüler'!$O125)</f>
        <v>0.27263779527559057</v>
      </c>
    </row>
    <row r="24" spans="1:12" ht="9" customHeight="1">
      <c r="A24" s="21" t="s">
        <v>92</v>
      </c>
      <c r="B24" s="120"/>
      <c r="C24" s="149">
        <f t="shared" si="0"/>
        <v>0</v>
      </c>
      <c r="D24" s="149">
        <f t="shared" si="0"/>
        <v>0</v>
      </c>
      <c r="E24" s="149">
        <f t="shared" ref="E24:F24" si="25">SUM(E42+E60)</f>
        <v>0</v>
      </c>
      <c r="F24" s="149">
        <f t="shared" si="25"/>
        <v>0</v>
      </c>
      <c r="G24" s="150">
        <f t="shared" ref="G24" si="26">SUM(G42+G60)</f>
        <v>0</v>
      </c>
      <c r="H24" s="153" t="str">
        <f>IF('AW Schüler'!$C126=0,"x",C24/'AW Schüler'!$C126)</f>
        <v>x</v>
      </c>
      <c r="I24" s="153" t="str">
        <f>IF('AW Schüler'!$F126=0,"x",D24/'AW Schüler'!$F126)</f>
        <v>x</v>
      </c>
      <c r="J24" s="153" t="str">
        <f>IF('AW Schüler'!$I126=0,"x",E24/'AW Schüler'!$I126)</f>
        <v>x</v>
      </c>
      <c r="K24" s="153" t="str">
        <f>IF('AW Schüler'!$L126=0,"x",F24/'AW Schüler'!$L126)</f>
        <v>x</v>
      </c>
      <c r="L24" s="154" t="str">
        <f>IF('AW Schüler'!$O126=0,"x",G24/'AW Schüler'!$O126)</f>
        <v>x</v>
      </c>
    </row>
    <row r="25" spans="1:12" ht="9" customHeight="1">
      <c r="A25" s="21" t="s">
        <v>93</v>
      </c>
      <c r="B25" s="120"/>
      <c r="C25" s="184">
        <f t="shared" si="0"/>
        <v>0</v>
      </c>
      <c r="D25" s="184">
        <f t="shared" si="0"/>
        <v>0</v>
      </c>
      <c r="E25" s="184">
        <f t="shared" ref="E25:F25" si="27">SUM(E43+E61)</f>
        <v>0</v>
      </c>
      <c r="F25" s="184">
        <f t="shared" si="27"/>
        <v>0</v>
      </c>
      <c r="G25" s="185">
        <f t="shared" ref="G25" si="28">SUM(G43+G61)</f>
        <v>0</v>
      </c>
      <c r="H25" s="186">
        <f>IF('AW Schüler'!$C127=0,"x",C25/'AW Schüler'!$C127)</f>
        <v>0</v>
      </c>
      <c r="I25" s="186">
        <f>IF('AW Schüler'!$F127=0,"x",D25/'AW Schüler'!$F127)</f>
        <v>0</v>
      </c>
      <c r="J25" s="186">
        <f>IF('AW Schüler'!$I127=0,"x",E25/'AW Schüler'!$I127)</f>
        <v>0</v>
      </c>
      <c r="K25" s="186">
        <f>IF('AW Schüler'!$L127=0,"x",F25/'AW Schüler'!$L127)</f>
        <v>0</v>
      </c>
      <c r="L25" s="187">
        <f>IF('AW Schüler'!$O127=0,"x",G25/'AW Schüler'!$O127)</f>
        <v>0</v>
      </c>
    </row>
    <row r="26" spans="1:12" ht="9" customHeight="1">
      <c r="A26" s="21" t="s">
        <v>226</v>
      </c>
      <c r="B26" s="120"/>
      <c r="C26" s="42">
        <f t="shared" si="0"/>
        <v>241</v>
      </c>
      <c r="D26" s="42">
        <f t="shared" si="0"/>
        <v>204</v>
      </c>
      <c r="E26" s="42">
        <f t="shared" ref="E26:F26" si="29">SUM(E44+E62)</f>
        <v>595</v>
      </c>
      <c r="F26" s="42">
        <f t="shared" si="29"/>
        <v>590</v>
      </c>
      <c r="G26" s="44">
        <f t="shared" ref="G26" si="30">SUM(G44+G62)</f>
        <v>633</v>
      </c>
      <c r="H26" s="153">
        <f>IF('AW Schüler'!$C128=0,"x",C26/'AW Schüler'!$C128)</f>
        <v>7.4085459575776211E-2</v>
      </c>
      <c r="I26" s="153">
        <f>IF('AW Schüler'!$F128=0,"x",D26/'AW Schüler'!$F128)</f>
        <v>6.2385321100917435E-2</v>
      </c>
      <c r="J26" s="153">
        <f>IF('AW Schüler'!$I128=0,"x",E26/'AW Schüler'!$I128)</f>
        <v>0.1669472502805836</v>
      </c>
      <c r="K26" s="153">
        <f>IF('AW Schüler'!$L128=0,"x",F26/'AW Schüler'!$L128)</f>
        <v>0.16217702034084661</v>
      </c>
      <c r="L26" s="154">
        <f>IF('AW Schüler'!$O128=0,"x",G26/'AW Schüler'!$O128)</f>
        <v>0.16310229322339603</v>
      </c>
    </row>
    <row r="27" spans="1:12" ht="9" customHeight="1">
      <c r="A27" s="21" t="s">
        <v>95</v>
      </c>
      <c r="B27" s="120"/>
      <c r="C27" s="42">
        <f t="shared" si="0"/>
        <v>1418</v>
      </c>
      <c r="D27" s="42">
        <f t="shared" si="0"/>
        <v>1818</v>
      </c>
      <c r="E27" s="42">
        <f t="shared" ref="E27:F27" si="31">SUM(E45+E63)</f>
        <v>2548</v>
      </c>
      <c r="F27" s="42">
        <f t="shared" si="31"/>
        <v>2878</v>
      </c>
      <c r="G27" s="44">
        <f t="shared" ref="G27" si="32">SUM(G45+G63)</f>
        <v>3248</v>
      </c>
      <c r="H27" s="153">
        <f>IF('AW Schüler'!$C129=0,"x",C27/'AW Schüler'!$C129)</f>
        <v>1</v>
      </c>
      <c r="I27" s="153">
        <f>IF('AW Schüler'!$F129=0,"x",D27/'AW Schüler'!$F129)</f>
        <v>1</v>
      </c>
      <c r="J27" s="153">
        <f>IF('AW Schüler'!$I129=0,"x",E27/'AW Schüler'!$I129)</f>
        <v>1</v>
      </c>
      <c r="K27" s="153">
        <f>IF('AW Schüler'!$L129=0,"x",F27/'AW Schüler'!$L129)</f>
        <v>0.97394247038917092</v>
      </c>
      <c r="L27" s="154">
        <f>IF('AW Schüler'!$O129=0,"x",G27/'AW Schüler'!$O129)</f>
        <v>0.91699604743083007</v>
      </c>
    </row>
    <row r="28" spans="1:12" ht="9" customHeight="1">
      <c r="A28" s="21" t="s">
        <v>96</v>
      </c>
      <c r="B28" s="120"/>
      <c r="C28" s="42">
        <f t="shared" si="0"/>
        <v>15883</v>
      </c>
      <c r="D28" s="42">
        <f t="shared" si="0"/>
        <v>18556</v>
      </c>
      <c r="E28" s="42">
        <f t="shared" ref="E28:F28" si="33">SUM(E46+E64)</f>
        <v>21142</v>
      </c>
      <c r="F28" s="42">
        <f t="shared" si="33"/>
        <v>24472</v>
      </c>
      <c r="G28" s="44">
        <f t="shared" ref="G28" si="34">SUM(G46+G64)</f>
        <v>26979</v>
      </c>
      <c r="H28" s="153">
        <f>IF('AW Schüler'!$C130=0,"x",C28/'AW Schüler'!$C130)</f>
        <v>0.57542931671618003</v>
      </c>
      <c r="I28" s="153">
        <f>IF('AW Schüler'!$F130=0,"x",D28/'AW Schüler'!$F130)</f>
        <v>0.61623273113708821</v>
      </c>
      <c r="J28" s="153">
        <f>IF('AW Schüler'!$I130=0,"x",E28/'AW Schüler'!$I130)</f>
        <v>0.63117984236923808</v>
      </c>
      <c r="K28" s="153">
        <f>IF('AW Schüler'!$L130=0,"x",F28/'AW Schüler'!$L130)</f>
        <v>0.67208612545314728</v>
      </c>
      <c r="L28" s="154">
        <f>IF('AW Schüler'!$O130=0,"x",G28/'AW Schüler'!$O130)</f>
        <v>0.66554012383748185</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151">
        <f>[1]GtS!$E$72</f>
        <v>81</v>
      </c>
      <c r="D30" s="151">
        <f>[2]GtS!$E$76</f>
        <v>154</v>
      </c>
      <c r="E30" s="151">
        <f>[3]GtS!$E$76</f>
        <v>417</v>
      </c>
      <c r="F30" s="151">
        <f>[4]GtS!$E$76</f>
        <v>908</v>
      </c>
      <c r="G30" s="152">
        <f>[5]GtS!$E$76</f>
        <v>1225</v>
      </c>
      <c r="H30" s="155">
        <f>IF('AW Schüler'!$C114=0,"x",C30/'AW Schüler'!$C114)</f>
        <v>1</v>
      </c>
      <c r="I30" s="155">
        <f>IF('AW Schüler'!$F114=0,"x",D30/'AW Schüler'!$F114)</f>
        <v>0.44767441860465118</v>
      </c>
      <c r="J30" s="155">
        <f>IF('AW Schüler'!$I114=0,"x",E30/'AW Schüler'!$I114)</f>
        <v>0.58077994428969359</v>
      </c>
      <c r="K30" s="155">
        <f>IF('AW Schüler'!$L114=0,"x",F30/'AW Schüler'!$L114)</f>
        <v>0.81434977578475332</v>
      </c>
      <c r="L30" s="156">
        <f>IF('AW Schüler'!$O114=0,"x",G30/'AW Schüler'!$O114)</f>
        <v>0.72614107883817425</v>
      </c>
    </row>
    <row r="31" spans="1:12" ht="9" customHeight="1">
      <c r="A31" s="21" t="s">
        <v>81</v>
      </c>
      <c r="B31" s="120"/>
      <c r="C31" s="151">
        <f>[6]GtS!$E$72</f>
        <v>0</v>
      </c>
      <c r="D31" s="151">
        <f>[7]GtS!$E$76</f>
        <v>0</v>
      </c>
      <c r="E31" s="151">
        <f>[8]GtS!$E$76</f>
        <v>0</v>
      </c>
      <c r="F31" s="151" t="str">
        <f>[9]GtS!$E$76</f>
        <v xml:space="preserve">                                      -   </v>
      </c>
      <c r="G31" s="152">
        <f>[10]GtS!$E$76</f>
        <v>0</v>
      </c>
      <c r="H31" s="155" t="str">
        <f>IF('AW Schüler'!$C115=0,"x",C31/'AW Schüler'!$C115)</f>
        <v>x</v>
      </c>
      <c r="I31" s="155" t="str">
        <f>IF('AW Schüler'!$F115=0,"x",D31/'AW Schüler'!$F115)</f>
        <v>x</v>
      </c>
      <c r="J31" s="155" t="str">
        <f>IF('AW Schüler'!$I115=0,"x",E31/'AW Schüler'!$I115)</f>
        <v>x</v>
      </c>
      <c r="K31" s="155" t="str">
        <f>IF('AW Schüler'!$L115=0,"x",F31/'AW Schüler'!$L115)</f>
        <v>x</v>
      </c>
      <c r="L31" s="156" t="str">
        <f>IF('AW Schüler'!$O115=0,"x",G31/'AW Schüler'!$O115)</f>
        <v>x</v>
      </c>
    </row>
    <row r="32" spans="1:12" ht="9" customHeight="1">
      <c r="A32" s="21" t="s">
        <v>82</v>
      </c>
      <c r="B32" s="120"/>
      <c r="C32" s="23">
        <f>[11]GtS!$E$72</f>
        <v>1246</v>
      </c>
      <c r="D32" s="23">
        <f>[12]GtS!$E$76</f>
        <v>812</v>
      </c>
      <c r="E32" s="23">
        <f>[13]GtS!$E$76</f>
        <v>1138</v>
      </c>
      <c r="F32" s="23">
        <f>[14]GtS!$E$76</f>
        <v>1545</v>
      </c>
      <c r="G32" s="34">
        <f>[15]GtS!$E$76</f>
        <v>1344</v>
      </c>
      <c r="H32" s="155">
        <f>IF('AW Schüler'!$C116=0,"x",C32/'AW Schüler'!$C116)</f>
        <v>0.19002592649077321</v>
      </c>
      <c r="I32" s="155">
        <f>IF('AW Schüler'!$F116=0,"x",D32/'AW Schüler'!$F116)</f>
        <v>0.11114152751163427</v>
      </c>
      <c r="J32" s="155">
        <f>IF('AW Schüler'!$I116=0,"x",E32/'AW Schüler'!$I116)</f>
        <v>0.14341524889729049</v>
      </c>
      <c r="K32" s="155">
        <f>IF('AW Schüler'!$L116=0,"x",F32/'AW Schüler'!$L116)</f>
        <v>0.18215043621787314</v>
      </c>
      <c r="L32" s="156">
        <f>IF('AW Schüler'!$O116=0,"x",G32/'AW Schüler'!$O116)</f>
        <v>0.14941634241245136</v>
      </c>
    </row>
    <row r="33" spans="1:12" ht="9" customHeight="1">
      <c r="A33" s="21" t="s">
        <v>83</v>
      </c>
      <c r="B33" s="120"/>
      <c r="C33" s="23">
        <f>[16]GtS!$E$72</f>
        <v>522</v>
      </c>
      <c r="D33" s="23">
        <f>[17]GtS!$E$76</f>
        <v>608</v>
      </c>
      <c r="E33" s="23">
        <f>[18]GtS!$E$76</f>
        <v>793</v>
      </c>
      <c r="F33" s="23">
        <f>[19]GtS!$E$76</f>
        <v>1191</v>
      </c>
      <c r="G33" s="34">
        <f>[20]GtS!$E$76</f>
        <v>1359</v>
      </c>
      <c r="H33" s="155">
        <f>IF('AW Schüler'!$C117=0,"x",C33/'AW Schüler'!$C117)</f>
        <v>0.84193548387096773</v>
      </c>
      <c r="I33" s="155">
        <f>IF('AW Schüler'!$F117=0,"x",D33/'AW Schüler'!$F117)</f>
        <v>0.77551020408163263</v>
      </c>
      <c r="J33" s="155">
        <f>IF('AW Schüler'!$I117=0,"x",E33/'AW Schüler'!$I117)</f>
        <v>0.74250936329588013</v>
      </c>
      <c r="K33" s="155">
        <f>IF('AW Schüler'!$L117=0,"x",F33/'AW Schüler'!$L117)</f>
        <v>0.88091715976331364</v>
      </c>
      <c r="L33" s="156">
        <f>IF('AW Schüler'!$O117=0,"x",G33/'AW Schüler'!$O117)</f>
        <v>0.89880952380952384</v>
      </c>
    </row>
    <row r="34" spans="1:12" ht="9" customHeight="1">
      <c r="A34" s="21" t="s">
        <v>84</v>
      </c>
      <c r="B34" s="120"/>
      <c r="C34" s="23">
        <f>[21]GtS!$E$72</f>
        <v>167</v>
      </c>
      <c r="D34" s="23">
        <f>[22]GtS!$E$76</f>
        <v>171</v>
      </c>
      <c r="E34" s="23">
        <f>[23]GtS!$E$76</f>
        <v>171</v>
      </c>
      <c r="F34" s="23">
        <f>[24]GtS!$E$76</f>
        <v>165</v>
      </c>
      <c r="G34" s="34">
        <f>[25]GtS!$E$76</f>
        <v>160</v>
      </c>
      <c r="H34" s="155">
        <f>IF('AW Schüler'!$C118=0,"x",C34/'AW Schüler'!$C118)</f>
        <v>0.42930591259640105</v>
      </c>
      <c r="I34" s="155">
        <f>IF('AW Schüler'!$F118=0,"x",D34/'AW Schüler'!$F118)</f>
        <v>0.37173913043478263</v>
      </c>
      <c r="J34" s="155">
        <f>IF('AW Schüler'!$I118=0,"x",E34/'AW Schüler'!$I118)</f>
        <v>0.28547579298831388</v>
      </c>
      <c r="K34" s="155">
        <f>IF('AW Schüler'!$L118=0,"x",F34/'AW Schüler'!$L118)</f>
        <v>0.13947590870667795</v>
      </c>
      <c r="L34" s="156">
        <f>IF('AW Schüler'!$O118=0,"x",G34/'AW Schüler'!$O118)</f>
        <v>0.11738811445341159</v>
      </c>
    </row>
    <row r="35" spans="1:12" ht="9" customHeight="1">
      <c r="A35" s="21" t="s">
        <v>85</v>
      </c>
      <c r="B35" s="120"/>
      <c r="C35" s="23">
        <f>[26]GtS!$E$72</f>
        <v>1580</v>
      </c>
      <c r="D35" s="23">
        <f>[27]GtS!$E$76</f>
        <v>1460</v>
      </c>
      <c r="E35" s="23">
        <f>[28]GtS!$E$76</f>
        <v>1492</v>
      </c>
      <c r="F35" s="23">
        <f>[29]GtS!$E$76</f>
        <v>1492</v>
      </c>
      <c r="G35" s="34">
        <f>[30]GtS!$E$76</f>
        <v>1234</v>
      </c>
      <c r="H35" s="155">
        <f>IF('AW Schüler'!$C119=0,"x",C35/'AW Schüler'!$C119)</f>
        <v>0.33214210636956065</v>
      </c>
      <c r="I35" s="155">
        <f>IF('AW Schüler'!$F119=0,"x",D35/'AW Schüler'!$F119)</f>
        <v>0.28169014084507044</v>
      </c>
      <c r="J35" s="155">
        <f>IF('AW Schüler'!$I119=0,"x",E35/'AW Schüler'!$I119)</f>
        <v>0.29106515801794774</v>
      </c>
      <c r="K35" s="155">
        <f>IF('AW Schüler'!$L119=0,"x",F35/'AW Schüler'!$L119)</f>
        <v>0.30074581737552913</v>
      </c>
      <c r="L35" s="156">
        <f>IF('AW Schüler'!$O119=0,"x",G35/'AW Schüler'!$O119)</f>
        <v>0.24994936196070489</v>
      </c>
    </row>
    <row r="36" spans="1:12" ht="9" customHeight="1">
      <c r="A36" s="21" t="s">
        <v>86</v>
      </c>
      <c r="B36" s="120"/>
      <c r="C36" s="124">
        <f>[66]GtS!$E$72</f>
        <v>0</v>
      </c>
      <c r="D36" s="124">
        <f>[67]GtS!$E$76</f>
        <v>0</v>
      </c>
      <c r="E36" s="124">
        <f>[68]GtS!$E$76</f>
        <v>0</v>
      </c>
      <c r="F36" s="124">
        <f>[69]GtS!$E$76</f>
        <v>0</v>
      </c>
      <c r="G36" s="188">
        <f>[70]GtS!$E$76</f>
        <v>0</v>
      </c>
      <c r="H36" s="189">
        <f>IF('AW Schüler'!$C120=0,"x",C36/'AW Schüler'!$C120)</f>
        <v>0</v>
      </c>
      <c r="I36" s="189">
        <f>IF('AW Schüler'!$F120=0,"x",D36/'AW Schüler'!$F120)</f>
        <v>0</v>
      </c>
      <c r="J36" s="189">
        <f>IF('AW Schüler'!$I120=0,"x",E36/'AW Schüler'!$I120)</f>
        <v>0</v>
      </c>
      <c r="K36" s="189">
        <f>IF('AW Schüler'!$L120=0,"x",F36/'AW Schüler'!$L120)</f>
        <v>0</v>
      </c>
      <c r="L36" s="190">
        <f>IF('AW Schüler'!$O120=0,"x",G36/'AW Schüler'!$O120)</f>
        <v>0</v>
      </c>
    </row>
    <row r="37" spans="1:12" ht="9" customHeight="1">
      <c r="A37" s="21" t="s">
        <v>223</v>
      </c>
      <c r="B37" s="120"/>
      <c r="C37" s="23">
        <f>[31]GtS!$E$72</f>
        <v>1176</v>
      </c>
      <c r="D37" s="23">
        <f>[32]GtS!$E$76</f>
        <v>1357</v>
      </c>
      <c r="E37" s="23">
        <f>[33]GtS!$E$76</f>
        <v>1357</v>
      </c>
      <c r="F37" s="23">
        <f>[34]GtS!$E$76</f>
        <v>1496</v>
      </c>
      <c r="G37" s="34">
        <f>[35]GtS!$E$76</f>
        <v>1871</v>
      </c>
      <c r="H37" s="155">
        <f>IF('AW Schüler'!$C121=0,"x",C37/'AW Schüler'!$C121)</f>
        <v>0.75191815856777489</v>
      </c>
      <c r="I37" s="155">
        <f>IF('AW Schüler'!$F121=0,"x",D37/'AW Schüler'!$F121)</f>
        <v>0.78941244909831298</v>
      </c>
      <c r="J37" s="155">
        <f>IF('AW Schüler'!$I121=0,"x",E37/'AW Schüler'!$I121)</f>
        <v>0.72683449384038568</v>
      </c>
      <c r="K37" s="155">
        <f>IF('AW Schüler'!$L121=0,"x",F37/'AW Schüler'!$L121)</f>
        <v>0.78324607329842932</v>
      </c>
      <c r="L37" s="156">
        <f>IF('AW Schüler'!$O121=0,"x",G37/'AW Schüler'!$O121)</f>
        <v>0.87552643893308379</v>
      </c>
    </row>
    <row r="38" spans="1:12" ht="9" customHeight="1">
      <c r="A38" s="21" t="s">
        <v>88</v>
      </c>
      <c r="B38" s="120"/>
      <c r="C38" s="124">
        <f>[71]GtS!$E$72</f>
        <v>0</v>
      </c>
      <c r="D38" s="124">
        <f>[72]GtS!$E$76</f>
        <v>0</v>
      </c>
      <c r="E38" s="124">
        <f>[73]GtS!$E$76</f>
        <v>0</v>
      </c>
      <c r="F38" s="124">
        <f>[74]GtS!$E$76</f>
        <v>0</v>
      </c>
      <c r="G38" s="188">
        <f>[75]GtS!$E$76</f>
        <v>0</v>
      </c>
      <c r="H38" s="189">
        <f>IF('AW Schüler'!$C122=0,"x",C38/'AW Schüler'!$C122)</f>
        <v>0</v>
      </c>
      <c r="I38" s="189">
        <f>IF('AW Schüler'!$F122=0,"x",D38/'AW Schüler'!$F122)</f>
        <v>0</v>
      </c>
      <c r="J38" s="189">
        <f>IF('AW Schüler'!$I122=0,"x",E38/'AW Schüler'!$I122)</f>
        <v>0</v>
      </c>
      <c r="K38" s="189">
        <f>IF('AW Schüler'!$L122=0,"x",F38/'AW Schüler'!$L122)</f>
        <v>0</v>
      </c>
      <c r="L38" s="190">
        <f>IF('AW Schüler'!$O122=0,"x",G38/'AW Schüler'!$O122)</f>
        <v>0</v>
      </c>
    </row>
    <row r="39" spans="1:12" ht="9" customHeight="1">
      <c r="A39" s="21" t="s">
        <v>89</v>
      </c>
      <c r="B39" s="120"/>
      <c r="C39" s="23">
        <f>[36]GtS!$E$72</f>
        <v>5548</v>
      </c>
      <c r="D39" s="23">
        <f>[37]GtS!$E$76</f>
        <v>5687</v>
      </c>
      <c r="E39" s="23">
        <f>[38]GtS!$E$76</f>
        <v>6398</v>
      </c>
      <c r="F39" s="23">
        <f>[39]GtS!$E$76</f>
        <v>6980</v>
      </c>
      <c r="G39" s="34">
        <f>[40]GtS!$E$76</f>
        <v>7709</v>
      </c>
      <c r="H39" s="155">
        <f>IF('AW Schüler'!$C123=0,"x",C39/'AW Schüler'!$C123)</f>
        <v>0.64707254490319566</v>
      </c>
      <c r="I39" s="155">
        <f>IF('AW Schüler'!$F123=0,"x",D39/'AW Schüler'!$F123)</f>
        <v>0.64809116809116807</v>
      </c>
      <c r="J39" s="155">
        <f>IF('AW Schüler'!$I123=0,"x",E39/'AW Schüler'!$I123)</f>
        <v>0.66896695943120033</v>
      </c>
      <c r="K39" s="155">
        <f>IF('AW Schüler'!$L123=0,"x",F39/'AW Schüler'!$L123)</f>
        <v>0.68324197337509784</v>
      </c>
      <c r="L39" s="156">
        <f>IF('AW Schüler'!$O123=0,"x",G39/'AW Schüler'!$O123)</f>
        <v>0.69481748535376298</v>
      </c>
    </row>
    <row r="40" spans="1:12" ht="9" customHeight="1">
      <c r="A40" s="21" t="s">
        <v>90</v>
      </c>
      <c r="B40" s="120"/>
      <c r="C40" s="36">
        <f>[41]GtS!$E$72</f>
        <v>217</v>
      </c>
      <c r="D40" s="36">
        <f>[42]GtS!$E$76</f>
        <v>308</v>
      </c>
      <c r="E40" s="36">
        <f>[43]GtS!$E$76</f>
        <v>316</v>
      </c>
      <c r="F40" s="36">
        <f>[44]GtS!$E$76</f>
        <v>355</v>
      </c>
      <c r="G40" s="37">
        <f>[45]GtS!$E$76</f>
        <v>372</v>
      </c>
      <c r="H40" s="155">
        <f>IF('AW Schüler'!$C124=0,"x",C40/'AW Schüler'!$C124)</f>
        <v>0.86111111111111116</v>
      </c>
      <c r="I40" s="155">
        <f>IF('AW Schüler'!$F124=0,"x",D40/'AW Schüler'!$F124)</f>
        <v>1</v>
      </c>
      <c r="J40" s="155">
        <f>IF('AW Schüler'!$I124=0,"x",E40/'AW Schüler'!$I124)</f>
        <v>0.98750000000000004</v>
      </c>
      <c r="K40" s="155">
        <f>IF('AW Schüler'!$L124=0,"x",F40/'AW Schüler'!$L124)</f>
        <v>1</v>
      </c>
      <c r="L40" s="156">
        <f>IF('AW Schüler'!$O124=0,"x",G40/'AW Schüler'!$O124)</f>
        <v>1</v>
      </c>
    </row>
    <row r="41" spans="1:12" ht="9" customHeight="1">
      <c r="A41" s="21" t="s">
        <v>91</v>
      </c>
      <c r="B41" s="120"/>
      <c r="C41" s="23">
        <f>[46]GtS!$E$72</f>
        <v>137</v>
      </c>
      <c r="D41" s="23">
        <f>[47]GtS!$E$76</f>
        <v>144</v>
      </c>
      <c r="E41" s="23">
        <f>[48]GtS!$E$76</f>
        <v>147</v>
      </c>
      <c r="F41" s="23">
        <f>[49]GtS!$E$76</f>
        <v>159</v>
      </c>
      <c r="G41" s="34">
        <f>[50]GtS!$E$76</f>
        <v>189</v>
      </c>
      <c r="H41" s="155">
        <f>IF('AW Schüler'!$C125=0,"x",C41/'AW Schüler'!$C125)</f>
        <v>1</v>
      </c>
      <c r="I41" s="155">
        <f>IF('AW Schüler'!$F125=0,"x",D41/'AW Schüler'!$F125)</f>
        <v>0.99310344827586206</v>
      </c>
      <c r="J41" s="155">
        <f>IF('AW Schüler'!$I125=0,"x",E41/'AW Schüler'!$I125)</f>
        <v>0.78609625668449201</v>
      </c>
      <c r="K41" s="155">
        <f>IF('AW Schüler'!$L125=0,"x",F41/'AW Schüler'!$L125)</f>
        <v>0.6489795918367347</v>
      </c>
      <c r="L41" s="156">
        <f>IF('AW Schüler'!$O125=0,"x",G41/'AW Schüler'!$O125)</f>
        <v>0.1860236220472441</v>
      </c>
    </row>
    <row r="42" spans="1:12" ht="9" customHeight="1">
      <c r="A42" s="21" t="s">
        <v>92</v>
      </c>
      <c r="B42" s="120"/>
      <c r="C42" s="151">
        <f>[51]GtS!$E$72</f>
        <v>0</v>
      </c>
      <c r="D42" s="151">
        <f>[52]GtS!$E$76</f>
        <v>0</v>
      </c>
      <c r="E42" s="151">
        <f>[53]GtS!$E$76</f>
        <v>0</v>
      </c>
      <c r="F42" s="151">
        <f>[54]GtS!$E$76</f>
        <v>0</v>
      </c>
      <c r="G42" s="152">
        <f>[55]GtS!$E$76</f>
        <v>0</v>
      </c>
      <c r="H42" s="155" t="str">
        <f>IF('AW Schüler'!$C126=0,"x",C42/'AW Schüler'!$C126)</f>
        <v>x</v>
      </c>
      <c r="I42" s="155" t="str">
        <f>IF('AW Schüler'!$F126=0,"x",D42/'AW Schüler'!$F126)</f>
        <v>x</v>
      </c>
      <c r="J42" s="155" t="str">
        <f>IF('AW Schüler'!$I126=0,"x",E42/'AW Schüler'!$I126)</f>
        <v>x</v>
      </c>
      <c r="K42" s="155" t="str">
        <f>IF('AW Schüler'!$L126=0,"x",F42/'AW Schüler'!$L126)</f>
        <v>x</v>
      </c>
      <c r="L42" s="156" t="str">
        <f>IF('AW Schüler'!$O126=0,"x",G42/'AW Schüler'!$O126)</f>
        <v>x</v>
      </c>
    </row>
    <row r="43" spans="1:12" ht="9" customHeight="1">
      <c r="A43" s="21" t="s">
        <v>93</v>
      </c>
      <c r="B43" s="120"/>
      <c r="C43" s="124">
        <f>[76]GtS!$E$72</f>
        <v>0</v>
      </c>
      <c r="D43" s="124">
        <f>[77]GtS!$E$76</f>
        <v>0</v>
      </c>
      <c r="E43" s="124">
        <f>[78]GtS!$E$76</f>
        <v>0</v>
      </c>
      <c r="F43" s="124">
        <f>[79]GtS!$E$76</f>
        <v>0</v>
      </c>
      <c r="G43" s="188">
        <f>[80]GtS!$E$76</f>
        <v>0</v>
      </c>
      <c r="H43" s="189">
        <f>IF('AW Schüler'!$C127=0,"x",C43/'AW Schüler'!$C127)</f>
        <v>0</v>
      </c>
      <c r="I43" s="189">
        <f>IF('AW Schüler'!$F127=0,"x",D43/'AW Schüler'!$F127)</f>
        <v>0</v>
      </c>
      <c r="J43" s="189">
        <f>IF('AW Schüler'!$I127=0,"x",E43/'AW Schüler'!$I127)</f>
        <v>0</v>
      </c>
      <c r="K43" s="189">
        <f>IF('AW Schüler'!$L127=0,"x",F43/'AW Schüler'!$L127)</f>
        <v>0</v>
      </c>
      <c r="L43" s="190">
        <f>IF('AW Schüler'!$O127=0,"x",G43/'AW Schüler'!$O127)</f>
        <v>0</v>
      </c>
    </row>
    <row r="44" spans="1:12" ht="9" customHeight="1">
      <c r="A44" s="21" t="s">
        <v>226</v>
      </c>
      <c r="B44" s="120"/>
      <c r="C44" s="23">
        <f>[56]GtS!$E$72</f>
        <v>0</v>
      </c>
      <c r="D44" s="23">
        <f>[57]GtS!$E$76</f>
        <v>0</v>
      </c>
      <c r="E44" s="23">
        <f>[58]GtS!$E$76</f>
        <v>0</v>
      </c>
      <c r="F44" s="23">
        <f>[59]GtS!$E$76</f>
        <v>0</v>
      </c>
      <c r="G44" s="34">
        <f>[60]GtS!$E$76</f>
        <v>0</v>
      </c>
      <c r="H44" s="155">
        <f>IF('AW Schüler'!$C128=0,"x",C44/'AW Schüler'!$C128)</f>
        <v>0</v>
      </c>
      <c r="I44" s="155">
        <f>IF('AW Schüler'!$F128=0,"x",D44/'AW Schüler'!$F128)</f>
        <v>0</v>
      </c>
      <c r="J44" s="155">
        <f>IF('AW Schüler'!$I128=0,"x",E44/'AW Schüler'!$I128)</f>
        <v>0</v>
      </c>
      <c r="K44" s="155">
        <f>IF('AW Schüler'!$L128=0,"x",F44/'AW Schüler'!$L128)</f>
        <v>0</v>
      </c>
      <c r="L44" s="156">
        <f>IF('AW Schüler'!$O128=0,"x",G44/'AW Schüler'!$O128)</f>
        <v>0</v>
      </c>
    </row>
    <row r="45" spans="1:12" ht="9" customHeight="1">
      <c r="A45" s="21" t="s">
        <v>95</v>
      </c>
      <c r="B45" s="120"/>
      <c r="C45" s="23">
        <f>[61]GtS!$E$72</f>
        <v>1418</v>
      </c>
      <c r="D45" s="23">
        <f>[62]GtS!$E$76</f>
        <v>1818</v>
      </c>
      <c r="E45" s="23">
        <f>[63]GtS!$E$76</f>
        <v>2323</v>
      </c>
      <c r="F45" s="23">
        <f>[64]GtS!$E$76</f>
        <v>2620</v>
      </c>
      <c r="G45" s="34">
        <f>[65]GtS!$E$76</f>
        <v>3122</v>
      </c>
      <c r="H45" s="155">
        <f>IF('AW Schüler'!$C129=0,"x",C45/'AW Schüler'!$C129)</f>
        <v>1</v>
      </c>
      <c r="I45" s="155">
        <f>IF('AW Schüler'!$F129=0,"x",D45/'AW Schüler'!$F129)</f>
        <v>1</v>
      </c>
      <c r="J45" s="155">
        <f>IF('AW Schüler'!$I129=0,"x",E45/'AW Schüler'!$I129)</f>
        <v>0.91169544740973307</v>
      </c>
      <c r="K45" s="155">
        <f>IF('AW Schüler'!$L129=0,"x",F45/'AW Schüler'!$L129)</f>
        <v>0.88663282571912017</v>
      </c>
      <c r="L45" s="156">
        <f>IF('AW Schüler'!$O129=0,"x",G45/'AW Schüler'!$O129)</f>
        <v>0.88142292490118579</v>
      </c>
    </row>
    <row r="46" spans="1:12" ht="9" customHeight="1">
      <c r="A46" s="21" t="s">
        <v>96</v>
      </c>
      <c r="B46" s="120"/>
      <c r="C46" s="23">
        <f>SUM(C30:C45)</f>
        <v>12092</v>
      </c>
      <c r="D46" s="23">
        <f>SUM(D30:D45)</f>
        <v>12519</v>
      </c>
      <c r="E46" s="23">
        <f>SUM(E30:E45)</f>
        <v>14552</v>
      </c>
      <c r="F46" s="23">
        <f>SUM(F30:F45)</f>
        <v>16911</v>
      </c>
      <c r="G46" s="34">
        <f>SUM(G30:G45)</f>
        <v>18585</v>
      </c>
      <c r="H46" s="155">
        <f>IF('AW Schüler'!$C130=0,"x",C46/'AW Schüler'!$C130)</f>
        <v>0.43808419679733351</v>
      </c>
      <c r="I46" s="155">
        <f>IF('AW Schüler'!$F130=0,"x",D46/'AW Schüler'!$F130)</f>
        <v>0.41574787460148777</v>
      </c>
      <c r="J46" s="155">
        <f>IF('AW Schüler'!$I130=0,"x",E46/'AW Schüler'!$I130)</f>
        <v>0.43443993312634344</v>
      </c>
      <c r="K46" s="155">
        <f>IF('AW Schüler'!$L130=0,"x",F46/'AW Schüler'!$L130)</f>
        <v>0.46443480171372076</v>
      </c>
      <c r="L46" s="156">
        <f>IF('AW Schüler'!$O130=0,"x",G46/'AW Schüler'!$O130)</f>
        <v>0.45847003971680195</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[1]GtS!$H$72</f>
        <v>0</v>
      </c>
      <c r="D48" s="23">
        <f>[2]GtS!$H$76</f>
        <v>99</v>
      </c>
      <c r="E48" s="23">
        <f>[3]GtS!$H$76</f>
        <v>96</v>
      </c>
      <c r="F48" s="23">
        <f>[4]GtS!$H$76</f>
        <v>0</v>
      </c>
      <c r="G48" s="34">
        <f>[5]GtS!$H$76</f>
        <v>0</v>
      </c>
      <c r="H48" s="155">
        <f>IF('AW Schüler'!$C114=0,"x",C48/'AW Schüler'!$C114)</f>
        <v>0</v>
      </c>
      <c r="I48" s="155">
        <f>IF('AW Schüler'!$F114=0,"x",D48/'AW Schüler'!$F114)</f>
        <v>0.28779069767441862</v>
      </c>
      <c r="J48" s="155">
        <f>IF('AW Schüler'!$I114=0,"x",E48/'AW Schüler'!$I114)</f>
        <v>0.13370473537604458</v>
      </c>
      <c r="K48" s="155">
        <f>IF('AW Schüler'!$L114=0,"x",F48/'AW Schüler'!$L114)</f>
        <v>0</v>
      </c>
      <c r="L48" s="156">
        <f>IF('AW Schüler'!$O114=0,"x",G48/'AW Schüler'!$O114)</f>
        <v>0</v>
      </c>
    </row>
    <row r="49" spans="1:12" ht="9" customHeight="1">
      <c r="A49" s="21" t="s">
        <v>81</v>
      </c>
      <c r="B49" s="120"/>
      <c r="C49" s="151">
        <f>[6]GtS!$H$72</f>
        <v>0</v>
      </c>
      <c r="D49" s="151">
        <f>[7]GtS!$H$76</f>
        <v>0</v>
      </c>
      <c r="E49" s="151">
        <f>[8]GtS!$H$76</f>
        <v>0</v>
      </c>
      <c r="F49" s="151" t="str">
        <f>[9]GtS!$H$76</f>
        <v xml:space="preserve">                                      -   </v>
      </c>
      <c r="G49" s="152">
        <f>[10]GtS!$H$76</f>
        <v>0</v>
      </c>
      <c r="H49" s="155" t="str">
        <f>IF('AW Schüler'!$C115=0,"x",C49/'AW Schüler'!$C115)</f>
        <v>x</v>
      </c>
      <c r="I49" s="155" t="str">
        <f>IF('AW Schüler'!$F115=0,"x",D49/'AW Schüler'!$F115)</f>
        <v>x</v>
      </c>
      <c r="J49" s="155" t="str">
        <f>IF('AW Schüler'!$I115=0,"x",E49/'AW Schüler'!$I115)</f>
        <v>x</v>
      </c>
      <c r="K49" s="155" t="str">
        <f>IF('AW Schüler'!$L115=0,"x",F49/'AW Schüler'!$L115)</f>
        <v>x</v>
      </c>
      <c r="L49" s="156" t="str">
        <f>IF('AW Schüler'!$O115=0,"x",G49/'AW Schüler'!$O115)</f>
        <v>x</v>
      </c>
    </row>
    <row r="50" spans="1:12" ht="9" customHeight="1">
      <c r="A50" s="21" t="s">
        <v>82</v>
      </c>
      <c r="B50" s="120"/>
      <c r="C50" s="23">
        <f>[11]GtS!$H$72</f>
        <v>1908</v>
      </c>
      <c r="D50" s="23">
        <f>[12]GtS!$H$76</f>
        <v>2609</v>
      </c>
      <c r="E50" s="23">
        <f>[13]GtS!$H$76</f>
        <v>2335</v>
      </c>
      <c r="F50" s="23">
        <f>[14]GtS!$H$76</f>
        <v>3421</v>
      </c>
      <c r="G50" s="34">
        <f>[15]GtS!$H$76</f>
        <v>4019</v>
      </c>
      <c r="H50" s="155">
        <f>IF('AW Schüler'!$C116=0,"x",C50/'AW Schüler'!$C116)</f>
        <v>0.2909867317370749</v>
      </c>
      <c r="I50" s="155">
        <f>IF('AW Schüler'!$F116=0,"x",D50/'AW Schüler'!$F116)</f>
        <v>0.3571037503421845</v>
      </c>
      <c r="J50" s="155">
        <f>IF('AW Schüler'!$I116=0,"x",E50/'AW Schüler'!$I116)</f>
        <v>0.29426591052299939</v>
      </c>
      <c r="K50" s="155">
        <f>IF('AW Schüler'!$L116=0,"x",F50/'AW Schüler'!$L116)</f>
        <v>0.40332468757368545</v>
      </c>
      <c r="L50" s="156">
        <f>IF('AW Schüler'!$O116=0,"x",G50/'AW Schüler'!$O116)</f>
        <v>0.44680377987770986</v>
      </c>
    </row>
    <row r="51" spans="1:12" ht="9" customHeight="1">
      <c r="A51" s="21" t="s">
        <v>83</v>
      </c>
      <c r="B51" s="120"/>
      <c r="C51" s="23">
        <f>[16]GtS!$H$72</f>
        <v>0</v>
      </c>
      <c r="D51" s="23">
        <f>[17]GtS!$H$76</f>
        <v>9</v>
      </c>
      <c r="E51" s="23">
        <f>[18]GtS!$H$76</f>
        <v>22</v>
      </c>
      <c r="F51" s="23">
        <f>[19]GtS!$H$76</f>
        <v>51</v>
      </c>
      <c r="G51" s="34">
        <f>[20]GtS!$H$76</f>
        <v>35</v>
      </c>
      <c r="H51" s="155">
        <f>IF('AW Schüler'!$C117=0,"x",C51/'AW Schüler'!$C117)</f>
        <v>0</v>
      </c>
      <c r="I51" s="155">
        <f>IF('AW Schüler'!$F117=0,"x",D51/'AW Schüler'!$F117)</f>
        <v>1.1479591836734694E-2</v>
      </c>
      <c r="J51" s="155">
        <f>IF('AW Schüler'!$I117=0,"x",E51/'AW Schüler'!$I117)</f>
        <v>2.0599250936329586E-2</v>
      </c>
      <c r="K51" s="155">
        <f>IF('AW Schüler'!$L117=0,"x",F51/'AW Schüler'!$L117)</f>
        <v>3.7721893491124259E-2</v>
      </c>
      <c r="L51" s="156">
        <f>IF('AW Schüler'!$O117=0,"x",G51/'AW Schüler'!$O117)</f>
        <v>2.3148148148148147E-2</v>
      </c>
    </row>
    <row r="52" spans="1:12" ht="9" customHeight="1">
      <c r="A52" s="21" t="s">
        <v>84</v>
      </c>
      <c r="B52" s="120"/>
      <c r="C52" s="23">
        <f>[21]GtS!$H$72</f>
        <v>19</v>
      </c>
      <c r="D52" s="23">
        <f>[22]GtS!$H$76</f>
        <v>14</v>
      </c>
      <c r="E52" s="23">
        <f>[23]GtS!$H$76</f>
        <v>11</v>
      </c>
      <c r="F52" s="23">
        <f>[24]GtS!$H$76</f>
        <v>11</v>
      </c>
      <c r="G52" s="34">
        <f>[25]GtS!$H$76</f>
        <v>0</v>
      </c>
      <c r="H52" s="155">
        <f>IF('AW Schüler'!$C118=0,"x",C52/'AW Schüler'!$C118)</f>
        <v>4.8843187660668377E-2</v>
      </c>
      <c r="I52" s="155">
        <f>IF('AW Schüler'!$F118=0,"x",D52/'AW Schüler'!$F118)</f>
        <v>3.0434782608695653E-2</v>
      </c>
      <c r="J52" s="155">
        <f>IF('AW Schüler'!$I118=0,"x",E52/'AW Schüler'!$I118)</f>
        <v>1.8363939899833055E-2</v>
      </c>
      <c r="K52" s="155">
        <f>IF('AW Schüler'!$L118=0,"x",F52/'AW Schüler'!$L118)</f>
        <v>9.2983939137785288E-3</v>
      </c>
      <c r="L52" s="156">
        <f>IF('AW Schüler'!$O118=0,"x",G52/'AW Schüler'!$O118)</f>
        <v>0</v>
      </c>
    </row>
    <row r="53" spans="1:12" ht="9" customHeight="1">
      <c r="A53" s="21" t="s">
        <v>85</v>
      </c>
      <c r="B53" s="120"/>
      <c r="C53" s="23">
        <f>[26]GtS!$H$72</f>
        <v>1353</v>
      </c>
      <c r="D53" s="23">
        <f>[27]GtS!$H$76</f>
        <v>2787</v>
      </c>
      <c r="E53" s="23">
        <f>[28]GtS!$H$76</f>
        <v>2991</v>
      </c>
      <c r="F53" s="23">
        <f>[29]GtS!$H$76</f>
        <v>2954</v>
      </c>
      <c r="G53" s="34">
        <f>[30]GtS!$H$76</f>
        <v>3234</v>
      </c>
      <c r="H53" s="155">
        <f>IF('AW Schüler'!$C119=0,"x",C53/'AW Schüler'!$C119)</f>
        <v>0.28442295564431364</v>
      </c>
      <c r="I53" s="155">
        <f>IF('AW Schüler'!$F119=0,"x",D53/'AW Schüler'!$F119)</f>
        <v>0.53771946748987076</v>
      </c>
      <c r="J53" s="155">
        <f>IF('AW Schüler'!$I119=0,"x",E53/'AW Schüler'!$I119)</f>
        <v>0.58349590323839251</v>
      </c>
      <c r="K53" s="155">
        <f>IF('AW Schüler'!$L119=0,"x",F53/'AW Schüler'!$L119)</f>
        <v>0.59544446684136265</v>
      </c>
      <c r="L53" s="156">
        <f>IF('AW Schüler'!$O119=0,"x",G53/'AW Schüler'!$O119)</f>
        <v>0.65505367632165279</v>
      </c>
    </row>
    <row r="54" spans="1:12" ht="9" customHeight="1">
      <c r="A54" s="21" t="s">
        <v>86</v>
      </c>
      <c r="B54" s="120"/>
      <c r="C54" s="124">
        <f>[66]GtS!$H$72</f>
        <v>0</v>
      </c>
      <c r="D54" s="124">
        <f>[67]GtS!$H$76</f>
        <v>0</v>
      </c>
      <c r="E54" s="124">
        <f>[68]GtS!$H$76</f>
        <v>0</v>
      </c>
      <c r="F54" s="124">
        <f>[69]GtS!$H$76</f>
        <v>0</v>
      </c>
      <c r="G54" s="188">
        <f>[70]GtS!$H$76</f>
        <v>0</v>
      </c>
      <c r="H54" s="189">
        <f>IF('AW Schüler'!$C120=0,"x",C54/'AW Schüler'!$C120)</f>
        <v>0</v>
      </c>
      <c r="I54" s="189">
        <f>IF('AW Schüler'!$F120=0,"x",D54/'AW Schüler'!$F120)</f>
        <v>0</v>
      </c>
      <c r="J54" s="189">
        <f>IF('AW Schüler'!$I120=0,"x",E54/'AW Schüler'!$I120)</f>
        <v>0</v>
      </c>
      <c r="K54" s="189">
        <f>IF('AW Schüler'!$L120=0,"x",F54/'AW Schüler'!$L120)</f>
        <v>0</v>
      </c>
      <c r="L54" s="190">
        <f>IF('AW Schüler'!$O120=0,"x",G54/'AW Schüler'!$O120)</f>
        <v>0</v>
      </c>
    </row>
    <row r="55" spans="1:12" ht="9" customHeight="1">
      <c r="A55" s="21" t="s">
        <v>223</v>
      </c>
      <c r="B55" s="120"/>
      <c r="C55" s="23">
        <f>[31]GtS!$H$72</f>
        <v>270</v>
      </c>
      <c r="D55" s="23">
        <f>[32]GtS!$H$76</f>
        <v>315</v>
      </c>
      <c r="E55" s="23">
        <f>[33]GtS!$H$76</f>
        <v>315</v>
      </c>
      <c r="F55" s="23">
        <f>[34]GtS!$H$76</f>
        <v>276</v>
      </c>
      <c r="G55" s="34">
        <f>[35]GtS!$H$76</f>
        <v>259</v>
      </c>
      <c r="H55" s="155">
        <f>IF('AW Schüler'!$C121=0,"x",C55/'AW Schüler'!$C121)</f>
        <v>0.17263427109974425</v>
      </c>
      <c r="I55" s="155">
        <f>IF('AW Schüler'!$F121=0,"x",D55/'AW Schüler'!$F121)</f>
        <v>0.18324607329842932</v>
      </c>
      <c r="J55" s="155">
        <f>IF('AW Schüler'!$I121=0,"x",E55/'AW Schüler'!$I121)</f>
        <v>0.1687198714515265</v>
      </c>
      <c r="K55" s="155">
        <f>IF('AW Schüler'!$L121=0,"x",F55/'AW Schüler'!$L121)</f>
        <v>0.14450261780104712</v>
      </c>
      <c r="L55" s="156">
        <f>IF('AW Schüler'!$O121=0,"x",G55/'AW Schüler'!$O121)</f>
        <v>0.12119794103883949</v>
      </c>
    </row>
    <row r="56" spans="1:12" ht="9" customHeight="1">
      <c r="A56" s="21" t="s">
        <v>88</v>
      </c>
      <c r="B56" s="120"/>
      <c r="C56" s="124">
        <f>[71]GtS!$H$72</f>
        <v>0</v>
      </c>
      <c r="D56" s="124">
        <f>[72]GtS!$H$76</f>
        <v>0</v>
      </c>
      <c r="E56" s="124">
        <f>[73]GtS!$H$76</f>
        <v>0</v>
      </c>
      <c r="F56" s="124">
        <f>[74]GtS!$H$76</f>
        <v>0</v>
      </c>
      <c r="G56" s="188">
        <f>[75]GtS!$H$76</f>
        <v>0</v>
      </c>
      <c r="H56" s="189">
        <f>IF('AW Schüler'!$C122=0,"x",C56/'AW Schüler'!$C122)</f>
        <v>0</v>
      </c>
      <c r="I56" s="189">
        <f>IF('AW Schüler'!$F122=0,"x",D56/'AW Schüler'!$F122)</f>
        <v>0</v>
      </c>
      <c r="J56" s="189">
        <f>IF('AW Schüler'!$I122=0,"x",E56/'AW Schüler'!$I122)</f>
        <v>0</v>
      </c>
      <c r="K56" s="189">
        <f>IF('AW Schüler'!$L122=0,"x",F56/'AW Schüler'!$L122)</f>
        <v>0</v>
      </c>
      <c r="L56" s="190">
        <f>IF('AW Schüler'!$O122=0,"x",G56/'AW Schüler'!$O122)</f>
        <v>0</v>
      </c>
    </row>
    <row r="57" spans="1:12" ht="9" customHeight="1">
      <c r="A57" s="21" t="s">
        <v>89</v>
      </c>
      <c r="B57" s="120"/>
      <c r="C57" s="23">
        <f>[36]GtS!$H$72</f>
        <v>0</v>
      </c>
      <c r="D57" s="23">
        <f>[37]GtS!$H$76</f>
        <v>0</v>
      </c>
      <c r="E57" s="23">
        <f>[38]GtS!$H$76</f>
        <v>0</v>
      </c>
      <c r="F57" s="23">
        <f>[39]GtS!$H$76</f>
        <v>0</v>
      </c>
      <c r="G57" s="34">
        <f>[40]GtS!$H$76</f>
        <v>0</v>
      </c>
      <c r="H57" s="155">
        <f>IF('AW Schüler'!$C123=0,"x",C57/'AW Schüler'!$C123)</f>
        <v>0</v>
      </c>
      <c r="I57" s="155">
        <f>IF('AW Schüler'!$F123=0,"x",D57/'AW Schüler'!$F123)</f>
        <v>0</v>
      </c>
      <c r="J57" s="155">
        <f>IF('AW Schüler'!$I123=0,"x",E57/'AW Schüler'!$I123)</f>
        <v>0</v>
      </c>
      <c r="K57" s="155">
        <f>IF('AW Schüler'!$L123=0,"x",F57/'AW Schüler'!$L123)</f>
        <v>0</v>
      </c>
      <c r="L57" s="156">
        <f>IF('AW Schüler'!$O123=0,"x",G57/'AW Schüler'!$O123)</f>
        <v>0</v>
      </c>
    </row>
    <row r="58" spans="1:12" ht="9" customHeight="1">
      <c r="A58" s="21" t="s">
        <v>90</v>
      </c>
      <c r="B58" s="120"/>
      <c r="C58" s="36">
        <f>[41]GtS!$H$72</f>
        <v>0</v>
      </c>
      <c r="D58" s="36">
        <f>[42]GtS!$H$76</f>
        <v>0</v>
      </c>
      <c r="E58" s="36">
        <f>[43]GtS!$H$76</f>
        <v>0</v>
      </c>
      <c r="F58" s="36">
        <f>[44]GtS!$H$76</f>
        <v>0</v>
      </c>
      <c r="G58" s="37">
        <f>[45]GtS!$H$76</f>
        <v>0</v>
      </c>
      <c r="H58" s="155">
        <f>IF('AW Schüler'!$C124=0,"x",C58/'AW Schüler'!$C124)</f>
        <v>0</v>
      </c>
      <c r="I58" s="155">
        <f>IF('AW Schüler'!$F124=0,"x",D58/'AW Schüler'!$F124)</f>
        <v>0</v>
      </c>
      <c r="J58" s="155">
        <f>IF('AW Schüler'!$I124=0,"x",E58/'AW Schüler'!$I124)</f>
        <v>0</v>
      </c>
      <c r="K58" s="155">
        <f>IF('AW Schüler'!$L124=0,"x",F58/'AW Schüler'!$L124)</f>
        <v>0</v>
      </c>
      <c r="L58" s="156">
        <f>IF('AW Schüler'!$O124=0,"x",G58/'AW Schüler'!$O124)</f>
        <v>0</v>
      </c>
    </row>
    <row r="59" spans="1:12" ht="9" customHeight="1">
      <c r="A59" s="21" t="s">
        <v>91</v>
      </c>
      <c r="B59" s="120"/>
      <c r="C59" s="23">
        <f>[46]GtS!$H$72</f>
        <v>0</v>
      </c>
      <c r="D59" s="23">
        <f>[47]GtS!$H$76</f>
        <v>0</v>
      </c>
      <c r="E59" s="23">
        <f>[48]GtS!$H$76</f>
        <v>0</v>
      </c>
      <c r="F59" s="23">
        <f>[49]GtS!$H$76</f>
        <v>0</v>
      </c>
      <c r="G59" s="34">
        <f>[50]GtS!$H$76</f>
        <v>88</v>
      </c>
      <c r="H59" s="155">
        <f>IF('AW Schüler'!$C125=0,"x",C59/'AW Schüler'!$C125)</f>
        <v>0</v>
      </c>
      <c r="I59" s="155">
        <f>IF('AW Schüler'!$F125=0,"x",D59/'AW Schüler'!$F125)</f>
        <v>0</v>
      </c>
      <c r="J59" s="155">
        <f>IF('AW Schüler'!$I125=0,"x",E59/'AW Schüler'!$I125)</f>
        <v>0</v>
      </c>
      <c r="K59" s="155">
        <f>IF('AW Schüler'!$L125=0,"x",F59/'AW Schüler'!$L125)</f>
        <v>0</v>
      </c>
      <c r="L59" s="156">
        <f>IF('AW Schüler'!$O125=0,"x",G59/'AW Schüler'!$O125)</f>
        <v>8.6614173228346455E-2</v>
      </c>
    </row>
    <row r="60" spans="1:12" ht="9" customHeight="1">
      <c r="A60" s="21" t="s">
        <v>92</v>
      </c>
      <c r="B60" s="120"/>
      <c r="C60" s="151">
        <f>[51]GtS!$H$72</f>
        <v>0</v>
      </c>
      <c r="D60" s="151">
        <f>[52]GtS!$H$76</f>
        <v>0</v>
      </c>
      <c r="E60" s="151">
        <f>[53]GtS!$H$76</f>
        <v>0</v>
      </c>
      <c r="F60" s="151">
        <f>[54]GtS!$H$76</f>
        <v>0</v>
      </c>
      <c r="G60" s="152">
        <f>[55]GtS!$H$76</f>
        <v>0</v>
      </c>
      <c r="H60" s="155" t="str">
        <f>IF('AW Schüler'!$C126=0,"x",C60/'AW Schüler'!$C126)</f>
        <v>x</v>
      </c>
      <c r="I60" s="155" t="str">
        <f>IF('AW Schüler'!$F126=0,"x",D60/'AW Schüler'!$F126)</f>
        <v>x</v>
      </c>
      <c r="J60" s="155" t="str">
        <f>IF('AW Schüler'!$I126=0,"x",E60/'AW Schüler'!$I126)</f>
        <v>x</v>
      </c>
      <c r="K60" s="155" t="str">
        <f>IF('AW Schüler'!$L126=0,"x",F60/'AW Schüler'!$L126)</f>
        <v>x</v>
      </c>
      <c r="L60" s="156" t="str">
        <f>IF('AW Schüler'!$O126=0,"x",G60/'AW Schüler'!$O126)</f>
        <v>x</v>
      </c>
    </row>
    <row r="61" spans="1:12" ht="9" customHeight="1">
      <c r="A61" s="21" t="s">
        <v>93</v>
      </c>
      <c r="B61" s="120"/>
      <c r="C61" s="124">
        <f>[76]GtS!$H$72</f>
        <v>0</v>
      </c>
      <c r="D61" s="124">
        <f>[77]GtS!$H$76</f>
        <v>0</v>
      </c>
      <c r="E61" s="124">
        <f>[78]GtS!$H$76</f>
        <v>0</v>
      </c>
      <c r="F61" s="124">
        <f>[79]GtS!$H$76</f>
        <v>0</v>
      </c>
      <c r="G61" s="188">
        <f>[80]GtS!$H$76</f>
        <v>0</v>
      </c>
      <c r="H61" s="189">
        <f>IF('AW Schüler'!$C127=0,"x",C61/'AW Schüler'!$C127)</f>
        <v>0</v>
      </c>
      <c r="I61" s="189">
        <f>IF('AW Schüler'!$F127=0,"x",D61/'AW Schüler'!$F127)</f>
        <v>0</v>
      </c>
      <c r="J61" s="189">
        <f>IF('AW Schüler'!$I127=0,"x",E61/'AW Schüler'!$I127)</f>
        <v>0</v>
      </c>
      <c r="K61" s="189">
        <f>IF('AW Schüler'!$L127=0,"x",F61/'AW Schüler'!$L127)</f>
        <v>0</v>
      </c>
      <c r="L61" s="190">
        <f>IF('AW Schüler'!$O127=0,"x",G61/'AW Schüler'!$O127)</f>
        <v>0</v>
      </c>
    </row>
    <row r="62" spans="1:12" ht="9" customHeight="1">
      <c r="A62" s="21" t="s">
        <v>226</v>
      </c>
      <c r="B62" s="120"/>
      <c r="C62" s="23">
        <f>[56]GtS!$H$72</f>
        <v>241</v>
      </c>
      <c r="D62" s="23">
        <f>[57]GtS!$H$76</f>
        <v>204</v>
      </c>
      <c r="E62" s="23">
        <f>[58]GtS!$H$76</f>
        <v>595</v>
      </c>
      <c r="F62" s="23">
        <f>[59]GtS!$H$76</f>
        <v>590</v>
      </c>
      <c r="G62" s="34">
        <f>[60]GtS!$H$76</f>
        <v>633</v>
      </c>
      <c r="H62" s="155">
        <f>IF('AW Schüler'!$C128=0,"x",C62/'AW Schüler'!$C128)</f>
        <v>7.4085459575776211E-2</v>
      </c>
      <c r="I62" s="155">
        <f>IF('AW Schüler'!$F128=0,"x",D62/'AW Schüler'!$F128)</f>
        <v>6.2385321100917435E-2</v>
      </c>
      <c r="J62" s="155">
        <f>IF('AW Schüler'!$I128=0,"x",E62/'AW Schüler'!$I128)</f>
        <v>0.1669472502805836</v>
      </c>
      <c r="K62" s="155">
        <f>IF('AW Schüler'!$L128=0,"x",F62/'AW Schüler'!$L128)</f>
        <v>0.16217702034084661</v>
      </c>
      <c r="L62" s="156">
        <f>IF('AW Schüler'!$O128=0,"x",G62/'AW Schüler'!$O128)</f>
        <v>0.16310229322339603</v>
      </c>
    </row>
    <row r="63" spans="1:12" ht="9" customHeight="1">
      <c r="A63" s="21" t="s">
        <v>95</v>
      </c>
      <c r="B63" s="120"/>
      <c r="C63" s="23">
        <f>[61]GtS!$H$72</f>
        <v>0</v>
      </c>
      <c r="D63" s="23">
        <f>[62]GtS!$H$76</f>
        <v>0</v>
      </c>
      <c r="E63" s="23">
        <f>[63]GtS!$H$76</f>
        <v>225</v>
      </c>
      <c r="F63" s="23">
        <f>[64]GtS!$H$76</f>
        <v>258</v>
      </c>
      <c r="G63" s="34">
        <f>[65]GtS!$H$76</f>
        <v>126</v>
      </c>
      <c r="H63" s="155">
        <f>IF('AW Schüler'!$C129=0,"x",C63/'AW Schüler'!$C129)</f>
        <v>0</v>
      </c>
      <c r="I63" s="155">
        <f>IF('AW Schüler'!$F129=0,"x",D63/'AW Schüler'!$F129)</f>
        <v>0</v>
      </c>
      <c r="J63" s="155">
        <f>IF('AW Schüler'!$I129=0,"x",E63/'AW Schüler'!$I129)</f>
        <v>8.8304552590266872E-2</v>
      </c>
      <c r="K63" s="155">
        <f>IF('AW Schüler'!$L129=0,"x",F63/'AW Schüler'!$L129)</f>
        <v>8.7309644670050757E-2</v>
      </c>
      <c r="L63" s="156">
        <f>IF('AW Schüler'!$O129=0,"x",G63/'AW Schüler'!$O129)</f>
        <v>3.5573122529644272E-2</v>
      </c>
    </row>
    <row r="64" spans="1:12" ht="8.65" customHeight="1">
      <c r="A64" s="24" t="s">
        <v>96</v>
      </c>
      <c r="B64" s="121"/>
      <c r="C64" s="26">
        <f>SUM(C48:C63)</f>
        <v>3791</v>
      </c>
      <c r="D64" s="26">
        <f>SUM(D48:D63)</f>
        <v>6037</v>
      </c>
      <c r="E64" s="26">
        <f>SUM(E48:E63)</f>
        <v>6590</v>
      </c>
      <c r="F64" s="26">
        <f>SUM(F48:F63)</f>
        <v>7561</v>
      </c>
      <c r="G64" s="47">
        <f>SUM(G48:G63)</f>
        <v>8394</v>
      </c>
      <c r="H64" s="157">
        <f>IF('AW Schüler'!$C130=0,"x",C64/'AW Schüler'!$C130)</f>
        <v>0.13734511991884646</v>
      </c>
      <c r="I64" s="157">
        <f>IF('AW Schüler'!$F130=0,"x",D64/'AW Schüler'!$F130)</f>
        <v>0.20048485653560041</v>
      </c>
      <c r="J64" s="157">
        <f>IF('AW Schüler'!$I130=0,"x",E64/'AW Schüler'!$I130)</f>
        <v>0.19673990924289467</v>
      </c>
      <c r="K64" s="157">
        <f>IF('AW Schüler'!$L130=0,"x",F64/'AW Schüler'!$L130)</f>
        <v>0.20765132373942657</v>
      </c>
      <c r="L64" s="158">
        <f>IF('AW Schüler'!$O130=0,"x",G64/'AW Schüler'!$O130)</f>
        <v>0.20707008412067987</v>
      </c>
    </row>
    <row r="65" spans="1:12" ht="18.75" customHeight="1">
      <c r="A65" s="396" t="s">
        <v>312</v>
      </c>
      <c r="B65" s="396"/>
      <c r="C65" s="396"/>
      <c r="D65" s="396"/>
      <c r="E65" s="396"/>
      <c r="F65" s="396"/>
      <c r="G65" s="396"/>
      <c r="H65" s="396"/>
      <c r="I65" s="396"/>
      <c r="J65" s="396"/>
      <c r="K65" s="396"/>
      <c r="L65" s="396"/>
    </row>
    <row r="66" spans="1:12" ht="10.15" customHeight="1">
      <c r="A66" s="408" t="s">
        <v>166</v>
      </c>
      <c r="B66" s="408"/>
      <c r="C66" s="408"/>
      <c r="D66" s="408"/>
      <c r="E66" s="408"/>
      <c r="F66" s="408"/>
      <c r="G66" s="408"/>
      <c r="H66" s="408"/>
      <c r="I66" s="408"/>
      <c r="J66" s="258"/>
      <c r="K66" s="278"/>
      <c r="L66" s="278"/>
    </row>
    <row r="67" spans="1:12" ht="10.15" customHeight="1">
      <c r="A67" s="399" t="s">
        <v>183</v>
      </c>
      <c r="B67" s="399"/>
      <c r="C67" s="399"/>
      <c r="D67" s="399"/>
      <c r="E67" s="399"/>
      <c r="F67" s="399"/>
      <c r="G67" s="399"/>
      <c r="H67" s="399"/>
      <c r="I67" s="399"/>
      <c r="J67" s="257"/>
      <c r="K67" s="325"/>
      <c r="L67" s="350"/>
    </row>
    <row r="68" spans="1:12" ht="21.75" customHeight="1">
      <c r="A68" s="387" t="s">
        <v>295</v>
      </c>
      <c r="B68" s="387"/>
      <c r="C68" s="387"/>
      <c r="D68" s="387"/>
      <c r="E68" s="387"/>
      <c r="F68" s="387"/>
      <c r="G68" s="387"/>
      <c r="H68" s="387"/>
      <c r="I68" s="395"/>
      <c r="J68" s="395"/>
      <c r="K68" s="395"/>
      <c r="L68" s="395"/>
    </row>
    <row r="69" spans="1:12" ht="10.5" customHeight="1">
      <c r="A69" s="220" t="s">
        <v>229</v>
      </c>
      <c r="B69" s="270"/>
      <c r="C69" s="270"/>
      <c r="D69" s="270"/>
      <c r="E69" s="270"/>
      <c r="F69" s="284"/>
      <c r="G69" s="351"/>
      <c r="H69" s="270"/>
      <c r="I69" s="270"/>
      <c r="J69" s="270"/>
      <c r="K69" s="284"/>
      <c r="L69" s="351"/>
    </row>
    <row r="70" spans="1:12" ht="10.15" customHeight="1">
      <c r="A70" s="306" t="s">
        <v>225</v>
      </c>
    </row>
    <row r="71" spans="1:12" ht="10.15" customHeight="1">
      <c r="A71" s="306" t="s">
        <v>101</v>
      </c>
    </row>
    <row r="84" spans="1:1" ht="10.5" customHeight="1"/>
    <row r="85" spans="1:1" ht="10.15" customHeight="1">
      <c r="A85" s="214"/>
    </row>
  </sheetData>
  <mergeCells count="10">
    <mergeCell ref="A1:L1"/>
    <mergeCell ref="A68:L68"/>
    <mergeCell ref="A66:I66"/>
    <mergeCell ref="A67:I67"/>
    <mergeCell ref="C9:G9"/>
    <mergeCell ref="H9:L9"/>
    <mergeCell ref="A11:L11"/>
    <mergeCell ref="A29:L29"/>
    <mergeCell ref="A47:L47"/>
    <mergeCell ref="A65:L65"/>
  </mergeCells>
  <phoneticPr fontId="18" type="noConversion"/>
  <conditionalFormatting sqref="M25">
    <cfRule type="cellIs" dxfId="6"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view="pageBreakPreview" zoomScale="175" zoomScaleNormal="115"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'3.3.8'!A1:J1+1</f>
        <v>65</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4.1" customHeight="1">
      <c r="A5" s="13" t="s">
        <v>67</v>
      </c>
      <c r="B5" s="39" t="s">
        <v>74</v>
      </c>
      <c r="C5" s="14"/>
      <c r="D5" s="14"/>
      <c r="E5" s="14"/>
      <c r="F5" s="14"/>
      <c r="G5" s="14"/>
    </row>
    <row r="6" spans="1:13" s="3" customFormat="1" ht="14.25" customHeight="1">
      <c r="A6" s="13" t="s">
        <v>235</v>
      </c>
      <c r="B6" s="39" t="s">
        <v>277</v>
      </c>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12.75" customHeight="1">
      <c r="A12" s="21" t="s">
        <v>173</v>
      </c>
      <c r="B12" s="120"/>
      <c r="C12" s="149">
        <f t="shared" ref="C12:E27" si="0">SUM(C30+C48)</f>
        <v>44</v>
      </c>
      <c r="D12" s="149">
        <f t="shared" si="0"/>
        <v>144</v>
      </c>
      <c r="E12" s="149">
        <f t="shared" si="0"/>
        <v>254</v>
      </c>
      <c r="F12" s="149">
        <f t="shared" ref="F12:G12" si="1">SUM(F30+F48)</f>
        <v>398</v>
      </c>
      <c r="G12" s="150">
        <f t="shared" si="1"/>
        <v>371</v>
      </c>
      <c r="H12" s="153">
        <f>IF('AW Schüler'!$C114=0,"x",(IF('AW Schüler'!$C132=0,"-",C12/'AW Schüler'!$C132)))</f>
        <v>1</v>
      </c>
      <c r="I12" s="153">
        <f>IF('AW Schüler'!$F114=0,"x",(IF('AW Schüler'!$F132=0,"-",D12/'AW Schüler'!$F132)))</f>
        <v>0.61276595744680851</v>
      </c>
      <c r="J12" s="153">
        <f>IF('AW Schüler'!$I114=0,"x",(IF('AW Schüler'!$I132=0,"-",E12/'AW Schüler'!$I132)))</f>
        <v>0.55337690631808278</v>
      </c>
      <c r="K12" s="153">
        <f>IF('AW Schüler'!$L114=0,"x",(IF('AW Schüler'!$L132=0,"-",F12/'AW Schüler'!$L132)))</f>
        <v>0.65785123966942149</v>
      </c>
      <c r="L12" s="154">
        <f>IF('AW Schüler'!$O114=0,"x",(IF('AW Schüler'!$O132=0,"-",G12/'AW Schüler'!$O132)))</f>
        <v>0.44645006016847172</v>
      </c>
    </row>
    <row r="13" spans="1:13" ht="9" customHeight="1">
      <c r="A13" s="21" t="s">
        <v>81</v>
      </c>
      <c r="B13" s="120"/>
      <c r="C13" s="149">
        <f t="shared" si="0"/>
        <v>0</v>
      </c>
      <c r="D13" s="149">
        <f t="shared" si="0"/>
        <v>0</v>
      </c>
      <c r="E13" s="149">
        <f t="shared" ref="E13:F14" si="2">SUM(E31+E49)</f>
        <v>0</v>
      </c>
      <c r="F13" s="149" t="e">
        <f t="shared" si="2"/>
        <v>#VALUE!</v>
      </c>
      <c r="G13" s="150">
        <f t="shared" ref="G13" si="3">SUM(G31+G49)</f>
        <v>0</v>
      </c>
      <c r="H13" s="153" t="str">
        <f>IF('AW Schüler'!$C115=0,"x",(IF('AW Schüler'!$C133=0,"-",C13/'AW Schüler'!$C133)))</f>
        <v>x</v>
      </c>
      <c r="I13" s="153" t="str">
        <f>IF('AW Schüler'!$F115=0,"x",(IF('AW Schüler'!$F133=0,"-",D13/'AW Schüler'!$F133)))</f>
        <v>x</v>
      </c>
      <c r="J13" s="153" t="str">
        <f>IF('AW Schüler'!$I115=0,"x",(IF('AW Schüler'!$I133=0,"-",E13/'AW Schüler'!$I133)))</f>
        <v>x</v>
      </c>
      <c r="K13" s="153" t="str">
        <f>IF('AW Schüler'!$L115=0,"x",(IF('AW Schüler'!$L133=0,"-",F13/'AW Schüler'!$L133)))</f>
        <v>x</v>
      </c>
      <c r="L13" s="154" t="str">
        <f>IF('AW Schüler'!$O115=0,"x",(IF('AW Schüler'!$O133=0,"-",G13/'AW Schüler'!$O133)))</f>
        <v>x</v>
      </c>
    </row>
    <row r="14" spans="1:13" ht="9" customHeight="1">
      <c r="A14" s="21" t="s">
        <v>82</v>
      </c>
      <c r="B14" s="120"/>
      <c r="C14" s="42">
        <f t="shared" si="0"/>
        <v>1863</v>
      </c>
      <c r="D14" s="42">
        <f t="shared" si="0"/>
        <v>1784</v>
      </c>
      <c r="E14" s="42">
        <f t="shared" si="2"/>
        <v>2136</v>
      </c>
      <c r="F14" s="42">
        <f t="shared" si="2"/>
        <v>2169</v>
      </c>
      <c r="G14" s="44">
        <f t="shared" ref="G14" si="4">SUM(G32+G50)</f>
        <v>2640</v>
      </c>
      <c r="H14" s="153">
        <f>IF('AW Schüler'!$C116=0,"x",(IF('AW Schüler'!$C134=0,"-",C14/'AW Schüler'!$C134)))</f>
        <v>0.83655141445891334</v>
      </c>
      <c r="I14" s="153">
        <f>IF('AW Schüler'!$F116=0,"x",(IF('AW Schüler'!$F134=0,"-",D14/'AW Schüler'!$F134)))</f>
        <v>0.78279947345326895</v>
      </c>
      <c r="J14" s="153">
        <f>IF('AW Schüler'!$I116=0,"x",(IF('AW Schüler'!$I134=0,"-",E14/'AW Schüler'!$I134)))</f>
        <v>0.92708333333333337</v>
      </c>
      <c r="K14" s="153">
        <f>IF('AW Schüler'!$L116=0,"x",(IF('AW Schüler'!$L134=0,"-",F14/'AW Schüler'!$L134)))</f>
        <v>0.83358954650269024</v>
      </c>
      <c r="L14" s="154">
        <f>IF('AW Schüler'!$O116=0,"x",(IF('AW Schüler'!$O134=0,"-",G14/'AW Schüler'!$O134)))</f>
        <v>0.96526508226691043</v>
      </c>
    </row>
    <row r="15" spans="1:13" ht="9" customHeight="1">
      <c r="A15" s="21" t="s">
        <v>83</v>
      </c>
      <c r="B15" s="120"/>
      <c r="C15" s="42">
        <f t="shared" si="0"/>
        <v>0</v>
      </c>
      <c r="D15" s="42">
        <f t="shared" si="0"/>
        <v>0</v>
      </c>
      <c r="E15" s="42">
        <f t="shared" si="0"/>
        <v>0</v>
      </c>
      <c r="F15" s="42">
        <f t="shared" ref="F15:G15" si="5">SUM(F33+F51)</f>
        <v>7</v>
      </c>
      <c r="G15" s="44">
        <f t="shared" si="5"/>
        <v>0</v>
      </c>
      <c r="H15" s="153" t="str">
        <f>IF('AW Schüler'!$C117=0,"x",(IF('AW Schüler'!$C135=0,"-",C15/'AW Schüler'!$C135)))</f>
        <v>-</v>
      </c>
      <c r="I15" s="153" t="str">
        <f>IF('AW Schüler'!$F117=0,"x",(IF('AW Schüler'!$F135=0,"-",D15/'AW Schüler'!$F135)))</f>
        <v>-</v>
      </c>
      <c r="J15" s="153" t="str">
        <f>IF('AW Schüler'!$I117=0,"x",(IF('AW Schüler'!$I135=0,"-",E15/'AW Schüler'!$I135)))</f>
        <v>-</v>
      </c>
      <c r="K15" s="153">
        <f>IF('AW Schüler'!$L117=0,"x",(IF('AW Schüler'!$L135=0,"-",F15/'AW Schüler'!$L135)))</f>
        <v>1</v>
      </c>
      <c r="L15" s="154" t="str">
        <f>IF('AW Schüler'!$O117=0,"x",(IF('AW Schüler'!$O135=0,"-",G15/'AW Schüler'!$O135)))</f>
        <v>-</v>
      </c>
    </row>
    <row r="16" spans="1:13" ht="9" customHeight="1">
      <c r="A16" s="21" t="s">
        <v>84</v>
      </c>
      <c r="B16" s="120"/>
      <c r="C16" s="42">
        <f t="shared" si="0"/>
        <v>0</v>
      </c>
      <c r="D16" s="42">
        <f t="shared" si="0"/>
        <v>0</v>
      </c>
      <c r="E16" s="42">
        <f t="shared" ref="E16:F23" si="6">SUM(E34+E52)</f>
        <v>0</v>
      </c>
      <c r="F16" s="42">
        <f t="shared" si="6"/>
        <v>0</v>
      </c>
      <c r="G16" s="44">
        <f t="shared" ref="G16" si="7">SUM(G34+G52)</f>
        <v>0</v>
      </c>
      <c r="H16" s="153" t="str">
        <f>IF('AW Schüler'!$C118=0,"x",(IF('AW Schüler'!$C136=0,"-",C16/'AW Schüler'!$C136)))</f>
        <v>-</v>
      </c>
      <c r="I16" s="153" t="str">
        <f>IF('AW Schüler'!$F118=0,"x",(IF('AW Schüler'!$F136=0,"-",D16/'AW Schüler'!$F136)))</f>
        <v>-</v>
      </c>
      <c r="J16" s="153" t="str">
        <f>IF('AW Schüler'!$I118=0,"x",(IF('AW Schüler'!$I136=0,"-",E16/'AW Schüler'!$I136)))</f>
        <v>-</v>
      </c>
      <c r="K16" s="153" t="str">
        <f>IF('AW Schüler'!$L118=0,"x",(IF('AW Schüler'!$L136=0,"-",F16/'AW Schüler'!$L136)))</f>
        <v>-</v>
      </c>
      <c r="L16" s="154" t="str">
        <f>IF('AW Schüler'!$O118=0,"x",(IF('AW Schüler'!$O136=0,"-",G16/'AW Schüler'!$O136)))</f>
        <v>-</v>
      </c>
    </row>
    <row r="17" spans="1:12" ht="9" customHeight="1">
      <c r="A17" s="21" t="s">
        <v>85</v>
      </c>
      <c r="B17" s="120"/>
      <c r="C17" s="42">
        <f t="shared" si="0"/>
        <v>86</v>
      </c>
      <c r="D17" s="42">
        <f t="shared" si="0"/>
        <v>1341</v>
      </c>
      <c r="E17" s="42">
        <f t="shared" si="6"/>
        <v>1287</v>
      </c>
      <c r="F17" s="42">
        <f t="shared" si="6"/>
        <v>1276</v>
      </c>
      <c r="G17" s="44">
        <f t="shared" ref="G17" si="8">SUM(G35+G53)</f>
        <v>1283</v>
      </c>
      <c r="H17" s="153">
        <f>IF('AW Schüler'!$C119=0,"x",(IF('AW Schüler'!$C137=0,"-",C17/'AW Schüler'!$C137)))</f>
        <v>5.9147180192572216E-2</v>
      </c>
      <c r="I17" s="153">
        <f>IF('AW Schüler'!$F119=0,"x",(IF('AW Schüler'!$F137=0,"-",D17/'AW Schüler'!$F137)))</f>
        <v>1</v>
      </c>
      <c r="J17" s="153">
        <f>IF('AW Schüler'!$I119=0,"x",(IF('AW Schüler'!$I137=0,"-",E17/'AW Schüler'!$I137)))</f>
        <v>1</v>
      </c>
      <c r="K17" s="153">
        <f>IF('AW Schüler'!$L119=0,"x",(IF('AW Schüler'!$L137=0,"-",F17/'AW Schüler'!$L137)))</f>
        <v>1</v>
      </c>
      <c r="L17" s="154">
        <f>IF('AW Schüler'!$O119=0,"x",(IF('AW Schüler'!$O137=0,"-",G17/'AW Schüler'!$O137)))</f>
        <v>1</v>
      </c>
    </row>
    <row r="18" spans="1:12" ht="9" customHeight="1">
      <c r="A18" s="21" t="s">
        <v>86</v>
      </c>
      <c r="B18" s="120"/>
      <c r="C18" s="184">
        <f t="shared" si="0"/>
        <v>0</v>
      </c>
      <c r="D18" s="184">
        <f t="shared" si="0"/>
        <v>0</v>
      </c>
      <c r="E18" s="184">
        <f t="shared" si="6"/>
        <v>0</v>
      </c>
      <c r="F18" s="184">
        <f t="shared" si="6"/>
        <v>0</v>
      </c>
      <c r="G18" s="185">
        <f t="shared" ref="G18" si="9">SUM(G36+G54)</f>
        <v>0</v>
      </c>
      <c r="H18" s="293">
        <f>IF('AW Schüler'!$C120=0,"x",(IF('AW Schüler'!$C138=0,"-",C18/'AW Schüler'!$C138)))</f>
        <v>0</v>
      </c>
      <c r="I18" s="293">
        <f>IF('AW Schüler'!$F120=0,"x",(IF('AW Schüler'!$F138=0,"-",D18/'AW Schüler'!$F138)))</f>
        <v>0</v>
      </c>
      <c r="J18" s="293">
        <f>IF('AW Schüler'!$I120=0,"x",(IF('AW Schüler'!$I138=0,"-",E18/'AW Schüler'!$I138)))</f>
        <v>0</v>
      </c>
      <c r="K18" s="293">
        <f>IF('AW Schüler'!$L120=0,"x",(IF('AW Schüler'!$L138=0,"-",F18/'AW Schüler'!$L138)))</f>
        <v>0</v>
      </c>
      <c r="L18" s="337">
        <f>IF('AW Schüler'!$O120=0,"x",(IF('AW Schüler'!$O138=0,"-",G18/'AW Schüler'!$O138)))</f>
        <v>0</v>
      </c>
    </row>
    <row r="19" spans="1:12" ht="9" customHeight="1">
      <c r="A19" s="21" t="s">
        <v>87</v>
      </c>
      <c r="B19" s="120"/>
      <c r="C19" s="42">
        <f t="shared" si="0"/>
        <v>0</v>
      </c>
      <c r="D19" s="42">
        <f t="shared" si="0"/>
        <v>0</v>
      </c>
      <c r="E19" s="42">
        <f t="shared" si="6"/>
        <v>0</v>
      </c>
      <c r="F19" s="42">
        <f t="shared" si="6"/>
        <v>0</v>
      </c>
      <c r="G19" s="44">
        <f t="shared" ref="G19" si="10">SUM(G37+G55)</f>
        <v>0</v>
      </c>
      <c r="H19" s="153" t="str">
        <f>IF('AW Schüler'!$C121=0,"x",(IF('AW Schüler'!$C139=0,"-",C19/'AW Schüler'!$C139)))</f>
        <v>-</v>
      </c>
      <c r="I19" s="153" t="str">
        <f>IF('AW Schüler'!$F121=0,"x",(IF('AW Schüler'!$F139=0,"-",D19/'AW Schüler'!$F139)))</f>
        <v>-</v>
      </c>
      <c r="J19" s="153" t="str">
        <f>IF('AW Schüler'!$I121=0,"x",(IF('AW Schüler'!$I139=0,"-",E19/'AW Schüler'!$I139)))</f>
        <v>-</v>
      </c>
      <c r="K19" s="153" t="str">
        <f>IF('AW Schüler'!$L121=0,"x",(IF('AW Schüler'!$L139=0,"-",F19/'AW Schüler'!$L139)))</f>
        <v>-</v>
      </c>
      <c r="L19" s="154" t="str">
        <f>IF('AW Schüler'!$O121=0,"x",(IF('AW Schüler'!$O139=0,"-",G19/'AW Schüler'!$O139)))</f>
        <v>-</v>
      </c>
    </row>
    <row r="20" spans="1:12" ht="9" customHeight="1">
      <c r="A20" s="21" t="s">
        <v>88</v>
      </c>
      <c r="B20" s="120"/>
      <c r="C20" s="184">
        <f t="shared" si="0"/>
        <v>0</v>
      </c>
      <c r="D20" s="184">
        <f t="shared" si="0"/>
        <v>0</v>
      </c>
      <c r="E20" s="184">
        <f t="shared" si="6"/>
        <v>0</v>
      </c>
      <c r="F20" s="184">
        <f t="shared" si="6"/>
        <v>0</v>
      </c>
      <c r="G20" s="185">
        <f t="shared" ref="G20" si="11">SUM(G38+G56)</f>
        <v>0</v>
      </c>
      <c r="H20" s="293">
        <f>IF('AW Schüler'!$C122=0,"x",(IF('AW Schüler'!$C140=0,"-",C20/'AW Schüler'!$C140)))</f>
        <v>0</v>
      </c>
      <c r="I20" s="293">
        <f>IF('AW Schüler'!$F122=0,"x",(IF('AW Schüler'!$F140=0,"-",D20/'AW Schüler'!$F140)))</f>
        <v>0</v>
      </c>
      <c r="J20" s="293">
        <f>IF('AW Schüler'!$I122=0,"x",(IF('AW Schüler'!$I140=0,"-",E20/'AW Schüler'!$I140)))</f>
        <v>0</v>
      </c>
      <c r="K20" s="293">
        <f>IF('AW Schüler'!$L122=0,"x",(IF('AW Schüler'!$L140=0,"-",F20/'AW Schüler'!$L140)))</f>
        <v>0</v>
      </c>
      <c r="L20" s="337">
        <f>IF('AW Schüler'!$O122=0,"x",(IF('AW Schüler'!$O140=0,"-",G20/'AW Schüler'!$O140)))</f>
        <v>0</v>
      </c>
    </row>
    <row r="21" spans="1:12" ht="9" customHeight="1">
      <c r="A21" s="21" t="s">
        <v>89</v>
      </c>
      <c r="B21" s="120"/>
      <c r="C21" s="42">
        <f t="shared" si="0"/>
        <v>0</v>
      </c>
      <c r="D21" s="42">
        <f t="shared" si="0"/>
        <v>0</v>
      </c>
      <c r="E21" s="42">
        <f t="shared" si="6"/>
        <v>0</v>
      </c>
      <c r="F21" s="42">
        <f t="shared" si="6"/>
        <v>0</v>
      </c>
      <c r="G21" s="44">
        <f t="shared" ref="G21" si="12">SUM(G39+G57)</f>
        <v>0</v>
      </c>
      <c r="H21" s="153" t="str">
        <f>IF('AW Schüler'!$C123=0,"x",(IF('AW Schüler'!$C141=0,"-",C21/'AW Schüler'!$C141)))</f>
        <v>-</v>
      </c>
      <c r="I21" s="153" t="str">
        <f>IF('AW Schüler'!$F123=0,"x",(IF('AW Schüler'!$F141=0,"-",D21/'AW Schüler'!$F141)))</f>
        <v>-</v>
      </c>
      <c r="J21" s="153" t="str">
        <f>IF('AW Schüler'!$I123=0,"x",(IF('AW Schüler'!$I141=0,"-",E21/'AW Schüler'!$I141)))</f>
        <v>-</v>
      </c>
      <c r="K21" s="153" t="str">
        <f>IF('AW Schüler'!$L123=0,"x",(IF('AW Schüler'!$L141=0,"-",F21/'AW Schüler'!$L141)))</f>
        <v>-</v>
      </c>
      <c r="L21" s="154" t="str">
        <f>IF('AW Schüler'!$O123=0,"x",(IF('AW Schüler'!$O141=0,"-",G21/'AW Schüler'!$O141)))</f>
        <v>-</v>
      </c>
    </row>
    <row r="22" spans="1:12" ht="9" customHeight="1">
      <c r="A22" s="21" t="s">
        <v>90</v>
      </c>
      <c r="B22" s="120"/>
      <c r="C22" s="55">
        <f t="shared" si="0"/>
        <v>0</v>
      </c>
      <c r="D22" s="55">
        <f t="shared" si="0"/>
        <v>0</v>
      </c>
      <c r="E22" s="55">
        <f t="shared" si="6"/>
        <v>0</v>
      </c>
      <c r="F22" s="55">
        <f t="shared" si="6"/>
        <v>0</v>
      </c>
      <c r="G22" s="56">
        <f t="shared" ref="G22" si="13">SUM(G40+G58)</f>
        <v>0</v>
      </c>
      <c r="H22" s="153" t="str">
        <f>IF('AW Schüler'!$C124=0,"x",(IF('AW Schüler'!$C142=0,"-",C22/'AW Schüler'!$C142)))</f>
        <v>-</v>
      </c>
      <c r="I22" s="153" t="str">
        <f>IF('AW Schüler'!$F124=0,"x",(IF('AW Schüler'!$F142=0,"-",D22/'AW Schüler'!$F142)))</f>
        <v>-</v>
      </c>
      <c r="J22" s="153" t="str">
        <f>IF('AW Schüler'!$I124=0,"x",(IF('AW Schüler'!$I142=0,"-",E22/'AW Schüler'!$I142)))</f>
        <v>-</v>
      </c>
      <c r="K22" s="153" t="str">
        <f>IF('AW Schüler'!$L124=0,"x",(IF('AW Schüler'!$L142=0,"-",F22/'AW Schüler'!$L142)))</f>
        <v>-</v>
      </c>
      <c r="L22" s="154" t="str">
        <f>IF('AW Schüler'!$O124=0,"x",(IF('AW Schüler'!$O142=0,"-",G22/'AW Schüler'!$O142)))</f>
        <v>-</v>
      </c>
    </row>
    <row r="23" spans="1:12" ht="9" customHeight="1">
      <c r="A23" s="21" t="s">
        <v>91</v>
      </c>
      <c r="B23" s="120"/>
      <c r="C23" s="42">
        <f t="shared" si="0"/>
        <v>0</v>
      </c>
      <c r="D23" s="42">
        <f t="shared" si="0"/>
        <v>0</v>
      </c>
      <c r="E23" s="42">
        <f t="shared" si="6"/>
        <v>0</v>
      </c>
      <c r="F23" s="42">
        <f t="shared" si="6"/>
        <v>0</v>
      </c>
      <c r="G23" s="44">
        <f t="shared" ref="G23" si="14">SUM(G41+G59)</f>
        <v>0</v>
      </c>
      <c r="H23" s="153" t="str">
        <f>IF('AW Schüler'!$C125=0,"x",(IF('AW Schüler'!$C143=0,"-",C23/'AW Schüler'!$C143)))</f>
        <v>-</v>
      </c>
      <c r="I23" s="153" t="str">
        <f>IF('AW Schüler'!$F125=0,"x",(IF('AW Schüler'!$F143=0,"-",D23/'AW Schüler'!$F143)))</f>
        <v>-</v>
      </c>
      <c r="J23" s="153" t="str">
        <f>IF('AW Schüler'!$I125=0,"x",(IF('AW Schüler'!$I143=0,"-",E23/'AW Schüler'!$I143)))</f>
        <v>-</v>
      </c>
      <c r="K23" s="153" t="str">
        <f>IF('AW Schüler'!$L125=0,"x",(IF('AW Schüler'!$L143=0,"-",F23/'AW Schüler'!$L143)))</f>
        <v>-</v>
      </c>
      <c r="L23" s="154" t="str">
        <f>IF('AW Schüler'!$O125=0,"x",(IF('AW Schüler'!$O143=0,"-",G23/'AW Schüler'!$O143)))</f>
        <v>-</v>
      </c>
    </row>
    <row r="24" spans="1:12" ht="9" customHeight="1">
      <c r="A24" s="21" t="s">
        <v>92</v>
      </c>
      <c r="B24" s="120"/>
      <c r="C24" s="149">
        <f t="shared" si="0"/>
        <v>0</v>
      </c>
      <c r="D24" s="149">
        <f t="shared" si="0"/>
        <v>0</v>
      </c>
      <c r="E24" s="149">
        <f t="shared" si="0"/>
        <v>0</v>
      </c>
      <c r="F24" s="149">
        <f t="shared" ref="F24:G24" si="15">SUM(F42+F60)</f>
        <v>0</v>
      </c>
      <c r="G24" s="150">
        <f t="shared" si="15"/>
        <v>0</v>
      </c>
      <c r="H24" s="153" t="str">
        <f>IF('AW Schüler'!$C126=0,"x",(IF('AW Schüler'!$C144=0,"-",C24/'AW Schüler'!$C144)))</f>
        <v>x</v>
      </c>
      <c r="I24" s="153" t="str">
        <f>IF('AW Schüler'!$F126=0,"x",(IF('AW Schüler'!$F144=0,"-",D24/'AW Schüler'!$F144)))</f>
        <v>x</v>
      </c>
      <c r="J24" s="153" t="str">
        <f>IF('AW Schüler'!$I126=0,"x",(IF('AW Schüler'!$I144=0,"-",E24/'AW Schüler'!$I144)))</f>
        <v>x</v>
      </c>
      <c r="K24" s="153" t="str">
        <f>IF('AW Schüler'!$L126=0,"x",(IF('AW Schüler'!$L144=0,"-",F24/'AW Schüler'!$L144)))</f>
        <v>x</v>
      </c>
      <c r="L24" s="154" t="str">
        <f>IF('AW Schüler'!$O126=0,"x",(IF('AW Schüler'!$O144=0,"-",G24/'AW Schüler'!$O144)))</f>
        <v>x</v>
      </c>
    </row>
    <row r="25" spans="1:12" ht="9" customHeight="1">
      <c r="A25" s="21" t="s">
        <v>93</v>
      </c>
      <c r="B25" s="120"/>
      <c r="C25" s="184">
        <f t="shared" si="0"/>
        <v>0</v>
      </c>
      <c r="D25" s="184">
        <f t="shared" si="0"/>
        <v>0</v>
      </c>
      <c r="E25" s="184">
        <f t="shared" ref="E25:F28" si="16">SUM(E43+E61)</f>
        <v>0</v>
      </c>
      <c r="F25" s="184">
        <f t="shared" si="16"/>
        <v>0</v>
      </c>
      <c r="G25" s="185">
        <f t="shared" ref="G25" si="17">SUM(G43+G61)</f>
        <v>0</v>
      </c>
      <c r="H25" s="293">
        <v>0</v>
      </c>
      <c r="I25" s="293">
        <v>0</v>
      </c>
      <c r="J25" s="293">
        <v>0</v>
      </c>
      <c r="K25" s="293">
        <v>0</v>
      </c>
      <c r="L25" s="337">
        <v>0</v>
      </c>
    </row>
    <row r="26" spans="1:12" ht="9" customHeight="1">
      <c r="A26" s="21" t="s">
        <v>254</v>
      </c>
      <c r="B26" s="120"/>
      <c r="C26" s="42">
        <f t="shared" si="0"/>
        <v>0</v>
      </c>
      <c r="D26" s="42">
        <f t="shared" si="0"/>
        <v>0</v>
      </c>
      <c r="E26" s="42">
        <f t="shared" si="16"/>
        <v>0</v>
      </c>
      <c r="F26" s="42">
        <f t="shared" si="16"/>
        <v>0</v>
      </c>
      <c r="G26" s="44">
        <f t="shared" ref="G26" si="18">SUM(G44+G62)</f>
        <v>0</v>
      </c>
      <c r="H26" s="293" t="str">
        <f>IF('AW Schüler'!$C128=0,"x",(IF('AW Schüler'!$C146=0,"-",C26/'AW Schüler'!$C146)))</f>
        <v>-</v>
      </c>
      <c r="I26" s="293" t="str">
        <f>IF('AW Schüler'!$F128=0,"x",(IF('AW Schüler'!$F146=0,"-",D26/'AW Schüler'!$F146)))</f>
        <v>-</v>
      </c>
      <c r="J26" s="293" t="str">
        <f>IF('AW Schüler'!$I128=0,"x",(IF('AW Schüler'!$I146=0,"-",E26/'AW Schüler'!$I146)))</f>
        <v>-</v>
      </c>
      <c r="K26" s="293" t="str">
        <f>IF('AW Schüler'!$L128=0,"x",(IF('AW Schüler'!$L146=0,"-",F26/'AW Schüler'!$L146)))</f>
        <v>-</v>
      </c>
      <c r="L26" s="337" t="str">
        <f>IF('AW Schüler'!$O128=0,"x",(IF('AW Schüler'!$O146=0,"-",G26/'AW Schüler'!$O146)))</f>
        <v>-</v>
      </c>
    </row>
    <row r="27" spans="1:12" ht="9" customHeight="1">
      <c r="A27" s="21" t="s">
        <v>95</v>
      </c>
      <c r="B27" s="120"/>
      <c r="C27" s="42">
        <f t="shared" si="0"/>
        <v>686</v>
      </c>
      <c r="D27" s="42">
        <f t="shared" si="0"/>
        <v>879</v>
      </c>
      <c r="E27" s="42">
        <f t="shared" si="16"/>
        <v>1125</v>
      </c>
      <c r="F27" s="42">
        <f t="shared" si="16"/>
        <v>1283</v>
      </c>
      <c r="G27" s="44">
        <f t="shared" ref="G27" si="19">SUM(G45+G63)</f>
        <v>1430</v>
      </c>
      <c r="H27" s="153">
        <f>IF('AW Schüler'!$C129=0,"x",(IF('AW Schüler'!$C147=0,"-",C27/'AW Schüler'!$C147)))</f>
        <v>1</v>
      </c>
      <c r="I27" s="153">
        <f>IF('AW Schüler'!$F129=0,"x",(IF('AW Schüler'!$F147=0,"-",D27/'AW Schüler'!$F147)))</f>
        <v>1</v>
      </c>
      <c r="J27" s="153">
        <f>IF('AW Schüler'!$I129=0,"x",(IF('AW Schüler'!$I147=0,"-",E27/'AW Schüler'!$I147)))</f>
        <v>0.95826235093696766</v>
      </c>
      <c r="K27" s="153">
        <f>IF('AW Schüler'!$L129=0,"x",(IF('AW Schüler'!$L147=0,"-",F27/'AW Schüler'!$L147)))</f>
        <v>0.98844375963020026</v>
      </c>
      <c r="L27" s="154">
        <f>IF('AW Schüler'!$O129=0,"x",(IF('AW Schüler'!$O147=0,"-",G27/'AW Schüler'!$O147)))</f>
        <v>0.95143047238855627</v>
      </c>
    </row>
    <row r="28" spans="1:12" ht="9" customHeight="1">
      <c r="A28" s="21" t="s">
        <v>96</v>
      </c>
      <c r="B28" s="120"/>
      <c r="C28" s="42">
        <f t="shared" ref="C28:D28" si="20">SUM(C46+C64)</f>
        <v>2679</v>
      </c>
      <c r="D28" s="42">
        <f t="shared" si="20"/>
        <v>4148</v>
      </c>
      <c r="E28" s="42">
        <f t="shared" si="16"/>
        <v>4802</v>
      </c>
      <c r="F28" s="42">
        <f t="shared" si="16"/>
        <v>5133</v>
      </c>
      <c r="G28" s="44">
        <f t="shared" ref="G28" si="21">SUM(G46+G64)</f>
        <v>5724</v>
      </c>
      <c r="H28" s="153">
        <f>IF('AW Schüler'!$C130=0,"x",(IF('AW Schüler'!$C148=0,"-",C28/'AW Schüler'!$C148)))</f>
        <v>0.60734527318068465</v>
      </c>
      <c r="I28" s="153">
        <f>IF('AW Schüler'!$F130=0,"x",(IF('AW Schüler'!$F148=0,"-",D28/'AW Schüler'!$F148)))</f>
        <v>0.87621461765948461</v>
      </c>
      <c r="J28" s="153">
        <f>IF('AW Schüler'!$I130=0,"x",(IF('AW Schüler'!$I148=0,"-",E28/'AW Schüler'!$I148)))</f>
        <v>0.91921898928024504</v>
      </c>
      <c r="K28" s="153">
        <f>IF('AW Schüler'!$L130=0,"x",(IF('AW Schüler'!$L148=0,"-",F28/'AW Schüler'!$L148)))</f>
        <v>0.88683483068417412</v>
      </c>
      <c r="L28" s="154">
        <f>IF('AW Schüler'!$O130=0,"x",(IF('AW Schüler'!$O148=0,"-",G28/'AW Schüler'!$O148)))</f>
        <v>0.9011335012594458</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151">
        <f>[1]GtS!$E$73</f>
        <v>44</v>
      </c>
      <c r="D30" s="151">
        <f>[2]GtS!$E$77</f>
        <v>45</v>
      </c>
      <c r="E30" s="151">
        <f>[3]GtS!$E$77</f>
        <v>158</v>
      </c>
      <c r="F30" s="151">
        <f>[4]GtS!$E$77</f>
        <v>398</v>
      </c>
      <c r="G30" s="152">
        <f>[5]GtS!$E$77</f>
        <v>371</v>
      </c>
      <c r="H30" s="155">
        <f>IF('AW Schüler'!$C114=0,"x",(IF('AW Schüler'!$C132=0,"-",C30/'AW Schüler'!$C132)))</f>
        <v>1</v>
      </c>
      <c r="I30" s="155">
        <f>IF('AW Schüler'!$F114=0,"x",(IF('AW Schüler'!$F132=0,"-",D30/'AW Schüler'!$F132)))</f>
        <v>0.19148936170212766</v>
      </c>
      <c r="J30" s="155">
        <f>IF('AW Schüler'!$I114=0,"x",(IF('AW Schüler'!$I132=0,"-",E30/'AW Schüler'!$I132)))</f>
        <v>0.34422657952069718</v>
      </c>
      <c r="K30" s="155">
        <f>IF('AW Schüler'!$L114=0,"x",(IF('AW Schüler'!$L132=0,"-",F30/'AW Schüler'!$L132)))</f>
        <v>0.65785123966942149</v>
      </c>
      <c r="L30" s="156">
        <f>IF('AW Schüler'!$O114=0,"x",(IF('AW Schüler'!$O132=0,"-",G30/'AW Schüler'!$O132)))</f>
        <v>0.44645006016847172</v>
      </c>
    </row>
    <row r="31" spans="1:12" ht="9" customHeight="1">
      <c r="A31" s="21" t="s">
        <v>81</v>
      </c>
      <c r="B31" s="120"/>
      <c r="C31" s="151">
        <f>[6]GtS!$E$73</f>
        <v>0</v>
      </c>
      <c r="D31" s="151">
        <f>[7]GtS!$E$77</f>
        <v>0</v>
      </c>
      <c r="E31" s="151">
        <f>[8]GtS!$E$77</f>
        <v>0</v>
      </c>
      <c r="F31" s="151" t="str">
        <f>[9]GtS!$E$77</f>
        <v xml:space="preserve">                                      -   </v>
      </c>
      <c r="G31" s="152">
        <f>[10]GtS!$E$77</f>
        <v>0</v>
      </c>
      <c r="H31" s="155" t="str">
        <f>IF('AW Schüler'!$C115=0,"x",(IF('AW Schüler'!$C133=0,"-",C31/'AW Schüler'!$C133)))</f>
        <v>x</v>
      </c>
      <c r="I31" s="155" t="str">
        <f>IF('AW Schüler'!$F115=0,"x",(IF('AW Schüler'!$F133=0,"-",D31/'AW Schüler'!$F133)))</f>
        <v>x</v>
      </c>
      <c r="J31" s="155" t="str">
        <f>IF('AW Schüler'!$I115=0,"x",(IF('AW Schüler'!$I133=0,"-",E31/'AW Schüler'!$I133)))</f>
        <v>x</v>
      </c>
      <c r="K31" s="155" t="str">
        <f>IF('AW Schüler'!$L115=0,"x",(IF('AW Schüler'!$L133=0,"-",F31/'AW Schüler'!$L133)))</f>
        <v>x</v>
      </c>
      <c r="L31" s="156" t="str">
        <f>IF('AW Schüler'!$O115=0,"x",(IF('AW Schüler'!$O133=0,"-",G31/'AW Schüler'!$O133)))</f>
        <v>x</v>
      </c>
    </row>
    <row r="32" spans="1:12" ht="9" customHeight="1">
      <c r="A32" s="21" t="s">
        <v>82</v>
      </c>
      <c r="B32" s="120"/>
      <c r="C32" s="23">
        <f>[11]GtS!$E$73</f>
        <v>410</v>
      </c>
      <c r="D32" s="23">
        <f>[12]GtS!$E$77</f>
        <v>174</v>
      </c>
      <c r="E32" s="23">
        <f>[13]GtS!$E$77</f>
        <v>0</v>
      </c>
      <c r="F32" s="23">
        <f>[14]GtS!$E$77</f>
        <v>0</v>
      </c>
      <c r="G32" s="34">
        <f>[15]GtS!$E$77</f>
        <v>74</v>
      </c>
      <c r="H32" s="155">
        <f>IF('AW Schüler'!$C116=0,"x",(IF('AW Schüler'!$C134=0,"-",C32/'AW Schüler'!$C134)))</f>
        <v>0.18410417602155366</v>
      </c>
      <c r="I32" s="155">
        <f>IF('AW Schüler'!$F116=0,"x",(IF('AW Schüler'!$F134=0,"-",D32/'AW Schüler'!$F134)))</f>
        <v>7.6349275998244842E-2</v>
      </c>
      <c r="J32" s="155">
        <f>IF('AW Schüler'!$I116=0,"x",(IF('AW Schüler'!$I134=0,"-",E32/'AW Schüler'!$I134)))</f>
        <v>0</v>
      </c>
      <c r="K32" s="155">
        <f>IF('AW Schüler'!$L116=0,"x",(IF('AW Schüler'!$L134=0,"-",F32/'AW Schüler'!$L134)))</f>
        <v>0</v>
      </c>
      <c r="L32" s="156">
        <f>IF('AW Schüler'!$O116=0,"x",(IF('AW Schüler'!$O134=0,"-",G32/'AW Schüler'!$O134)))</f>
        <v>2.7056672760511883E-2</v>
      </c>
    </row>
    <row r="33" spans="1:12" ht="9" customHeight="1">
      <c r="A33" s="21" t="s">
        <v>83</v>
      </c>
      <c r="B33" s="120"/>
      <c r="C33" s="23">
        <f>[16]GtS!$E$73</f>
        <v>0</v>
      </c>
      <c r="D33" s="23">
        <f>[17]GtS!$E$77</f>
        <v>0</v>
      </c>
      <c r="E33" s="23">
        <f>[18]GtS!$E$77</f>
        <v>0</v>
      </c>
      <c r="F33" s="23">
        <f>[19]GtS!$E$77</f>
        <v>0</v>
      </c>
      <c r="G33" s="34">
        <f>[20]GtS!$E$77</f>
        <v>0</v>
      </c>
      <c r="H33" s="155" t="str">
        <f>IF('AW Schüler'!$C117=0,"x",(IF('AW Schüler'!$C135=0,"-",C33/'AW Schüler'!$C135)))</f>
        <v>-</v>
      </c>
      <c r="I33" s="155" t="str">
        <f>IF('AW Schüler'!$F117=0,"x",(IF('AW Schüler'!$F135=0,"-",D33/'AW Schüler'!$F135)))</f>
        <v>-</v>
      </c>
      <c r="J33" s="155" t="str">
        <f>IF('AW Schüler'!$I117=0,"x",(IF('AW Schüler'!$I135=0,"-",E33/'AW Schüler'!$I135)))</f>
        <v>-</v>
      </c>
      <c r="K33" s="155">
        <f>IF('AW Schüler'!$L117=0,"x",(IF('AW Schüler'!$L135=0,"-",F33/'AW Schüler'!$L135)))</f>
        <v>0</v>
      </c>
      <c r="L33" s="156" t="str">
        <f>IF('AW Schüler'!$O117=0,"x",(IF('AW Schüler'!$O135=0,"-",G33/'AW Schüler'!$O135)))</f>
        <v>-</v>
      </c>
    </row>
    <row r="34" spans="1:12" ht="9" customHeight="1">
      <c r="A34" s="21" t="s">
        <v>84</v>
      </c>
      <c r="B34" s="120"/>
      <c r="C34" s="23">
        <f>[21]GtS!$E$73</f>
        <v>0</v>
      </c>
      <c r="D34" s="23">
        <f>[22]GtS!$E$77</f>
        <v>0</v>
      </c>
      <c r="E34" s="23">
        <f>[23]GtS!$E$77</f>
        <v>0</v>
      </c>
      <c r="F34" s="23">
        <f>[24]GtS!$E$77</f>
        <v>0</v>
      </c>
      <c r="G34" s="34">
        <f>[25]GtS!$E$77</f>
        <v>0</v>
      </c>
      <c r="H34" s="155" t="str">
        <f>IF('AW Schüler'!$C118=0,"x",(IF('AW Schüler'!$C136=0,"-",C34/'AW Schüler'!$C136)))</f>
        <v>-</v>
      </c>
      <c r="I34" s="155" t="str">
        <f>IF('AW Schüler'!$F118=0,"x",(IF('AW Schüler'!$F136=0,"-",D34/'AW Schüler'!$F136)))</f>
        <v>-</v>
      </c>
      <c r="J34" s="155" t="str">
        <f>IF('AW Schüler'!$I118=0,"x",(IF('AW Schüler'!$I136=0,"-",E34/'AW Schüler'!$I136)))</f>
        <v>-</v>
      </c>
      <c r="K34" s="155" t="str">
        <f>IF('AW Schüler'!$L118=0,"x",(IF('AW Schüler'!$L136=0,"-",F34/'AW Schüler'!$L136)))</f>
        <v>-</v>
      </c>
      <c r="L34" s="156" t="str">
        <f>IF('AW Schüler'!$O118=0,"x",(IF('AW Schüler'!$O136=0,"-",G34/'AW Schüler'!$O136)))</f>
        <v>-</v>
      </c>
    </row>
    <row r="35" spans="1:12" ht="9" customHeight="1">
      <c r="A35" s="21" t="s">
        <v>85</v>
      </c>
      <c r="B35" s="120"/>
      <c r="C35" s="23">
        <f>[26]GtS!$E$73</f>
        <v>0</v>
      </c>
      <c r="D35" s="23">
        <f>[27]GtS!$E$77</f>
        <v>19</v>
      </c>
      <c r="E35" s="23">
        <f>[28]GtS!$E$77</f>
        <v>27</v>
      </c>
      <c r="F35" s="23">
        <f>[29]GtS!$E$77</f>
        <v>25</v>
      </c>
      <c r="G35" s="34">
        <f>[30]GtS!$E$77</f>
        <v>25</v>
      </c>
      <c r="H35" s="155">
        <f>IF('AW Schüler'!$C119=0,"x",(IF('AW Schüler'!$C137=0,"-",C35/'AW Schüler'!$C137)))</f>
        <v>0</v>
      </c>
      <c r="I35" s="155">
        <f>IF('AW Schüler'!$F119=0,"x",(IF('AW Schüler'!$F137=0,"-",D35/'AW Schüler'!$F137)))</f>
        <v>1.4168530947054437E-2</v>
      </c>
      <c r="J35" s="155">
        <f>IF('AW Schüler'!$I119=0,"x",(IF('AW Schüler'!$I137=0,"-",E35/'AW Schüler'!$I137)))</f>
        <v>2.097902097902098E-2</v>
      </c>
      <c r="K35" s="155">
        <f>IF('AW Schüler'!$L119=0,"x",(IF('AW Schüler'!$L137=0,"-",F35/'AW Schüler'!$L137)))</f>
        <v>1.9592476489028215E-2</v>
      </c>
      <c r="L35" s="156">
        <f>IF('AW Schüler'!$O119=0,"x",(IF('AW Schüler'!$O137=0,"-",G35/'AW Schüler'!$O137)))</f>
        <v>1.9485580670303974E-2</v>
      </c>
    </row>
    <row r="36" spans="1:12" ht="9" customHeight="1">
      <c r="A36" s="21" t="s">
        <v>86</v>
      </c>
      <c r="B36" s="120"/>
      <c r="C36" s="124">
        <f>[66]GtS!$E$73</f>
        <v>0</v>
      </c>
      <c r="D36" s="124">
        <f>[67]GtS!$E$77</f>
        <v>0</v>
      </c>
      <c r="E36" s="124">
        <f>[68]GtS!$E$77</f>
        <v>0</v>
      </c>
      <c r="F36" s="124">
        <f>[69]GtS!$E$77</f>
        <v>0</v>
      </c>
      <c r="G36" s="188">
        <f>[70]GtS!$E$77</f>
        <v>0</v>
      </c>
      <c r="H36" s="295">
        <f>IF('AW Schüler'!$C120=0,"x",(IF('AW Schüler'!$C138=0,"-",C36/'AW Schüler'!$C138)))</f>
        <v>0</v>
      </c>
      <c r="I36" s="295">
        <f>IF('AW Schüler'!$F120=0,"x",(IF('AW Schüler'!$F138=0,"-",D36/'AW Schüler'!$F138)))</f>
        <v>0</v>
      </c>
      <c r="J36" s="295">
        <f>IF('AW Schüler'!$I120=0,"x",(IF('AW Schüler'!$I138=0,"-",E36/'AW Schüler'!$I138)))</f>
        <v>0</v>
      </c>
      <c r="K36" s="295">
        <f>IF('AW Schüler'!$L120=0,"x",(IF('AW Schüler'!$L138=0,"-",F36/'AW Schüler'!$L138)))</f>
        <v>0</v>
      </c>
      <c r="L36" s="338">
        <f>IF('AW Schüler'!$O120=0,"x",(IF('AW Schüler'!$O138=0,"-",G36/'AW Schüler'!$O138)))</f>
        <v>0</v>
      </c>
    </row>
    <row r="37" spans="1:12" ht="9" customHeight="1">
      <c r="A37" s="21" t="s">
        <v>87</v>
      </c>
      <c r="B37" s="120"/>
      <c r="C37" s="23">
        <f>[31]GtS!$E$73</f>
        <v>0</v>
      </c>
      <c r="D37" s="23">
        <f>[32]GtS!$E$77</f>
        <v>0</v>
      </c>
      <c r="E37" s="23">
        <f>[33]GtS!$E$77</f>
        <v>0</v>
      </c>
      <c r="F37" s="23">
        <f>[34]GtS!$E$77</f>
        <v>0</v>
      </c>
      <c r="G37" s="34">
        <f>[35]GtS!$E$77</f>
        <v>0</v>
      </c>
      <c r="H37" s="155" t="str">
        <f>IF('AW Schüler'!$C121=0,"x",(IF('AW Schüler'!$C139=0,"-",C37/'AW Schüler'!$C139)))</f>
        <v>-</v>
      </c>
      <c r="I37" s="155" t="str">
        <f>IF('AW Schüler'!$F121=0,"x",(IF('AW Schüler'!$F139=0,"-",D37/'AW Schüler'!$F139)))</f>
        <v>-</v>
      </c>
      <c r="J37" s="155" t="str">
        <f>IF('AW Schüler'!$I121=0,"x",(IF('AW Schüler'!$I139=0,"-",E37/'AW Schüler'!$I139)))</f>
        <v>-</v>
      </c>
      <c r="K37" s="155" t="str">
        <f>IF('AW Schüler'!$L121=0,"x",(IF('AW Schüler'!$L139=0,"-",F37/'AW Schüler'!$L139)))</f>
        <v>-</v>
      </c>
      <c r="L37" s="156" t="str">
        <f>IF('AW Schüler'!$O121=0,"x",(IF('AW Schüler'!$O139=0,"-",G37/'AW Schüler'!$O139)))</f>
        <v>-</v>
      </c>
    </row>
    <row r="38" spans="1:12" ht="9" customHeight="1">
      <c r="A38" s="21" t="s">
        <v>88</v>
      </c>
      <c r="B38" s="120"/>
      <c r="C38" s="124">
        <f>[71]GtS!$E$73</f>
        <v>0</v>
      </c>
      <c r="D38" s="124">
        <f>[72]GtS!$E$77</f>
        <v>0</v>
      </c>
      <c r="E38" s="124">
        <f>[73]GtS!$E$77</f>
        <v>0</v>
      </c>
      <c r="F38" s="124">
        <f>[74]GtS!$E$77</f>
        <v>0</v>
      </c>
      <c r="G38" s="188">
        <f>[75]GtS!$E$77</f>
        <v>0</v>
      </c>
      <c r="H38" s="295">
        <f>IF('AW Schüler'!$C122=0,"x",(IF('AW Schüler'!$C140=0,"-",C38/'AW Schüler'!$C140)))</f>
        <v>0</v>
      </c>
      <c r="I38" s="295">
        <f>IF('AW Schüler'!$F122=0,"x",(IF('AW Schüler'!$F140=0,"-",D38/'AW Schüler'!$F140)))</f>
        <v>0</v>
      </c>
      <c r="J38" s="295">
        <f>IF('AW Schüler'!$I122=0,"x",(IF('AW Schüler'!$I140=0,"-",E38/'AW Schüler'!$I140)))</f>
        <v>0</v>
      </c>
      <c r="K38" s="295">
        <f>IF('AW Schüler'!$L122=0,"x",(IF('AW Schüler'!$L140=0,"-",F38/'AW Schüler'!$L140)))</f>
        <v>0</v>
      </c>
      <c r="L38" s="338">
        <f>IF('AW Schüler'!$O122=0,"x",(IF('AW Schüler'!$O140=0,"-",G38/'AW Schüler'!$O140)))</f>
        <v>0</v>
      </c>
    </row>
    <row r="39" spans="1:12" ht="9" customHeight="1">
      <c r="A39" s="21" t="s">
        <v>89</v>
      </c>
      <c r="B39" s="120"/>
      <c r="C39" s="23">
        <f>[36]GtS!$E$73</f>
        <v>0</v>
      </c>
      <c r="D39" s="23">
        <f>[37]GtS!$E$77</f>
        <v>0</v>
      </c>
      <c r="E39" s="23">
        <f>[38]GtS!$E$77</f>
        <v>0</v>
      </c>
      <c r="F39" s="23">
        <f>[39]GtS!$E$77</f>
        <v>0</v>
      </c>
      <c r="G39" s="34">
        <f>[40]GtS!$E$77</f>
        <v>0</v>
      </c>
      <c r="H39" s="155" t="str">
        <f>IF('AW Schüler'!$C123=0,"x",(IF('AW Schüler'!$C141=0,"-",C39/'AW Schüler'!$C141)))</f>
        <v>-</v>
      </c>
      <c r="I39" s="155" t="str">
        <f>IF('AW Schüler'!$F123=0,"x",(IF('AW Schüler'!$F141=0,"-",D39/'AW Schüler'!$F141)))</f>
        <v>-</v>
      </c>
      <c r="J39" s="155" t="str">
        <f>IF('AW Schüler'!$I123=0,"x",(IF('AW Schüler'!$I141=0,"-",E39/'AW Schüler'!$I141)))</f>
        <v>-</v>
      </c>
      <c r="K39" s="155" t="str">
        <f>IF('AW Schüler'!$L123=0,"x",(IF('AW Schüler'!$L141=0,"-",F39/'AW Schüler'!$L141)))</f>
        <v>-</v>
      </c>
      <c r="L39" s="156" t="str">
        <f>IF('AW Schüler'!$O123=0,"x",(IF('AW Schüler'!$O141=0,"-",G39/'AW Schüler'!$O141)))</f>
        <v>-</v>
      </c>
    </row>
    <row r="40" spans="1:12" ht="9" customHeight="1">
      <c r="A40" s="21" t="s">
        <v>90</v>
      </c>
      <c r="B40" s="120"/>
      <c r="C40" s="36">
        <f>[41]GtS!$E$73</f>
        <v>0</v>
      </c>
      <c r="D40" s="36">
        <f>[42]GtS!$E$77</f>
        <v>0</v>
      </c>
      <c r="E40" s="36">
        <f>[43]GtS!$E$77</f>
        <v>0</v>
      </c>
      <c r="F40" s="36">
        <f>[44]GtS!$E$77</f>
        <v>0</v>
      </c>
      <c r="G40" s="37">
        <f>[45]GtS!$E$77</f>
        <v>0</v>
      </c>
      <c r="H40" s="155" t="str">
        <f>IF('AW Schüler'!$C124=0,"x",(IF('AW Schüler'!$C142=0,"-",C40/'AW Schüler'!$C142)))</f>
        <v>-</v>
      </c>
      <c r="I40" s="155" t="str">
        <f>IF('AW Schüler'!$F124=0,"x",(IF('AW Schüler'!$F142=0,"-",D40/'AW Schüler'!$F142)))</f>
        <v>-</v>
      </c>
      <c r="J40" s="155" t="str">
        <f>IF('AW Schüler'!$I124=0,"x",(IF('AW Schüler'!$I142=0,"-",E40/'AW Schüler'!$I142)))</f>
        <v>-</v>
      </c>
      <c r="K40" s="155" t="str">
        <f>IF('AW Schüler'!$L124=0,"x",(IF('AW Schüler'!$L142=0,"-",F40/'AW Schüler'!$L142)))</f>
        <v>-</v>
      </c>
      <c r="L40" s="156" t="str">
        <f>IF('AW Schüler'!$O124=0,"x",(IF('AW Schüler'!$O142=0,"-",G40/'AW Schüler'!$O142)))</f>
        <v>-</v>
      </c>
    </row>
    <row r="41" spans="1:12" ht="9" customHeight="1">
      <c r="A41" s="21" t="s">
        <v>91</v>
      </c>
      <c r="B41" s="120"/>
      <c r="C41" s="23">
        <f>[46]GtS!$E$73</f>
        <v>0</v>
      </c>
      <c r="D41" s="23">
        <f>[47]GtS!$E$77</f>
        <v>0</v>
      </c>
      <c r="E41" s="23">
        <f>[48]GtS!$E$77</f>
        <v>0</v>
      </c>
      <c r="F41" s="23">
        <f>[49]GtS!$E$77</f>
        <v>0</v>
      </c>
      <c r="G41" s="34">
        <f>[50]GtS!$E$77</f>
        <v>0</v>
      </c>
      <c r="H41" s="155" t="str">
        <f>IF('AW Schüler'!$C125=0,"x",(IF('AW Schüler'!$C143=0,"-",C41/'AW Schüler'!$C143)))</f>
        <v>-</v>
      </c>
      <c r="I41" s="155" t="str">
        <f>IF('AW Schüler'!$F125=0,"x",(IF('AW Schüler'!$F143=0,"-",D41/'AW Schüler'!$F143)))</f>
        <v>-</v>
      </c>
      <c r="J41" s="155" t="str">
        <f>IF('AW Schüler'!$I125=0,"x",(IF('AW Schüler'!$I143=0,"-",E41/'AW Schüler'!$I143)))</f>
        <v>-</v>
      </c>
      <c r="K41" s="155" t="str">
        <f>IF('AW Schüler'!$L125=0,"x",(IF('AW Schüler'!$L143=0,"-",F41/'AW Schüler'!$L143)))</f>
        <v>-</v>
      </c>
      <c r="L41" s="156" t="str">
        <f>IF('AW Schüler'!$O125=0,"x",(IF('AW Schüler'!$O143=0,"-",G41/'AW Schüler'!$O143)))</f>
        <v>-</v>
      </c>
    </row>
    <row r="42" spans="1:12" ht="9" customHeight="1">
      <c r="A42" s="21" t="s">
        <v>92</v>
      </c>
      <c r="B42" s="120"/>
      <c r="C42" s="151">
        <f>[51]GtS!$E$73</f>
        <v>0</v>
      </c>
      <c r="D42" s="151">
        <f>[52]GtS!$E$77</f>
        <v>0</v>
      </c>
      <c r="E42" s="151">
        <f>[53]GtS!$E$77</f>
        <v>0</v>
      </c>
      <c r="F42" s="151">
        <f>[54]GtS!$E$77</f>
        <v>0</v>
      </c>
      <c r="G42" s="152">
        <f>[55]GtS!$E$77</f>
        <v>0</v>
      </c>
      <c r="H42" s="155" t="str">
        <f>IF('AW Schüler'!$C126=0,"x",(IF('AW Schüler'!$C144=0,"-",C42/'AW Schüler'!$C144)))</f>
        <v>x</v>
      </c>
      <c r="I42" s="155" t="str">
        <f>IF('AW Schüler'!$F126=0,"x",(IF('AW Schüler'!$F144=0,"-",D42/'AW Schüler'!$F144)))</f>
        <v>x</v>
      </c>
      <c r="J42" s="155" t="str">
        <f>IF('AW Schüler'!$I126=0,"x",(IF('AW Schüler'!$I144=0,"-",E42/'AW Schüler'!$I144)))</f>
        <v>x</v>
      </c>
      <c r="K42" s="155" t="str">
        <f>IF('AW Schüler'!$L126=0,"x",(IF('AW Schüler'!$L144=0,"-",F42/'AW Schüler'!$L144)))</f>
        <v>x</v>
      </c>
      <c r="L42" s="156" t="str">
        <f>IF('AW Schüler'!$O126=0,"x",(IF('AW Schüler'!$O144=0,"-",G42/'AW Schüler'!$O144)))</f>
        <v>x</v>
      </c>
    </row>
    <row r="43" spans="1:12" ht="9" customHeight="1">
      <c r="A43" s="21" t="s">
        <v>93</v>
      </c>
      <c r="B43" s="120"/>
      <c r="C43" s="124">
        <f>[76]GtS!$E$73</f>
        <v>0</v>
      </c>
      <c r="D43" s="124">
        <f>[77]GtS!$E$77</f>
        <v>0</v>
      </c>
      <c r="E43" s="124">
        <f>[78]GtS!$E$77</f>
        <v>0</v>
      </c>
      <c r="F43" s="124">
        <f>[79]GtS!$E$77</f>
        <v>0</v>
      </c>
      <c r="G43" s="188">
        <f>[80]GtS!$E$77</f>
        <v>0</v>
      </c>
      <c r="H43" s="295">
        <v>0</v>
      </c>
      <c r="I43" s="295">
        <v>0</v>
      </c>
      <c r="J43" s="295">
        <v>0</v>
      </c>
      <c r="K43" s="295">
        <v>0</v>
      </c>
      <c r="L43" s="338">
        <v>0</v>
      </c>
    </row>
    <row r="44" spans="1:12" ht="9" customHeight="1">
      <c r="A44" s="21" t="s">
        <v>254</v>
      </c>
      <c r="B44" s="120"/>
      <c r="C44" s="23">
        <f>[56]GtS!$E$73</f>
        <v>0</v>
      </c>
      <c r="D44" s="23">
        <f>[57]GtS!$E$77</f>
        <v>0</v>
      </c>
      <c r="E44" s="23">
        <f>[58]GtS!$E$77</f>
        <v>0</v>
      </c>
      <c r="F44" s="23">
        <f>[59]GtS!$E$77</f>
        <v>0</v>
      </c>
      <c r="G44" s="34">
        <f>[60]GtS!$E$77</f>
        <v>0</v>
      </c>
      <c r="H44" s="155" t="str">
        <f>IF('AW Schüler'!$C128=0,"x",(IF('AW Schüler'!$C146=0,"-",C44/'AW Schüler'!$C146)))</f>
        <v>-</v>
      </c>
      <c r="I44" s="155" t="str">
        <f>IF('AW Schüler'!$F128=0,"x",(IF('AW Schüler'!$F146=0,"-",D44/'AW Schüler'!$F146)))</f>
        <v>-</v>
      </c>
      <c r="J44" s="155" t="str">
        <f>IF('AW Schüler'!$I128=0,"x",(IF('AW Schüler'!$I146=0,"-",E44/'AW Schüler'!$I146)))</f>
        <v>-</v>
      </c>
      <c r="K44" s="155" t="str">
        <f>IF('AW Schüler'!$L128=0,"x",(IF('AW Schüler'!$L146=0,"-",F44/'AW Schüler'!$L146)))</f>
        <v>-</v>
      </c>
      <c r="L44" s="156" t="str">
        <f>IF('AW Schüler'!$O128=0,"x",(IF('AW Schüler'!$O146=0,"-",G44/'AW Schüler'!$O146)))</f>
        <v>-</v>
      </c>
    </row>
    <row r="45" spans="1:12" ht="9" customHeight="1">
      <c r="A45" s="21" t="s">
        <v>95</v>
      </c>
      <c r="B45" s="120"/>
      <c r="C45" s="23">
        <f>[61]GtS!$E$73</f>
        <v>686</v>
      </c>
      <c r="D45" s="23">
        <f>[62]GtS!$E$77</f>
        <v>879</v>
      </c>
      <c r="E45" s="23">
        <f>[63]GtS!$E$77</f>
        <v>1016</v>
      </c>
      <c r="F45" s="23">
        <f>[64]GtS!$E$77</f>
        <v>1193</v>
      </c>
      <c r="G45" s="34">
        <f>[65]GtS!$E$77</f>
        <v>1394</v>
      </c>
      <c r="H45" s="155">
        <f>IF('AW Schüler'!$C129=0,"x",(IF('AW Schüler'!$C147=0,"-",C45/'AW Schüler'!$C147)))</f>
        <v>1</v>
      </c>
      <c r="I45" s="155">
        <f>IF('AW Schüler'!$F129=0,"x",(IF('AW Schüler'!$F147=0,"-",D45/'AW Schüler'!$F147)))</f>
        <v>1</v>
      </c>
      <c r="J45" s="155">
        <f>IF('AW Schüler'!$I129=0,"x",(IF('AW Schüler'!$I147=0,"-",E45/'AW Schüler'!$I147)))</f>
        <v>0.86541737649063033</v>
      </c>
      <c r="K45" s="155">
        <f>IF('AW Schüler'!$L129=0,"x",(IF('AW Schüler'!$L147=0,"-",F45/'AW Schüler'!$L147)))</f>
        <v>0.91910631741140214</v>
      </c>
      <c r="L45" s="156">
        <f>IF('AW Schüler'!$O129=0,"x",(IF('AW Schüler'!$O147=0,"-",G45/'AW Schüler'!$O147)))</f>
        <v>0.92747837658017296</v>
      </c>
    </row>
    <row r="46" spans="1:12" ht="9" customHeight="1">
      <c r="A46" s="21" t="s">
        <v>96</v>
      </c>
      <c r="B46" s="120"/>
      <c r="C46" s="23">
        <f>SUM(C30:C45)</f>
        <v>1140</v>
      </c>
      <c r="D46" s="23">
        <f>SUM(D30:D45)</f>
        <v>1117</v>
      </c>
      <c r="E46" s="23">
        <f>SUM(E30:E45)</f>
        <v>1201</v>
      </c>
      <c r="F46" s="23">
        <f>SUM(F30:F45)</f>
        <v>1616</v>
      </c>
      <c r="G46" s="34">
        <f>SUM(G30:G45)</f>
        <v>1864</v>
      </c>
      <c r="H46" s="155">
        <f>IF('AW Schüler'!$C130=0,"x",(IF('AW Schüler'!$C148=0,"-",C46/'AW Schüler'!$C148)))</f>
        <v>0.2584447970981637</v>
      </c>
      <c r="I46" s="155">
        <f>IF('AW Schüler'!$F130=0,"x",(IF('AW Schüler'!$F148=0,"-",D46/'AW Schüler'!$F148)))</f>
        <v>0.23595268272074355</v>
      </c>
      <c r="J46" s="155">
        <f>IF('AW Schüler'!$I130=0,"x",(IF('AW Schüler'!$I148=0,"-",E46/'AW Schüler'!$I148)))</f>
        <v>0.22990045941807044</v>
      </c>
      <c r="K46" s="155">
        <f>IF('AW Schüler'!$L130=0,"x",(IF('AW Schüler'!$L148=0,"-",F46/'AW Schüler'!$L148)))</f>
        <v>0.2791983413959917</v>
      </c>
      <c r="L46" s="156">
        <f>IF('AW Schüler'!$O130=0,"x",(IF('AW Schüler'!$O148=0,"-",G46/'AW Schüler'!$O148)))</f>
        <v>0.29345088161209065</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[1]GtS!$H$73</f>
        <v>0</v>
      </c>
      <c r="D48" s="23">
        <f>[2]GtS!$H$77</f>
        <v>99</v>
      </c>
      <c r="E48" s="23">
        <f>[3]GtS!$H$77</f>
        <v>96</v>
      </c>
      <c r="F48" s="23">
        <f>[4]GtS!$H$77</f>
        <v>0</v>
      </c>
      <c r="G48" s="34">
        <f>[5]GtS!$H$77</f>
        <v>0</v>
      </c>
      <c r="H48" s="155">
        <f>IF('AW Schüler'!$C114=0,"x",(IF('AW Schüler'!$C132=0,"-",C48/'AW Schüler'!$C132)))</f>
        <v>0</v>
      </c>
      <c r="I48" s="155">
        <f>IF('AW Schüler'!$F114=0,"x",(IF('AW Schüler'!$F132=0,"-",D48/'AW Schüler'!$F132)))</f>
        <v>0.42127659574468085</v>
      </c>
      <c r="J48" s="155">
        <f>IF('AW Schüler'!$I114=0,"x",(IF('AW Schüler'!$I132=0,"-",E48/'AW Schüler'!$I132)))</f>
        <v>0.20915032679738563</v>
      </c>
      <c r="K48" s="155">
        <f>IF('AW Schüler'!$L114=0,"x",(IF('AW Schüler'!$L132=0,"-",F48/'AW Schüler'!$L132)))</f>
        <v>0</v>
      </c>
      <c r="L48" s="156">
        <f>IF('AW Schüler'!$O114=0,"x",(IF('AW Schüler'!$O132=0,"-",G48/'AW Schüler'!$O132)))</f>
        <v>0</v>
      </c>
    </row>
    <row r="49" spans="1:12" ht="9" customHeight="1">
      <c r="A49" s="21" t="s">
        <v>81</v>
      </c>
      <c r="B49" s="120"/>
      <c r="C49" s="151">
        <f>[6]GtS!$H$73</f>
        <v>0</v>
      </c>
      <c r="D49" s="151">
        <f>[7]GtS!$H$77</f>
        <v>0</v>
      </c>
      <c r="E49" s="151">
        <f>[8]GtS!$H$77</f>
        <v>0</v>
      </c>
      <c r="F49" s="151" t="str">
        <f>[9]GtS!$H$77</f>
        <v xml:space="preserve">                                      -   </v>
      </c>
      <c r="G49" s="152">
        <f>[10]GtS!$H$77</f>
        <v>0</v>
      </c>
      <c r="H49" s="155" t="str">
        <f>IF('AW Schüler'!$C115=0,"x",(IF('AW Schüler'!$C133=0,"-",C49/'AW Schüler'!$C133)))</f>
        <v>x</v>
      </c>
      <c r="I49" s="155" t="str">
        <f>IF('AW Schüler'!$F115=0,"x",(IF('AW Schüler'!$F133=0,"-",D49/'AW Schüler'!$F133)))</f>
        <v>x</v>
      </c>
      <c r="J49" s="155" t="str">
        <f>IF('AW Schüler'!$I115=0,"x",(IF('AW Schüler'!$I133=0,"-",E49/'AW Schüler'!$I133)))</f>
        <v>x</v>
      </c>
      <c r="K49" s="155" t="str">
        <f>IF('AW Schüler'!$L115=0,"x",(IF('AW Schüler'!$L133=0,"-",F49/'AW Schüler'!$L133)))</f>
        <v>x</v>
      </c>
      <c r="L49" s="156" t="str">
        <f>IF('AW Schüler'!$O115=0,"x",(IF('AW Schüler'!$O133=0,"-",G49/'AW Schüler'!$O133)))</f>
        <v>x</v>
      </c>
    </row>
    <row r="50" spans="1:12" ht="9" customHeight="1">
      <c r="A50" s="21" t="s">
        <v>82</v>
      </c>
      <c r="B50" s="120"/>
      <c r="C50" s="23">
        <f>[11]GtS!$H$73</f>
        <v>1453</v>
      </c>
      <c r="D50" s="23">
        <f>[12]GtS!$H$77</f>
        <v>1610</v>
      </c>
      <c r="E50" s="23">
        <f>[13]GtS!$H$77</f>
        <v>2136</v>
      </c>
      <c r="F50" s="23">
        <f>[14]GtS!$H$77</f>
        <v>2169</v>
      </c>
      <c r="G50" s="34">
        <f>[15]GtS!$H$77</f>
        <v>2566</v>
      </c>
      <c r="H50" s="155">
        <f>IF('AW Schüler'!$C116=0,"x",(IF('AW Schüler'!$C134=0,"-",C50/'AW Schüler'!$C134)))</f>
        <v>0.65244723843735963</v>
      </c>
      <c r="I50" s="155">
        <f>IF('AW Schüler'!$F116=0,"x",(IF('AW Schüler'!$F134=0,"-",D50/'AW Schüler'!$F134)))</f>
        <v>0.70645019745502413</v>
      </c>
      <c r="J50" s="155">
        <f>IF('AW Schüler'!$I116=0,"x",(IF('AW Schüler'!$I134=0,"-",E50/'AW Schüler'!$I134)))</f>
        <v>0.92708333333333337</v>
      </c>
      <c r="K50" s="155">
        <f>IF('AW Schüler'!$L116=0,"x",(IF('AW Schüler'!$L134=0,"-",F50/'AW Schüler'!$L134)))</f>
        <v>0.83358954650269024</v>
      </c>
      <c r="L50" s="156">
        <f>IF('AW Schüler'!$O116=0,"x",(IF('AW Schüler'!$O134=0,"-",G50/'AW Schüler'!$O134)))</f>
        <v>0.9382084095063985</v>
      </c>
    </row>
    <row r="51" spans="1:12" ht="9" customHeight="1">
      <c r="A51" s="21" t="s">
        <v>83</v>
      </c>
      <c r="B51" s="120"/>
      <c r="C51" s="23">
        <f>[16]GtS!$H$73</f>
        <v>0</v>
      </c>
      <c r="D51" s="23">
        <f>[17]GtS!$H$77</f>
        <v>0</v>
      </c>
      <c r="E51" s="23">
        <f>[18]GtS!$H$77</f>
        <v>0</v>
      </c>
      <c r="F51" s="23">
        <f>[19]GtS!$H$77</f>
        <v>7</v>
      </c>
      <c r="G51" s="34">
        <f>[20]GtS!$H$77</f>
        <v>0</v>
      </c>
      <c r="H51" s="155" t="str">
        <f>IF('AW Schüler'!$C117=0,"x",(IF('AW Schüler'!$C135=0,"-",C51/'AW Schüler'!$C135)))</f>
        <v>-</v>
      </c>
      <c r="I51" s="155" t="str">
        <f>IF('AW Schüler'!$F117=0,"x",(IF('AW Schüler'!$F135=0,"-",D51/'AW Schüler'!$F135)))</f>
        <v>-</v>
      </c>
      <c r="J51" s="155" t="str">
        <f>IF('AW Schüler'!$I117=0,"x",(IF('AW Schüler'!$I135=0,"-",E51/'AW Schüler'!$I135)))</f>
        <v>-</v>
      </c>
      <c r="K51" s="155">
        <f>IF('AW Schüler'!$L117=0,"x",(IF('AW Schüler'!$L135=0,"-",F51/'AW Schüler'!$L135)))</f>
        <v>1</v>
      </c>
      <c r="L51" s="156" t="str">
        <f>IF('AW Schüler'!$O117=0,"x",(IF('AW Schüler'!$O135=0,"-",G51/'AW Schüler'!$O135)))</f>
        <v>-</v>
      </c>
    </row>
    <row r="52" spans="1:12" ht="9" customHeight="1">
      <c r="A52" s="21" t="s">
        <v>84</v>
      </c>
      <c r="B52" s="120"/>
      <c r="C52" s="23">
        <f>[21]GtS!$H$73</f>
        <v>0</v>
      </c>
      <c r="D52" s="23">
        <f>[22]GtS!$H$77</f>
        <v>0</v>
      </c>
      <c r="E52" s="23">
        <f>[23]GtS!$H$77</f>
        <v>0</v>
      </c>
      <c r="F52" s="23">
        <f>[24]GtS!$H$77</f>
        <v>0</v>
      </c>
      <c r="G52" s="34">
        <f>[25]GtS!$H$77</f>
        <v>0</v>
      </c>
      <c r="H52" s="155" t="str">
        <f>IF('AW Schüler'!$C118=0,"x",(IF('AW Schüler'!$C136=0,"-",C52/'AW Schüler'!$C136)))</f>
        <v>-</v>
      </c>
      <c r="I52" s="155" t="str">
        <f>IF('AW Schüler'!$F118=0,"x",(IF('AW Schüler'!$F136=0,"-",D52/'AW Schüler'!$F136)))</f>
        <v>-</v>
      </c>
      <c r="J52" s="155" t="str">
        <f>IF('AW Schüler'!$I118=0,"x",(IF('AW Schüler'!$I136=0,"-",E52/'AW Schüler'!$I136)))</f>
        <v>-</v>
      </c>
      <c r="K52" s="155" t="str">
        <f>IF('AW Schüler'!$L118=0,"x",(IF('AW Schüler'!$L136=0,"-",F52/'AW Schüler'!$L136)))</f>
        <v>-</v>
      </c>
      <c r="L52" s="156" t="str">
        <f>IF('AW Schüler'!$O118=0,"x",(IF('AW Schüler'!$O136=0,"-",G52/'AW Schüler'!$O136)))</f>
        <v>-</v>
      </c>
    </row>
    <row r="53" spans="1:12" ht="9" customHeight="1">
      <c r="A53" s="21" t="s">
        <v>85</v>
      </c>
      <c r="B53" s="120"/>
      <c r="C53" s="23">
        <f>[26]GtS!$H$73</f>
        <v>86</v>
      </c>
      <c r="D53" s="23">
        <f>[27]GtS!$H$77</f>
        <v>1322</v>
      </c>
      <c r="E53" s="23">
        <f>[28]GtS!$H$77</f>
        <v>1260</v>
      </c>
      <c r="F53" s="23">
        <f>[29]GtS!$H$77</f>
        <v>1251</v>
      </c>
      <c r="G53" s="34">
        <f>[30]GtS!$H$77</f>
        <v>1258</v>
      </c>
      <c r="H53" s="155">
        <f>IF('AW Schüler'!$C119=0,"x",(IF('AW Schüler'!$C137=0,"-",C53/'AW Schüler'!$C137)))</f>
        <v>5.9147180192572216E-2</v>
      </c>
      <c r="I53" s="155">
        <f>IF('AW Schüler'!$F119=0,"x",(IF('AW Schüler'!$F137=0,"-",D53/'AW Schüler'!$F137)))</f>
        <v>0.98583146905294561</v>
      </c>
      <c r="J53" s="155">
        <f>IF('AW Schüler'!$I119=0,"x",(IF('AW Schüler'!$I137=0,"-",E53/'AW Schüler'!$I137)))</f>
        <v>0.97902097902097907</v>
      </c>
      <c r="K53" s="155">
        <f>IF('AW Schüler'!$L119=0,"x",(IF('AW Schüler'!$L137=0,"-",F53/'AW Schüler'!$L137)))</f>
        <v>0.98040752351097182</v>
      </c>
      <c r="L53" s="156">
        <f>IF('AW Schüler'!$O119=0,"x",(IF('AW Schüler'!$O137=0,"-",G53/'AW Schüler'!$O137)))</f>
        <v>0.98051441932969607</v>
      </c>
    </row>
    <row r="54" spans="1:12" ht="9" customHeight="1">
      <c r="A54" s="21" t="s">
        <v>86</v>
      </c>
      <c r="B54" s="120"/>
      <c r="C54" s="124">
        <f>[66]GtS!$H$73</f>
        <v>0</v>
      </c>
      <c r="D54" s="124">
        <f>[67]GtS!$H$77</f>
        <v>0</v>
      </c>
      <c r="E54" s="124">
        <f>[68]GtS!$H$77</f>
        <v>0</v>
      </c>
      <c r="F54" s="124">
        <f>[69]GtS!$H$77</f>
        <v>0</v>
      </c>
      <c r="G54" s="188">
        <f>[70]GtS!$H$77</f>
        <v>0</v>
      </c>
      <c r="H54" s="295">
        <f>IF('AW Schüler'!$C120=0,"x",(IF('AW Schüler'!$C138=0,"-",C54/'AW Schüler'!$C138)))</f>
        <v>0</v>
      </c>
      <c r="I54" s="295">
        <f>IF('AW Schüler'!$F120=0,"x",(IF('AW Schüler'!$F138=0,"-",D54/'AW Schüler'!$F138)))</f>
        <v>0</v>
      </c>
      <c r="J54" s="295">
        <f>IF('AW Schüler'!$I120=0,"x",(IF('AW Schüler'!$I138=0,"-",E54/'AW Schüler'!$I138)))</f>
        <v>0</v>
      </c>
      <c r="K54" s="295">
        <f>IF('AW Schüler'!$L120=0,"x",(IF('AW Schüler'!$L138=0,"-",F54/'AW Schüler'!$L138)))</f>
        <v>0</v>
      </c>
      <c r="L54" s="338">
        <f>IF('AW Schüler'!$O120=0,"x",(IF('AW Schüler'!$O138=0,"-",G54/'AW Schüler'!$O138)))</f>
        <v>0</v>
      </c>
    </row>
    <row r="55" spans="1:12" ht="9" customHeight="1">
      <c r="A55" s="21" t="s">
        <v>87</v>
      </c>
      <c r="B55" s="120"/>
      <c r="C55" s="23">
        <f>[31]GtS!$H$73</f>
        <v>0</v>
      </c>
      <c r="D55" s="23">
        <f>[32]GtS!$H$77</f>
        <v>0</v>
      </c>
      <c r="E55" s="23">
        <f>[33]GtS!$H$77</f>
        <v>0</v>
      </c>
      <c r="F55" s="23">
        <f>[34]GtS!$H$77</f>
        <v>0</v>
      </c>
      <c r="G55" s="34">
        <f>[35]GtS!$H$77</f>
        <v>0</v>
      </c>
      <c r="H55" s="155" t="str">
        <f>IF('AW Schüler'!$C121=0,"x",(IF('AW Schüler'!$C139=0,"-",C55/'AW Schüler'!$C139)))</f>
        <v>-</v>
      </c>
      <c r="I55" s="155" t="str">
        <f>IF('AW Schüler'!$F121=0,"x",(IF('AW Schüler'!$F139=0,"-",D55/'AW Schüler'!$F139)))</f>
        <v>-</v>
      </c>
      <c r="J55" s="155" t="str">
        <f>IF('AW Schüler'!$I121=0,"x",(IF('AW Schüler'!$I139=0,"-",E55/'AW Schüler'!$I139)))</f>
        <v>-</v>
      </c>
      <c r="K55" s="155" t="str">
        <f>IF('AW Schüler'!$L121=0,"x",(IF('AW Schüler'!$L139=0,"-",F55/'AW Schüler'!$L139)))</f>
        <v>-</v>
      </c>
      <c r="L55" s="156" t="str">
        <f>IF('AW Schüler'!$O121=0,"x",(IF('AW Schüler'!$O139=0,"-",G55/'AW Schüler'!$O139)))</f>
        <v>-</v>
      </c>
    </row>
    <row r="56" spans="1:12" ht="9" customHeight="1">
      <c r="A56" s="21" t="s">
        <v>88</v>
      </c>
      <c r="B56" s="120"/>
      <c r="C56" s="124">
        <f>[71]GtS!$H$73</f>
        <v>0</v>
      </c>
      <c r="D56" s="124">
        <f>[72]GtS!$H$77</f>
        <v>0</v>
      </c>
      <c r="E56" s="124">
        <f>[73]GtS!$H$77</f>
        <v>0</v>
      </c>
      <c r="F56" s="124">
        <f>[74]GtS!$H$77</f>
        <v>0</v>
      </c>
      <c r="G56" s="188">
        <f>[75]GtS!$H$77</f>
        <v>0</v>
      </c>
      <c r="H56" s="295">
        <f>IF('AW Schüler'!$C122=0,"x",(IF('AW Schüler'!$C140=0,"-",C56/'AW Schüler'!$C140)))</f>
        <v>0</v>
      </c>
      <c r="I56" s="295">
        <f>IF('AW Schüler'!$F122=0,"x",(IF('AW Schüler'!$F140=0,"-",D56/'AW Schüler'!$F140)))</f>
        <v>0</v>
      </c>
      <c r="J56" s="295">
        <f>IF('AW Schüler'!$I122=0,"x",(IF('AW Schüler'!$I140=0,"-",E56/'AW Schüler'!$I140)))</f>
        <v>0</v>
      </c>
      <c r="K56" s="295">
        <f>IF('AW Schüler'!$L122=0,"x",(IF('AW Schüler'!$L140=0,"-",F56/'AW Schüler'!$L140)))</f>
        <v>0</v>
      </c>
      <c r="L56" s="338">
        <f>IF('AW Schüler'!$O122=0,"x",(IF('AW Schüler'!$O140=0,"-",G56/'AW Schüler'!$O140)))</f>
        <v>0</v>
      </c>
    </row>
    <row r="57" spans="1:12" ht="9" customHeight="1">
      <c r="A57" s="21" t="s">
        <v>89</v>
      </c>
      <c r="B57" s="120"/>
      <c r="C57" s="23">
        <f>[36]GtS!$H$73</f>
        <v>0</v>
      </c>
      <c r="D57" s="23">
        <f>[37]GtS!$H$77</f>
        <v>0</v>
      </c>
      <c r="E57" s="23">
        <f>[38]GtS!$H$77</f>
        <v>0</v>
      </c>
      <c r="F57" s="23">
        <f>[39]GtS!$H$77</f>
        <v>0</v>
      </c>
      <c r="G57" s="34">
        <f>[40]GtS!$H$77</f>
        <v>0</v>
      </c>
      <c r="H57" s="155" t="str">
        <f>IF('AW Schüler'!$C123=0,"x",(IF('AW Schüler'!$C141=0,"-",C57/'AW Schüler'!$C141)))</f>
        <v>-</v>
      </c>
      <c r="I57" s="155" t="str">
        <f>IF('AW Schüler'!$F123=0,"x",(IF('AW Schüler'!$F141=0,"-",D57/'AW Schüler'!$F141)))</f>
        <v>-</v>
      </c>
      <c r="J57" s="155" t="str">
        <f>IF('AW Schüler'!$I123=0,"x",(IF('AW Schüler'!$I141=0,"-",E57/'AW Schüler'!$I141)))</f>
        <v>-</v>
      </c>
      <c r="K57" s="155" t="str">
        <f>IF('AW Schüler'!$L123=0,"x",(IF('AW Schüler'!$L141=0,"-",F57/'AW Schüler'!$L141)))</f>
        <v>-</v>
      </c>
      <c r="L57" s="156" t="str">
        <f>IF('AW Schüler'!$O123=0,"x",(IF('AW Schüler'!$O141=0,"-",G57/'AW Schüler'!$O141)))</f>
        <v>-</v>
      </c>
    </row>
    <row r="58" spans="1:12" ht="9" customHeight="1">
      <c r="A58" s="21" t="s">
        <v>90</v>
      </c>
      <c r="B58" s="120"/>
      <c r="C58" s="36">
        <f>[41]GtS!$H$73</f>
        <v>0</v>
      </c>
      <c r="D58" s="36">
        <f>[42]GtS!$H$77</f>
        <v>0</v>
      </c>
      <c r="E58" s="36">
        <f>[43]GtS!$H$77</f>
        <v>0</v>
      </c>
      <c r="F58" s="36">
        <f>[44]GtS!$H$77</f>
        <v>0</v>
      </c>
      <c r="G58" s="37">
        <f>[45]GtS!$H$77</f>
        <v>0</v>
      </c>
      <c r="H58" s="155" t="str">
        <f>IF('AW Schüler'!$C124=0,"x",(IF('AW Schüler'!$C142=0,"-",C58/'AW Schüler'!$C142)))</f>
        <v>-</v>
      </c>
      <c r="I58" s="155" t="str">
        <f>IF('AW Schüler'!$F124=0,"x",(IF('AW Schüler'!$F142=0,"-",D58/'AW Schüler'!$F142)))</f>
        <v>-</v>
      </c>
      <c r="J58" s="155" t="str">
        <f>IF('AW Schüler'!$I124=0,"x",(IF('AW Schüler'!$I142=0,"-",E58/'AW Schüler'!$I142)))</f>
        <v>-</v>
      </c>
      <c r="K58" s="155" t="str">
        <f>IF('AW Schüler'!$L124=0,"x",(IF('AW Schüler'!$L142=0,"-",F58/'AW Schüler'!$L142)))</f>
        <v>-</v>
      </c>
      <c r="L58" s="156" t="str">
        <f>IF('AW Schüler'!$O124=0,"x",(IF('AW Schüler'!$O142=0,"-",G58/'AW Schüler'!$O142)))</f>
        <v>-</v>
      </c>
    </row>
    <row r="59" spans="1:12" ht="9" customHeight="1">
      <c r="A59" s="21" t="s">
        <v>91</v>
      </c>
      <c r="B59" s="120"/>
      <c r="C59" s="23">
        <f>[46]GtS!$H$73</f>
        <v>0</v>
      </c>
      <c r="D59" s="23">
        <f>[47]GtS!$H$77</f>
        <v>0</v>
      </c>
      <c r="E59" s="23">
        <f>[48]GtS!$H$77</f>
        <v>0</v>
      </c>
      <c r="F59" s="23">
        <f>[49]GtS!$H$77</f>
        <v>0</v>
      </c>
      <c r="G59" s="34">
        <f>[50]GtS!$H$77</f>
        <v>0</v>
      </c>
      <c r="H59" s="155" t="str">
        <f>IF('AW Schüler'!$C125=0,"x",(IF('AW Schüler'!$C143=0,"-",C59/'AW Schüler'!$C143)))</f>
        <v>-</v>
      </c>
      <c r="I59" s="155" t="str">
        <f>IF('AW Schüler'!$F125=0,"x",(IF('AW Schüler'!$F143=0,"-",D59/'AW Schüler'!$F143)))</f>
        <v>-</v>
      </c>
      <c r="J59" s="155" t="str">
        <f>IF('AW Schüler'!$I125=0,"x",(IF('AW Schüler'!$I143=0,"-",E59/'AW Schüler'!$I143)))</f>
        <v>-</v>
      </c>
      <c r="K59" s="155" t="str">
        <f>IF('AW Schüler'!$L125=0,"x",(IF('AW Schüler'!$L143=0,"-",F59/'AW Schüler'!$L143)))</f>
        <v>-</v>
      </c>
      <c r="L59" s="156" t="str">
        <f>IF('AW Schüler'!$O125=0,"x",(IF('AW Schüler'!$O143=0,"-",G59/'AW Schüler'!$O143)))</f>
        <v>-</v>
      </c>
    </row>
    <row r="60" spans="1:12" ht="9" customHeight="1">
      <c r="A60" s="21" t="s">
        <v>92</v>
      </c>
      <c r="B60" s="120"/>
      <c r="C60" s="151">
        <f>[51]GtS!$H$73</f>
        <v>0</v>
      </c>
      <c r="D60" s="151">
        <f>[52]GtS!$H$77</f>
        <v>0</v>
      </c>
      <c r="E60" s="151">
        <f>[53]GtS!$H$77</f>
        <v>0</v>
      </c>
      <c r="F60" s="151">
        <f>[54]GtS!$H$77</f>
        <v>0</v>
      </c>
      <c r="G60" s="152">
        <f>[55]GtS!$H$77</f>
        <v>0</v>
      </c>
      <c r="H60" s="155" t="str">
        <f>IF('AW Schüler'!$C126=0,"x",(IF('AW Schüler'!$C144=0,"-",C60/'AW Schüler'!$C144)))</f>
        <v>x</v>
      </c>
      <c r="I60" s="155" t="str">
        <f>IF('AW Schüler'!$F126=0,"x",(IF('AW Schüler'!$F144=0,"-",D60/'AW Schüler'!$F144)))</f>
        <v>x</v>
      </c>
      <c r="J60" s="155" t="str">
        <f>IF('AW Schüler'!$I126=0,"x",(IF('AW Schüler'!$I144=0,"-",E60/'AW Schüler'!$I144)))</f>
        <v>x</v>
      </c>
      <c r="K60" s="155" t="str">
        <f>IF('AW Schüler'!$L126=0,"x",(IF('AW Schüler'!$L144=0,"-",F60/'AW Schüler'!$L144)))</f>
        <v>x</v>
      </c>
      <c r="L60" s="156" t="str">
        <f>IF('AW Schüler'!$O126=0,"x",(IF('AW Schüler'!$O144=0,"-",G60/'AW Schüler'!$O144)))</f>
        <v>x</v>
      </c>
    </row>
    <row r="61" spans="1:12" ht="9" customHeight="1">
      <c r="A61" s="21" t="s">
        <v>93</v>
      </c>
      <c r="B61" s="120"/>
      <c r="C61" s="124">
        <f>[76]GtS!$H$73</f>
        <v>0</v>
      </c>
      <c r="D61" s="124">
        <f>[77]GtS!$H$77</f>
        <v>0</v>
      </c>
      <c r="E61" s="124">
        <f>[78]GtS!$H$77</f>
        <v>0</v>
      </c>
      <c r="F61" s="124">
        <f>[79]GtS!$H$77</f>
        <v>0</v>
      </c>
      <c r="G61" s="188">
        <f>[80]GtS!$H$77</f>
        <v>0</v>
      </c>
      <c r="H61" s="295">
        <v>0</v>
      </c>
      <c r="I61" s="295">
        <v>0</v>
      </c>
      <c r="J61" s="295">
        <v>0</v>
      </c>
      <c r="K61" s="295">
        <v>0</v>
      </c>
      <c r="L61" s="338">
        <v>0</v>
      </c>
    </row>
    <row r="62" spans="1:12" ht="9" customHeight="1">
      <c r="A62" s="21" t="s">
        <v>254</v>
      </c>
      <c r="B62" s="120"/>
      <c r="C62" s="23">
        <f>[56]GtS!$H$73</f>
        <v>0</v>
      </c>
      <c r="D62" s="23">
        <f>[57]GtS!$H$77</f>
        <v>0</v>
      </c>
      <c r="E62" s="23">
        <f>[58]GtS!$H$77</f>
        <v>0</v>
      </c>
      <c r="F62" s="23">
        <f>[59]GtS!$H$77</f>
        <v>0</v>
      </c>
      <c r="G62" s="34">
        <f>[60]GtS!$H$77</f>
        <v>0</v>
      </c>
      <c r="H62" s="155" t="str">
        <f>IF('AW Schüler'!$C128=0,"x",(IF('AW Schüler'!$C146=0,"-",C62/'AW Schüler'!$C146)))</f>
        <v>-</v>
      </c>
      <c r="I62" s="155" t="str">
        <f>IF('AW Schüler'!$F128=0,"x",(IF('AW Schüler'!$F146=0,"-",D62/'AW Schüler'!$F146)))</f>
        <v>-</v>
      </c>
      <c r="J62" s="155" t="str">
        <f>IF('AW Schüler'!$I128=0,"x",(IF('AW Schüler'!$I146=0,"-",E62/'AW Schüler'!$I146)))</f>
        <v>-</v>
      </c>
      <c r="K62" s="155" t="str">
        <f>IF('AW Schüler'!$L128=0,"x",(IF('AW Schüler'!$L146=0,"-",F62/'AW Schüler'!$L146)))</f>
        <v>-</v>
      </c>
      <c r="L62" s="156" t="str">
        <f>IF('AW Schüler'!$O128=0,"x",(IF('AW Schüler'!$O146=0,"-",G62/'AW Schüler'!$O146)))</f>
        <v>-</v>
      </c>
    </row>
    <row r="63" spans="1:12" ht="9" customHeight="1">
      <c r="A63" s="21" t="s">
        <v>95</v>
      </c>
      <c r="B63" s="120"/>
      <c r="C63" s="23">
        <f>[61]GtS!$H$73</f>
        <v>0</v>
      </c>
      <c r="D63" s="23">
        <f>[62]GtS!$H$77</f>
        <v>0</v>
      </c>
      <c r="E63" s="23">
        <f>[63]GtS!$H$77</f>
        <v>109</v>
      </c>
      <c r="F63" s="23">
        <f>[64]GtS!$H$77</f>
        <v>90</v>
      </c>
      <c r="G63" s="34">
        <f>[65]GtS!$H$77</f>
        <v>36</v>
      </c>
      <c r="H63" s="155">
        <f>IF('AW Schüler'!$C129=0,"x",(IF('AW Schüler'!$C147=0,"-",C63/'AW Schüler'!$C147)))</f>
        <v>0</v>
      </c>
      <c r="I63" s="155">
        <f>IF('AW Schüler'!$F129=0,"x",(IF('AW Schüler'!$F147=0,"-",D63/'AW Schüler'!$F147)))</f>
        <v>0</v>
      </c>
      <c r="J63" s="155">
        <f>IF('AW Schüler'!$I129=0,"x",(IF('AW Schüler'!$I147=0,"-",E63/'AW Schüler'!$I147)))</f>
        <v>9.2844974446337311E-2</v>
      </c>
      <c r="K63" s="155">
        <f>IF('AW Schüler'!$L129=0,"x",(IF('AW Schüler'!$L147=0,"-",F63/'AW Schüler'!$L147)))</f>
        <v>6.9337442218798145E-2</v>
      </c>
      <c r="L63" s="156">
        <f>IF('AW Schüler'!$O129=0,"x",(IF('AW Schüler'!$O147=0,"-",G63/'AW Schüler'!$O147)))</f>
        <v>2.3952095808383235E-2</v>
      </c>
    </row>
    <row r="64" spans="1:12" ht="8.65" customHeight="1">
      <c r="A64" s="24" t="s">
        <v>96</v>
      </c>
      <c r="B64" s="121"/>
      <c r="C64" s="26">
        <f>SUM(C48:C63)</f>
        <v>1539</v>
      </c>
      <c r="D64" s="26">
        <f>SUM(D48:D63)</f>
        <v>3031</v>
      </c>
      <c r="E64" s="26">
        <f>SUM(E48:E63)</f>
        <v>3601</v>
      </c>
      <c r="F64" s="26">
        <f>SUM(F48:F63)</f>
        <v>3517</v>
      </c>
      <c r="G64" s="47">
        <f>SUM(G48:G63)</f>
        <v>3860</v>
      </c>
      <c r="H64" s="157">
        <f>IF('AW Schüler'!$C130=0,"x",(IF('AW Schüler'!$C148=0,"-",C64/'AW Schüler'!$C148)))</f>
        <v>0.34890047608252095</v>
      </c>
      <c r="I64" s="157">
        <f>IF('AW Schüler'!$F130=0,"x",(IF('AW Schüler'!$F148=0,"-",D64/'AW Schüler'!$F148)))</f>
        <v>0.64026193493874106</v>
      </c>
      <c r="J64" s="157">
        <f>IF('AW Schüler'!$I130=0,"x",(IF('AW Schüler'!$I148=0,"-",E64/'AW Schüler'!$I148)))</f>
        <v>0.68931852986217457</v>
      </c>
      <c r="K64" s="157">
        <f>IF('AW Schüler'!$L130=0,"x",(IF('AW Schüler'!$L148=0,"-",F64/'AW Schüler'!$L148)))</f>
        <v>0.60763648928818248</v>
      </c>
      <c r="L64" s="158">
        <f>IF('AW Schüler'!$O130=0,"x",(IF('AW Schüler'!$O148=0,"-",G64/'AW Schüler'!$O148)))</f>
        <v>0.60768261964735515</v>
      </c>
    </row>
    <row r="65" spans="1:12" ht="18.75" customHeight="1">
      <c r="A65" s="396" t="s">
        <v>312</v>
      </c>
      <c r="B65" s="396"/>
      <c r="C65" s="396"/>
      <c r="D65" s="396"/>
      <c r="E65" s="396"/>
      <c r="F65" s="396"/>
      <c r="G65" s="396"/>
      <c r="H65" s="396"/>
      <c r="I65" s="396"/>
      <c r="J65" s="396"/>
      <c r="K65" s="396"/>
      <c r="L65" s="396"/>
    </row>
    <row r="66" spans="1:12" ht="10.15" customHeight="1">
      <c r="A66" s="408" t="s">
        <v>166</v>
      </c>
      <c r="B66" s="408"/>
      <c r="C66" s="408"/>
      <c r="D66" s="408"/>
      <c r="E66" s="408"/>
      <c r="F66" s="408"/>
      <c r="G66" s="408"/>
      <c r="H66" s="408"/>
      <c r="I66" s="408"/>
      <c r="J66" s="278"/>
      <c r="K66" s="278"/>
      <c r="L66" s="278"/>
    </row>
    <row r="67" spans="1:12" ht="10.15" customHeight="1">
      <c r="A67" s="399" t="s">
        <v>288</v>
      </c>
      <c r="B67" s="399"/>
      <c r="C67" s="399"/>
      <c r="D67" s="399"/>
      <c r="E67" s="399"/>
      <c r="F67" s="399"/>
      <c r="G67" s="399"/>
      <c r="H67" s="399"/>
      <c r="I67" s="399"/>
      <c r="J67" s="277"/>
      <c r="K67" s="325"/>
      <c r="L67" s="350"/>
    </row>
    <row r="68" spans="1:12" ht="19.5" customHeight="1">
      <c r="A68" s="387" t="s">
        <v>295</v>
      </c>
      <c r="B68" s="387"/>
      <c r="C68" s="387"/>
      <c r="D68" s="387"/>
      <c r="E68" s="387"/>
      <c r="F68" s="387"/>
      <c r="G68" s="387"/>
      <c r="H68" s="387"/>
      <c r="I68" s="395"/>
      <c r="J68" s="395"/>
      <c r="K68" s="395"/>
      <c r="L68" s="395"/>
    </row>
    <row r="69" spans="1:12" ht="10.15" customHeight="1">
      <c r="A69" s="306" t="s">
        <v>255</v>
      </c>
    </row>
    <row r="70" spans="1:12" ht="10.15" customHeight="1">
      <c r="A70" s="306" t="s">
        <v>101</v>
      </c>
    </row>
    <row r="83" spans="1:1" ht="10.5" customHeight="1"/>
    <row r="84" spans="1:1" ht="10.15" customHeight="1">
      <c r="A84" s="274"/>
    </row>
  </sheetData>
  <mergeCells count="10">
    <mergeCell ref="A1:L1"/>
    <mergeCell ref="A68:L68"/>
    <mergeCell ref="A66:I66"/>
    <mergeCell ref="A67:I67"/>
    <mergeCell ref="C9:G9"/>
    <mergeCell ref="H9:L9"/>
    <mergeCell ref="A11:L11"/>
    <mergeCell ref="A29:L29"/>
    <mergeCell ref="A47:L47"/>
    <mergeCell ref="A65:L65"/>
  </mergeCells>
  <conditionalFormatting sqref="M25">
    <cfRule type="cellIs" dxfId="5"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M85"/>
  <sheetViews>
    <sheetView view="pageBreakPreview" topLeftCell="A4" zoomScale="175" zoomScaleNormal="200" zoomScaleSheetLayoutView="175" workbookViewId="0">
      <selection activeCell="L42" sqref="L42"/>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'3.3.8.1'!A1:J1+1</f>
        <v>66</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4.1" customHeight="1">
      <c r="A5" s="13" t="s">
        <v>68</v>
      </c>
      <c r="B5" s="39" t="s">
        <v>189</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0">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42">
        <f>SUM(C30+C48)</f>
        <v>3892</v>
      </c>
      <c r="D12" s="42">
        <f>SUM(D30+D48)</f>
        <v>3275</v>
      </c>
      <c r="E12" s="42">
        <f>SUM(E30+E48)</f>
        <v>3239</v>
      </c>
      <c r="F12" s="42">
        <f>SUM(F30+F48)</f>
        <v>3248</v>
      </c>
      <c r="G12" s="44">
        <f>SUM(G30+G48)</f>
        <v>3373</v>
      </c>
      <c r="H12" s="153">
        <f>IF('AW Schüler'!$C150=0,"x",C12/'AW Schüler'!$C150)</f>
        <v>0.20480976687891386</v>
      </c>
      <c r="I12" s="153">
        <f>IF('AW Schüler'!$F150=0,"x",D12/'AW Schüler'!$F150)</f>
        <v>0.17362951966917611</v>
      </c>
      <c r="J12" s="153">
        <f>IF('AW Schüler'!$I150=0,"x",E12/'AW Schüler'!$I150)</f>
        <v>0.17318077313799926</v>
      </c>
      <c r="K12" s="153">
        <f>IF('AW Schüler'!$L150=0,"x",F12/'AW Schüler'!$L150)</f>
        <v>0.17494344500700204</v>
      </c>
      <c r="L12" s="154">
        <f>IF('AW Schüler'!$O150=0,"x",G12/'AW Schüler'!$O150)</f>
        <v>0.18164683073940438</v>
      </c>
    </row>
    <row r="13" spans="1:13" ht="9" customHeight="1">
      <c r="A13" s="21" t="s">
        <v>81</v>
      </c>
      <c r="B13" s="120"/>
      <c r="C13" s="42">
        <f t="shared" ref="C13:D28" si="0">SUM(C31+C49)</f>
        <v>1729</v>
      </c>
      <c r="D13" s="42">
        <f t="shared" si="0"/>
        <v>2225</v>
      </c>
      <c r="E13" s="42">
        <f t="shared" ref="E13:F13" si="1">SUM(E31+E49)</f>
        <v>2644</v>
      </c>
      <c r="F13" s="42">
        <f t="shared" si="1"/>
        <v>2987</v>
      </c>
      <c r="G13" s="44">
        <f t="shared" ref="G13" si="2">SUM(G31+G49)</f>
        <v>3383</v>
      </c>
      <c r="H13" s="153">
        <f>IF('AW Schüler'!$C151=0,"x",C13/'AW Schüler'!$C151)</f>
        <v>0.25968759387203366</v>
      </c>
      <c r="I13" s="153">
        <f>IF('AW Schüler'!$F151=0,"x",D13/'AW Schüler'!$F151)</f>
        <v>0.33509036144578314</v>
      </c>
      <c r="J13" s="153">
        <f>IF('AW Schüler'!$I151=0,"x",E13/'AW Schüler'!$I151)</f>
        <v>0.39037354200501995</v>
      </c>
      <c r="K13" s="153">
        <f>IF('AW Schüler'!$L151=0,"x",F13/'AW Schüler'!$L151)</f>
        <v>0.43804076844112039</v>
      </c>
      <c r="L13" s="154">
        <f>IF('AW Schüler'!$O151=0,"x",G13/'AW Schüler'!$O151)</f>
        <v>0.48851985559566785</v>
      </c>
    </row>
    <row r="14" spans="1:13" ht="9" customHeight="1">
      <c r="A14" s="21" t="s">
        <v>82</v>
      </c>
      <c r="B14" s="120"/>
      <c r="C14" s="42">
        <f t="shared" si="0"/>
        <v>1352</v>
      </c>
      <c r="D14" s="42">
        <f t="shared" si="0"/>
        <v>1459</v>
      </c>
      <c r="E14" s="42">
        <f t="shared" ref="E14:F14" si="3">SUM(E32+E50)</f>
        <v>1439</v>
      </c>
      <c r="F14" s="42">
        <f t="shared" si="3"/>
        <v>1600</v>
      </c>
      <c r="G14" s="44">
        <f t="shared" ref="G14" si="4">SUM(G32+G50)</f>
        <v>1740</v>
      </c>
      <c r="H14" s="153">
        <f>IF('AW Schüler'!$C152=0,"x",C14/'AW Schüler'!$C152)</f>
        <v>0.38884095484613174</v>
      </c>
      <c r="I14" s="153">
        <f>IF('AW Schüler'!$F152=0,"x",D14/'AW Schüler'!$F152)</f>
        <v>0.43000294724432653</v>
      </c>
      <c r="J14" s="153">
        <f>IF('AW Schüler'!$I152=0,"x",E14/'AW Schüler'!$I152)</f>
        <v>0.40927189988623436</v>
      </c>
      <c r="K14" s="153">
        <f>IF('AW Schüler'!$L152=0,"x",F14/'AW Schüler'!$L152)</f>
        <v>0.44593088071348941</v>
      </c>
      <c r="L14" s="154">
        <f>IF('AW Schüler'!$O152=0,"x",G14/'AW Schüler'!$O152)</f>
        <v>0.45705279747832939</v>
      </c>
    </row>
    <row r="15" spans="1:13" ht="9" customHeight="1">
      <c r="A15" s="21" t="s">
        <v>83</v>
      </c>
      <c r="B15" s="120"/>
      <c r="C15" s="42">
        <f t="shared" si="0"/>
        <v>898</v>
      </c>
      <c r="D15" s="42">
        <f t="shared" si="0"/>
        <v>932</v>
      </c>
      <c r="E15" s="42">
        <f t="shared" ref="E15:F15" si="5">SUM(E33+E51)</f>
        <v>936</v>
      </c>
      <c r="F15" s="42">
        <f t="shared" si="5"/>
        <v>1051</v>
      </c>
      <c r="G15" s="44">
        <f t="shared" ref="G15" si="6">SUM(G33+G51)</f>
        <v>1056</v>
      </c>
      <c r="H15" s="153">
        <f>IF('AW Schüler'!$C153=0,"x",C15/'AW Schüler'!$C153)</f>
        <v>0.76360544217687076</v>
      </c>
      <c r="I15" s="153">
        <f>IF('AW Schüler'!$F153=0,"x",D15/'AW Schüler'!$F153)</f>
        <v>0.80206540447504304</v>
      </c>
      <c r="J15" s="153">
        <f>IF('AW Schüler'!$I153=0,"x",E15/'AW Schüler'!$I153)</f>
        <v>0.78721614802354922</v>
      </c>
      <c r="K15" s="153">
        <f>IF('AW Schüler'!$L153=0,"x",F15/'AW Schüler'!$L153)</f>
        <v>0.84417670682730928</v>
      </c>
      <c r="L15" s="154">
        <f>IF('AW Schüler'!$O153=0,"x",G15/'AW Schüler'!$O153)</f>
        <v>0.83876092136616365</v>
      </c>
    </row>
    <row r="16" spans="1:13" ht="9" customHeight="1">
      <c r="A16" s="21" t="s">
        <v>84</v>
      </c>
      <c r="B16" s="120"/>
      <c r="C16" s="42">
        <f t="shared" si="0"/>
        <v>224</v>
      </c>
      <c r="D16" s="42">
        <f t="shared" si="0"/>
        <v>219</v>
      </c>
      <c r="E16" s="42">
        <f t="shared" ref="E16:F16" si="7">SUM(E34+E52)</f>
        <v>151</v>
      </c>
      <c r="F16" s="42">
        <f t="shared" si="7"/>
        <v>203</v>
      </c>
      <c r="G16" s="44">
        <f t="shared" ref="G16" si="8">SUM(G34+G52)</f>
        <v>234</v>
      </c>
      <c r="H16" s="153">
        <f>IF('AW Schüler'!$C154=0,"x",C16/'AW Schüler'!$C154)</f>
        <v>0.27791563275434245</v>
      </c>
      <c r="I16" s="153">
        <f>IF('AW Schüler'!$F154=0,"x",D16/'AW Schüler'!$F154)</f>
        <v>0.26481257557436516</v>
      </c>
      <c r="J16" s="153">
        <f>IF('AW Schüler'!$I154=0,"x",E16/'AW Schüler'!$I154)</f>
        <v>0.17336394948335246</v>
      </c>
      <c r="K16" s="153">
        <f>IF('AW Schüler'!$L154=0,"x",F16/'AW Schüler'!$L154)</f>
        <v>0.23333333333333334</v>
      </c>
      <c r="L16" s="154">
        <f>IF('AW Schüler'!$O154=0,"x",G16/'AW Schüler'!$O154)</f>
        <v>0.26896551724137929</v>
      </c>
    </row>
    <row r="17" spans="1:12" ht="9" customHeight="1">
      <c r="A17" s="21" t="s">
        <v>85</v>
      </c>
      <c r="B17" s="120"/>
      <c r="C17" s="184">
        <f t="shared" si="0"/>
        <v>0</v>
      </c>
      <c r="D17" s="184">
        <f t="shared" si="0"/>
        <v>210</v>
      </c>
      <c r="E17" s="184">
        <f t="shared" ref="E17:F17" si="9">SUM(E35+E53)</f>
        <v>208</v>
      </c>
      <c r="F17" s="184">
        <f t="shared" si="9"/>
        <v>208</v>
      </c>
      <c r="G17" s="185">
        <f t="shared" ref="G17" si="10">SUM(G35+G53)</f>
        <v>213</v>
      </c>
      <c r="H17" s="186">
        <f>IF('AW Schüler'!$C155=0,"x",C17/'AW Schüler'!$C155)</f>
        <v>0</v>
      </c>
      <c r="I17" s="153">
        <f>IF('AW Schüler'!$F155=0,"x",D17/'AW Schüler'!$F155)</f>
        <v>8.6242299794661192E-2</v>
      </c>
      <c r="J17" s="153">
        <f>IF('AW Schüler'!$I155=0,"x",E17/'AW Schüler'!$I155)</f>
        <v>8.5456039441248979E-2</v>
      </c>
      <c r="K17" s="153">
        <f>IF('AW Schüler'!$L155=0,"x",F17/'AW Schüler'!$L155)</f>
        <v>7.8431372549019607E-2</v>
      </c>
      <c r="L17" s="154">
        <f>IF('AW Schüler'!$O155=0,"x",G17/'AW Schüler'!$O155)</f>
        <v>7.9123328380386326E-2</v>
      </c>
    </row>
    <row r="18" spans="1:12" ht="9" customHeight="1">
      <c r="A18" s="21" t="s">
        <v>86</v>
      </c>
      <c r="B18" s="120"/>
      <c r="C18" s="184">
        <f t="shared" si="0"/>
        <v>0</v>
      </c>
      <c r="D18" s="184">
        <f t="shared" si="0"/>
        <v>0</v>
      </c>
      <c r="E18" s="184">
        <f t="shared" ref="E18:F18" si="11">SUM(E36+E54)</f>
        <v>0</v>
      </c>
      <c r="F18" s="184">
        <f t="shared" si="11"/>
        <v>0</v>
      </c>
      <c r="G18" s="185">
        <f t="shared" ref="G18" si="12">SUM(G36+G54)</f>
        <v>0</v>
      </c>
      <c r="H18" s="186">
        <f>IF('AW Schüler'!$C156=0,"x",C18/'AW Schüler'!$C156)</f>
        <v>0</v>
      </c>
      <c r="I18" s="186">
        <f>IF('AW Schüler'!$F156=0,"x",D18/'AW Schüler'!$F156)</f>
        <v>0</v>
      </c>
      <c r="J18" s="186">
        <f>IF('AW Schüler'!$I156=0,"x",E18/'AW Schüler'!$I156)</f>
        <v>0</v>
      </c>
      <c r="K18" s="186">
        <f>IF('AW Schüler'!$L156=0,"x",F18/'AW Schüler'!$L156)</f>
        <v>0</v>
      </c>
      <c r="L18" s="187">
        <f>IF('AW Schüler'!$O156=0,"x",G18/'AW Schüler'!$O156)</f>
        <v>0</v>
      </c>
    </row>
    <row r="19" spans="1:12" ht="9" customHeight="1">
      <c r="A19" s="21" t="s">
        <v>223</v>
      </c>
      <c r="B19" s="120"/>
      <c r="C19" s="42">
        <f t="shared" si="0"/>
        <v>530</v>
      </c>
      <c r="D19" s="42">
        <f t="shared" si="0"/>
        <v>658</v>
      </c>
      <c r="E19" s="42">
        <f t="shared" ref="E19:F19" si="13">SUM(E37+E55)</f>
        <v>658</v>
      </c>
      <c r="F19" s="42">
        <f t="shared" si="13"/>
        <v>409</v>
      </c>
      <c r="G19" s="44">
        <f t="shared" ref="G19" si="14">SUM(G37+G55)</f>
        <v>160</v>
      </c>
      <c r="H19" s="153">
        <f>IF('AW Schüler'!$C157=0,"x",C19/'AW Schüler'!$C157)</f>
        <v>0.71621621621621623</v>
      </c>
      <c r="I19" s="153">
        <f>IF('AW Schüler'!$F157=0,"x",D19/'AW Schüler'!$F157)</f>
        <v>0.87152317880794705</v>
      </c>
      <c r="J19" s="153">
        <f>IF('AW Schüler'!$I157=0,"x",E19/'AW Schüler'!$I157)</f>
        <v>0.89402173913043481</v>
      </c>
      <c r="K19" s="153">
        <f>IF('AW Schüler'!$L157=0,"x",F19/'AW Schüler'!$L157)</f>
        <v>0.51837769328263628</v>
      </c>
      <c r="L19" s="154">
        <f>IF('AW Schüler'!$O157=0,"x",G19/'AW Schüler'!$O157)</f>
        <v>0.19559902200488999</v>
      </c>
    </row>
    <row r="20" spans="1:12" ht="9" customHeight="1">
      <c r="A20" s="21" t="s">
        <v>88</v>
      </c>
      <c r="B20" s="120"/>
      <c r="C20" s="184">
        <f t="shared" si="0"/>
        <v>0</v>
      </c>
      <c r="D20" s="184">
        <f t="shared" si="0"/>
        <v>0</v>
      </c>
      <c r="E20" s="184">
        <f t="shared" ref="E20:F20" si="15">SUM(E38+E56)</f>
        <v>0</v>
      </c>
      <c r="F20" s="184">
        <f t="shared" si="15"/>
        <v>0</v>
      </c>
      <c r="G20" s="185">
        <f t="shared" ref="G20" si="16">SUM(G38+G56)</f>
        <v>0</v>
      </c>
      <c r="H20" s="186">
        <f>IF('AW Schüler'!$C158=0,"x",C20/'AW Schüler'!$C158)</f>
        <v>0</v>
      </c>
      <c r="I20" s="186">
        <f>IF('AW Schüler'!$F158=0,"x",D20/'AW Schüler'!$F158)</f>
        <v>0</v>
      </c>
      <c r="J20" s="186">
        <f>IF('AW Schüler'!$I158=0,"x",E20/'AW Schüler'!$I158)</f>
        <v>0</v>
      </c>
      <c r="K20" s="186">
        <f>IF('AW Schüler'!$L158=0,"x",F20/'AW Schüler'!$L158)</f>
        <v>0</v>
      </c>
      <c r="L20" s="187">
        <f>IF('AW Schüler'!$O158=0,"x",G20/'AW Schüler'!$O158)</f>
        <v>0</v>
      </c>
    </row>
    <row r="21" spans="1:12" ht="9" customHeight="1">
      <c r="A21" s="21" t="s">
        <v>89</v>
      </c>
      <c r="B21" s="120"/>
      <c r="C21" s="42">
        <f t="shared" si="0"/>
        <v>4433</v>
      </c>
      <c r="D21" s="42">
        <f t="shared" si="0"/>
        <v>6336</v>
      </c>
      <c r="E21" s="42">
        <f t="shared" ref="E21:F21" si="17">SUM(E39+E57)</f>
        <v>5240</v>
      </c>
      <c r="F21" s="42">
        <f t="shared" si="17"/>
        <v>4761</v>
      </c>
      <c r="G21" s="44">
        <f t="shared" ref="G21" si="18">SUM(G39+G57)</f>
        <v>5075</v>
      </c>
      <c r="H21" s="153">
        <f>IF('AW Schüler'!$C159=0,"x",C21/'AW Schüler'!$C159)</f>
        <v>0.34086889657823916</v>
      </c>
      <c r="I21" s="153">
        <f>IF('AW Schüler'!$F159=0,"x",D21/'AW Schüler'!$F159)</f>
        <v>0.49472944483485592</v>
      </c>
      <c r="J21" s="153">
        <f>IF('AW Schüler'!$I159=0,"x",E21/'AW Schüler'!$I159)</f>
        <v>0.41367332438620036</v>
      </c>
      <c r="K21" s="153">
        <f>IF('AW Schüler'!$L159=0,"x",F21/'AW Schüler'!$L159)</f>
        <v>0.36611811750230699</v>
      </c>
      <c r="L21" s="154">
        <f>IF('AW Schüler'!$O159=0,"x",G21/'AW Schüler'!$O159)</f>
        <v>0.38942602823818295</v>
      </c>
    </row>
    <row r="22" spans="1:12" ht="9" customHeight="1">
      <c r="A22" s="21" t="s">
        <v>90</v>
      </c>
      <c r="B22" s="120"/>
      <c r="C22" s="42">
        <f t="shared" si="0"/>
        <v>779</v>
      </c>
      <c r="D22" s="42">
        <f t="shared" si="0"/>
        <v>718</v>
      </c>
      <c r="E22" s="42">
        <f t="shared" ref="E22:F22" si="19">SUM(E40+E58)</f>
        <v>694</v>
      </c>
      <c r="F22" s="42">
        <f t="shared" si="19"/>
        <v>767</v>
      </c>
      <c r="G22" s="44">
        <f t="shared" ref="G22" si="20">SUM(G40+G58)</f>
        <v>831</v>
      </c>
      <c r="H22" s="153">
        <f>IF('AW Schüler'!$C160=0,"x",C22/'AW Schüler'!$C160)</f>
        <v>0.38450148075024682</v>
      </c>
      <c r="I22" s="153">
        <f>IF('AW Schüler'!$F160=0,"x",D22/'AW Schüler'!$F160)</f>
        <v>0.35213339872486515</v>
      </c>
      <c r="J22" s="153">
        <f>IF('AW Schüler'!$I160=0,"x",E22/'AW Schüler'!$I160)</f>
        <v>0.34962216624685138</v>
      </c>
      <c r="K22" s="153">
        <f>IF('AW Schüler'!$L160=0,"x",F22/'AW Schüler'!$L160)</f>
        <v>0.39052953156822812</v>
      </c>
      <c r="L22" s="154">
        <f>IF('AW Schüler'!$O160=0,"x",G22/'AW Schüler'!$O160)</f>
        <v>0.41549999999999998</v>
      </c>
    </row>
    <row r="23" spans="1:12" ht="9" customHeight="1">
      <c r="A23" s="21" t="s">
        <v>91</v>
      </c>
      <c r="B23" s="120"/>
      <c r="C23" s="42">
        <f t="shared" si="0"/>
        <v>118</v>
      </c>
      <c r="D23" s="42">
        <f t="shared" si="0"/>
        <v>116</v>
      </c>
      <c r="E23" s="42">
        <f t="shared" ref="E23:F23" si="21">SUM(E41+E59)</f>
        <v>148</v>
      </c>
      <c r="F23" s="42">
        <f t="shared" si="21"/>
        <v>155</v>
      </c>
      <c r="G23" s="44">
        <f t="shared" ref="G23" si="22">SUM(G41+G59)</f>
        <v>199</v>
      </c>
      <c r="H23" s="153">
        <f>IF('AW Schüler'!$C161=0,"x",C23/'AW Schüler'!$C161)</f>
        <v>0.11313518696069032</v>
      </c>
      <c r="I23" s="153">
        <f>IF('AW Schüler'!$F161=0,"x",D23/'AW Schüler'!$F161)</f>
        <v>0.11451135241855874</v>
      </c>
      <c r="J23" s="153">
        <f>IF('AW Schüler'!$I161=0,"x",E23/'AW Schüler'!$I161)</f>
        <v>0.14467253176930597</v>
      </c>
      <c r="K23" s="153">
        <f>IF('AW Schüler'!$L161=0,"x",F23/'AW Schüler'!$L161)</f>
        <v>0.15270935960591134</v>
      </c>
      <c r="L23" s="154">
        <f>IF('AW Schüler'!$O161=0,"x",G23/'AW Schüler'!$O161)</f>
        <v>0.20431211498973306</v>
      </c>
    </row>
    <row r="24" spans="1:12" ht="9" customHeight="1">
      <c r="A24" s="21" t="s">
        <v>92</v>
      </c>
      <c r="B24" s="120"/>
      <c r="C24" s="55">
        <f t="shared" si="0"/>
        <v>964</v>
      </c>
      <c r="D24" s="55">
        <f t="shared" si="0"/>
        <v>1121</v>
      </c>
      <c r="E24" s="55">
        <f t="shared" ref="E24:F24" si="23">SUM(E42+E60)</f>
        <v>773</v>
      </c>
      <c r="F24" s="55">
        <f t="shared" si="23"/>
        <v>1311</v>
      </c>
      <c r="G24" s="56">
        <f t="shared" ref="G24" si="24">SUM(G42+G60)</f>
        <v>1471</v>
      </c>
      <c r="H24" s="153">
        <f>IF('AW Schüler'!$C162=0,"x",C24/'AW Schüler'!$C162)</f>
        <v>0.77305533279871697</v>
      </c>
      <c r="I24" s="153">
        <f>IF('AW Schüler'!$F162=0,"x",D24/'AW Schüler'!$F162)</f>
        <v>0.86697602474864655</v>
      </c>
      <c r="J24" s="153">
        <f>IF('AW Schüler'!$I162=0,"x",E24/'AW Schüler'!$I162)</f>
        <v>0.55691642651296835</v>
      </c>
      <c r="K24" s="153">
        <f>IF('AW Schüler'!$L162=0,"x",F24/'AW Schüler'!$L162)</f>
        <v>0.87341772151898733</v>
      </c>
      <c r="L24" s="154">
        <f>IF('AW Schüler'!$O162=0,"x",G24/'AW Schüler'!$O162)</f>
        <v>0.91651090342679131</v>
      </c>
    </row>
    <row r="25" spans="1:12" ht="9" customHeight="1">
      <c r="A25" s="21" t="s">
        <v>93</v>
      </c>
      <c r="B25" s="120"/>
      <c r="C25" s="184">
        <f t="shared" si="0"/>
        <v>0</v>
      </c>
      <c r="D25" s="184">
        <f t="shared" si="0"/>
        <v>0</v>
      </c>
      <c r="E25" s="184">
        <f t="shared" ref="E25:F25" si="25">SUM(E43+E61)</f>
        <v>0</v>
      </c>
      <c r="F25" s="184">
        <f t="shared" si="25"/>
        <v>0</v>
      </c>
      <c r="G25" s="185">
        <f t="shared" ref="G25" si="26">SUM(G43+G61)</f>
        <v>0</v>
      </c>
      <c r="H25" s="186">
        <f>IF('AW Schüler'!$C163=0,"x",C25/'AW Schüler'!$C163)</f>
        <v>0</v>
      </c>
      <c r="I25" s="186">
        <f>IF('AW Schüler'!$F163=0,"x",D25/'AW Schüler'!$F163)</f>
        <v>0</v>
      </c>
      <c r="J25" s="186">
        <f>IF('AW Schüler'!$I163=0,"x",E25/'AW Schüler'!$I163)</f>
        <v>0</v>
      </c>
      <c r="K25" s="186">
        <f>IF('AW Schüler'!$L163=0,"x",F25/'AW Schüler'!$L163)</f>
        <v>0</v>
      </c>
      <c r="L25" s="187">
        <f>IF('AW Schüler'!$O163=0,"x",G25/'AW Schüler'!$O163)</f>
        <v>0</v>
      </c>
    </row>
    <row r="26" spans="1:12" ht="9" customHeight="1">
      <c r="A26" s="21" t="s">
        <v>94</v>
      </c>
      <c r="B26" s="120"/>
      <c r="C26" s="42">
        <f t="shared" si="0"/>
        <v>1132</v>
      </c>
      <c r="D26" s="42">
        <f t="shared" si="0"/>
        <v>1099</v>
      </c>
      <c r="E26" s="42">
        <f t="shared" ref="E26:F26" si="27">SUM(E44+E62)</f>
        <v>1087</v>
      </c>
      <c r="F26" s="42">
        <f t="shared" si="27"/>
        <v>1075</v>
      </c>
      <c r="G26" s="44">
        <f t="shared" ref="G26" si="28">SUM(G44+G62)</f>
        <v>1100</v>
      </c>
      <c r="H26" s="153">
        <f>IF('AW Schüler'!$C164=0,"x",C26/'AW Schüler'!$C164)</f>
        <v>0.28650974436851429</v>
      </c>
      <c r="I26" s="153">
        <f>IF('AW Schüler'!$F164=0,"x",D26/'AW Schüler'!$F164)</f>
        <v>0.28419963796224462</v>
      </c>
      <c r="J26" s="153">
        <f>IF('AW Schüler'!$I164=0,"x",E26/'AW Schüler'!$I164)</f>
        <v>0.28396029258098221</v>
      </c>
      <c r="K26" s="153">
        <f>IF('AW Schüler'!$L164=0,"x",F26/'AW Schüler'!$L164)</f>
        <v>0.28178243774574052</v>
      </c>
      <c r="L26" s="154">
        <f>IF('AW Schüler'!$O164=0,"x",G26/'AW Schüler'!$O164)</f>
        <v>0.28075548749361917</v>
      </c>
    </row>
    <row r="27" spans="1:12" ht="9" customHeight="1">
      <c r="A27" s="21" t="s">
        <v>95</v>
      </c>
      <c r="B27" s="120"/>
      <c r="C27" s="42">
        <f t="shared" si="0"/>
        <v>993</v>
      </c>
      <c r="D27" s="42">
        <f t="shared" si="0"/>
        <v>1021</v>
      </c>
      <c r="E27" s="42">
        <f t="shared" ref="E27:F27" si="29">SUM(E45+E63)</f>
        <v>1012</v>
      </c>
      <c r="F27" s="42">
        <f t="shared" si="29"/>
        <v>1133</v>
      </c>
      <c r="G27" s="44">
        <f t="shared" ref="G27" si="30">SUM(G45+G63)</f>
        <v>1014</v>
      </c>
      <c r="H27" s="153">
        <f>IF('AW Schüler'!$C165=0,"x",C27/'AW Schüler'!$C165)</f>
        <v>0.87105263157894741</v>
      </c>
      <c r="I27" s="153">
        <f>IF('AW Schüler'!$F165=0,"x",D27/'AW Schüler'!$F165)</f>
        <v>0.87714776632302405</v>
      </c>
      <c r="J27" s="153">
        <f>IF('AW Schüler'!$I165=0,"x",E27/'AW Schüler'!$I165)</f>
        <v>0.84333333333333338</v>
      </c>
      <c r="K27" s="153">
        <f>IF('AW Schüler'!$L165=0,"x",F27/'AW Schüler'!$L165)</f>
        <v>0.92339038304808474</v>
      </c>
      <c r="L27" s="154">
        <f>IF('AW Schüler'!$O165=0,"x",G27/'AW Schüler'!$O165)</f>
        <v>0.82038834951456308</v>
      </c>
    </row>
    <row r="28" spans="1:12" ht="9" customHeight="1">
      <c r="A28" s="21" t="s">
        <v>96</v>
      </c>
      <c r="B28" s="120"/>
      <c r="C28" s="42">
        <f t="shared" si="0"/>
        <v>17044</v>
      </c>
      <c r="D28" s="42">
        <f t="shared" si="0"/>
        <v>19389</v>
      </c>
      <c r="E28" s="42">
        <f t="shared" ref="E28:F28" si="31">SUM(E46+E64)</f>
        <v>18229</v>
      </c>
      <c r="F28" s="42">
        <f t="shared" si="31"/>
        <v>18908</v>
      </c>
      <c r="G28" s="44">
        <f t="shared" ref="G28" si="32">SUM(G46+G64)</f>
        <v>19849</v>
      </c>
      <c r="H28" s="153">
        <f>IF('AW Schüler'!$C166=0,"x",C28/'AW Schüler'!$C166)</f>
        <v>0.30050954740201352</v>
      </c>
      <c r="I28" s="153">
        <f>IF('AW Schüler'!$F166=0,"x",D28/'AW Schüler'!$F166)</f>
        <v>0.34465044350036439</v>
      </c>
      <c r="J28" s="153">
        <f>IF('AW Schüler'!$I166=0,"x",E28/'AW Schüler'!$I166)</f>
        <v>0.32370855752668121</v>
      </c>
      <c r="K28" s="153">
        <f>IF('AW Schüler'!$L166=0,"x",F28/'AW Schüler'!$L166)</f>
        <v>0.33139952677241258</v>
      </c>
      <c r="L28" s="154">
        <f>IF('AW Schüler'!$O166=0,"x",G28/'AW Schüler'!$O166)</f>
        <v>0.34397365912832512</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23">
        <f>[1]GtS!$E$74</f>
        <v>2970</v>
      </c>
      <c r="D30" s="23">
        <f>[2]GtS!$E$78</f>
        <v>2445</v>
      </c>
      <c r="E30" s="23">
        <f>[3]GtS!$E$78</f>
        <v>2409</v>
      </c>
      <c r="F30" s="23">
        <f>[4]GtS!$E$78</f>
        <v>2140</v>
      </c>
      <c r="G30" s="34">
        <f>[5]GtS!$E$78</f>
        <v>2233</v>
      </c>
      <c r="H30" s="155">
        <f>IF('AW Schüler'!$C150=0,"x",C30/'AW Schüler'!$C150)</f>
        <v>0.1562911119296953</v>
      </c>
      <c r="I30" s="155">
        <f>IF('AW Schüler'!$F150=0,"x",D30/'AW Schüler'!$F150)</f>
        <v>0.12962570247057575</v>
      </c>
      <c r="J30" s="155">
        <f>IF('AW Schüler'!$I150=0,"x",E30/'AW Schüler'!$I150)</f>
        <v>0.12880286585039832</v>
      </c>
      <c r="K30" s="155">
        <f>IF('AW Schüler'!$L150=0,"x",F30/'AW Schüler'!$L150)</f>
        <v>0.11526446191963804</v>
      </c>
      <c r="L30" s="156">
        <f>IF('AW Schüler'!$O150=0,"x",G30/'AW Schüler'!$O150)</f>
        <v>0.12025418708600355</v>
      </c>
    </row>
    <row r="31" spans="1:12" ht="9" customHeight="1">
      <c r="A31" s="21" t="s">
        <v>81</v>
      </c>
      <c r="B31" s="120"/>
      <c r="C31" s="23">
        <f>[6]GtS!$E$74</f>
        <v>286</v>
      </c>
      <c r="D31" s="23">
        <f>[7]GtS!$E$78</f>
        <v>247</v>
      </c>
      <c r="E31" s="23">
        <f>[8]GtS!$E$78</f>
        <v>317</v>
      </c>
      <c r="F31" s="23">
        <f>[9]GtS!$E$78</f>
        <v>285</v>
      </c>
      <c r="G31" s="34">
        <f>[10]GtS!$E$78</f>
        <v>72</v>
      </c>
      <c r="H31" s="155">
        <f>IF('AW Schüler'!$C151=0,"x",C31/'AW Schüler'!$C151)</f>
        <v>4.2955842595373987E-2</v>
      </c>
      <c r="I31" s="155">
        <f>IF('AW Schüler'!$F151=0,"x",D31/'AW Schüler'!$F151)</f>
        <v>3.7198795180722895E-2</v>
      </c>
      <c r="J31" s="155">
        <f>IF('AW Schüler'!$I151=0,"x",E31/'AW Schüler'!$I151)</f>
        <v>4.6803484423446035E-2</v>
      </c>
      <c r="K31" s="155">
        <f>IF('AW Schüler'!$L151=0,"x",F31/'AW Schüler'!$L151)</f>
        <v>4.179498460184778E-2</v>
      </c>
      <c r="L31" s="156">
        <f>IF('AW Schüler'!$O151=0,"x",G31/'AW Schüler'!$O151)</f>
        <v>1.0397111913357401E-2</v>
      </c>
    </row>
    <row r="32" spans="1:12" ht="9" customHeight="1">
      <c r="A32" s="21" t="s">
        <v>82</v>
      </c>
      <c r="B32" s="120"/>
      <c r="C32" s="23">
        <f>[11]GtS!$E$74</f>
        <v>0</v>
      </c>
      <c r="D32" s="23">
        <f>[12]GtS!$E$78</f>
        <v>0</v>
      </c>
      <c r="E32" s="23">
        <f>[13]GtS!$E$78</f>
        <v>0</v>
      </c>
      <c r="F32" s="23">
        <f>[14]GtS!$E$78</f>
        <v>0</v>
      </c>
      <c r="G32" s="34">
        <f>[15]GtS!$E$78</f>
        <v>0</v>
      </c>
      <c r="H32" s="155">
        <f>IF('AW Schüler'!$C152=0,"x",C32/'AW Schüler'!$C152)</f>
        <v>0</v>
      </c>
      <c r="I32" s="155">
        <f>IF('AW Schüler'!$F152=0,"x",D32/'AW Schüler'!$F152)</f>
        <v>0</v>
      </c>
      <c r="J32" s="155">
        <f>IF('AW Schüler'!$I152=0,"x",E32/'AW Schüler'!$I152)</f>
        <v>0</v>
      </c>
      <c r="K32" s="155">
        <f>IF('AW Schüler'!$L152=0,"x",F32/'AW Schüler'!$L152)</f>
        <v>0</v>
      </c>
      <c r="L32" s="156">
        <f>IF('AW Schüler'!$O152=0,"x",G32/'AW Schüler'!$O152)</f>
        <v>0</v>
      </c>
    </row>
    <row r="33" spans="1:12" ht="9" customHeight="1">
      <c r="A33" s="21" t="s">
        <v>83</v>
      </c>
      <c r="B33" s="120"/>
      <c r="C33" s="23">
        <f>[16]GtS!$E$74</f>
        <v>386</v>
      </c>
      <c r="D33" s="23">
        <f>[17]GtS!$E$78</f>
        <v>392</v>
      </c>
      <c r="E33" s="23">
        <f>[18]GtS!$E$78</f>
        <v>397</v>
      </c>
      <c r="F33" s="23">
        <f>[19]GtS!$E$78</f>
        <v>479</v>
      </c>
      <c r="G33" s="34">
        <f>[20]GtS!$E$78</f>
        <v>567</v>
      </c>
      <c r="H33" s="155">
        <f>IF('AW Schüler'!$C153=0,"x",C33/'AW Schüler'!$C153)</f>
        <v>0.32823129251700678</v>
      </c>
      <c r="I33" s="155">
        <f>IF('AW Schüler'!$F153=0,"x",D33/'AW Schüler'!$F153)</f>
        <v>0.33734939759036142</v>
      </c>
      <c r="J33" s="155">
        <f>IF('AW Schüler'!$I153=0,"x",E33/'AW Schüler'!$I153)</f>
        <v>0.33389402859545836</v>
      </c>
      <c r="K33" s="155">
        <f>IF('AW Schüler'!$L153=0,"x",F33/'AW Schüler'!$L153)</f>
        <v>0.38473895582329315</v>
      </c>
      <c r="L33" s="156">
        <f>IF('AW Schüler'!$O153=0,"x",G33/'AW Schüler'!$O153)</f>
        <v>0.45035742652899124</v>
      </c>
    </row>
    <row r="34" spans="1:12" ht="9" customHeight="1">
      <c r="A34" s="21" t="s">
        <v>84</v>
      </c>
      <c r="B34" s="120"/>
      <c r="C34" s="23">
        <f>[21]GtS!$E$74</f>
        <v>224</v>
      </c>
      <c r="D34" s="23">
        <f>[22]GtS!$E$78</f>
        <v>219</v>
      </c>
      <c r="E34" s="23">
        <f>[23]GtS!$E$78</f>
        <v>151</v>
      </c>
      <c r="F34" s="23">
        <f>[24]GtS!$E$78</f>
        <v>203</v>
      </c>
      <c r="G34" s="34">
        <f>[25]GtS!$E$78</f>
        <v>234</v>
      </c>
      <c r="H34" s="155">
        <f>IF('AW Schüler'!$C154=0,"x",C34/'AW Schüler'!$C154)</f>
        <v>0.27791563275434245</v>
      </c>
      <c r="I34" s="155">
        <f>IF('AW Schüler'!$F154=0,"x",D34/'AW Schüler'!$F154)</f>
        <v>0.26481257557436516</v>
      </c>
      <c r="J34" s="155">
        <f>IF('AW Schüler'!$I154=0,"x",E34/'AW Schüler'!$I154)</f>
        <v>0.17336394948335246</v>
      </c>
      <c r="K34" s="155">
        <f>IF('AW Schüler'!$L154=0,"x",F34/'AW Schüler'!$L154)</f>
        <v>0.23333333333333334</v>
      </c>
      <c r="L34" s="156">
        <f>IF('AW Schüler'!$O154=0,"x",G34/'AW Schüler'!$O154)</f>
        <v>0.26896551724137929</v>
      </c>
    </row>
    <row r="35" spans="1:12" ht="9" customHeight="1">
      <c r="A35" s="21" t="s">
        <v>85</v>
      </c>
      <c r="B35" s="120"/>
      <c r="C35" s="124">
        <f>[26]GtS!$E$74</f>
        <v>0</v>
      </c>
      <c r="D35" s="124">
        <f>[27]GtS!$E$78</f>
        <v>210</v>
      </c>
      <c r="E35" s="124">
        <f>[28]GtS!$E$78</f>
        <v>208</v>
      </c>
      <c r="F35" s="124">
        <f>[29]GtS!$E$78</f>
        <v>208</v>
      </c>
      <c r="G35" s="188">
        <f>[30]GtS!$E$78</f>
        <v>213</v>
      </c>
      <c r="H35" s="189">
        <f>IF('AW Schüler'!$C155=0,"x",C35/'AW Schüler'!$C155)</f>
        <v>0</v>
      </c>
      <c r="I35" s="155">
        <f>IF('AW Schüler'!$F155=0,"x",D35/'AW Schüler'!$F155)</f>
        <v>8.6242299794661192E-2</v>
      </c>
      <c r="J35" s="155">
        <f>IF('AW Schüler'!$I155=0,"x",E35/'AW Schüler'!$I155)</f>
        <v>8.5456039441248979E-2</v>
      </c>
      <c r="K35" s="155">
        <f>IF('AW Schüler'!$L155=0,"x",F35/'AW Schüler'!$L155)</f>
        <v>7.8431372549019607E-2</v>
      </c>
      <c r="L35" s="156">
        <f>IF('AW Schüler'!$O155=0,"x",G35/'AW Schüler'!$O155)</f>
        <v>7.9123328380386326E-2</v>
      </c>
    </row>
    <row r="36" spans="1:12" ht="9" customHeight="1">
      <c r="A36" s="21" t="s">
        <v>86</v>
      </c>
      <c r="B36" s="120"/>
      <c r="C36" s="124">
        <f>[66]GtS!$E$74</f>
        <v>0</v>
      </c>
      <c r="D36" s="124">
        <f>[67]GtS!$E$78</f>
        <v>0</v>
      </c>
      <c r="E36" s="124">
        <f>[68]GtS!$E$78</f>
        <v>0</v>
      </c>
      <c r="F36" s="124">
        <f>[69]GtS!$E$78</f>
        <v>0</v>
      </c>
      <c r="G36" s="188">
        <f>[70]GtS!$E$78</f>
        <v>0</v>
      </c>
      <c r="H36" s="189">
        <f>IF('AW Schüler'!$C156=0,"x",C36/'AW Schüler'!$C156)</f>
        <v>0</v>
      </c>
      <c r="I36" s="189">
        <f>IF('AW Schüler'!$F156=0,"x",D36/'AW Schüler'!$F156)</f>
        <v>0</v>
      </c>
      <c r="J36" s="189">
        <f>IF('AW Schüler'!$I156=0,"x",E36/'AW Schüler'!$I156)</f>
        <v>0</v>
      </c>
      <c r="K36" s="189">
        <f>IF('AW Schüler'!$L156=0,"x",F36/'AW Schüler'!$L156)</f>
        <v>0</v>
      </c>
      <c r="L36" s="190">
        <f>IF('AW Schüler'!$O156=0,"x",G36/'AW Schüler'!$O156)</f>
        <v>0</v>
      </c>
    </row>
    <row r="37" spans="1:12" ht="9" customHeight="1">
      <c r="A37" s="21" t="s">
        <v>223</v>
      </c>
      <c r="B37" s="120"/>
      <c r="C37" s="23">
        <f>[31]GtS!$E$74</f>
        <v>477</v>
      </c>
      <c r="D37" s="23">
        <f>[32]GtS!$E$78</f>
        <v>658</v>
      </c>
      <c r="E37" s="23">
        <f>[33]GtS!$E$78</f>
        <v>658</v>
      </c>
      <c r="F37" s="23">
        <f>[34]GtS!$E$78</f>
        <v>409</v>
      </c>
      <c r="G37" s="34">
        <f>[35]GtS!$E$78</f>
        <v>160</v>
      </c>
      <c r="H37" s="155">
        <f>IF('AW Schüler'!$C157=0,"x",C37/'AW Schüler'!$C157)</f>
        <v>0.64459459459459456</v>
      </c>
      <c r="I37" s="155">
        <f>IF('AW Schüler'!$F157=0,"x",D37/'AW Schüler'!$F157)</f>
        <v>0.87152317880794705</v>
      </c>
      <c r="J37" s="155">
        <f>IF('AW Schüler'!$I157=0,"x",E37/'AW Schüler'!$I157)</f>
        <v>0.89402173913043481</v>
      </c>
      <c r="K37" s="155">
        <f>IF('AW Schüler'!$L157=0,"x",F37/'AW Schüler'!$L157)</f>
        <v>0.51837769328263628</v>
      </c>
      <c r="L37" s="156">
        <f>IF('AW Schüler'!$O157=0,"x",G37/'AW Schüler'!$O157)</f>
        <v>0.19559902200488999</v>
      </c>
    </row>
    <row r="38" spans="1:12" ht="9" customHeight="1">
      <c r="A38" s="21" t="s">
        <v>88</v>
      </c>
      <c r="B38" s="120"/>
      <c r="C38" s="124">
        <f>[71]GtS!$E$74</f>
        <v>0</v>
      </c>
      <c r="D38" s="124">
        <f>[72]GtS!$E$78</f>
        <v>0</v>
      </c>
      <c r="E38" s="124">
        <f>[73]GtS!$E$78</f>
        <v>0</v>
      </c>
      <c r="F38" s="124">
        <f>[74]GtS!$E$78</f>
        <v>0</v>
      </c>
      <c r="G38" s="188">
        <f>[75]GtS!$E$78</f>
        <v>0</v>
      </c>
      <c r="H38" s="189">
        <f>IF('AW Schüler'!$C158=0,"x",C38/'AW Schüler'!$C158)</f>
        <v>0</v>
      </c>
      <c r="I38" s="189">
        <f>IF('AW Schüler'!$F158=0,"x",D38/'AW Schüler'!$F158)</f>
        <v>0</v>
      </c>
      <c r="J38" s="189">
        <f>IF('AW Schüler'!$I158=0,"x",E38/'AW Schüler'!$I158)</f>
        <v>0</v>
      </c>
      <c r="K38" s="189">
        <f>IF('AW Schüler'!$L158=0,"x",F38/'AW Schüler'!$L158)</f>
        <v>0</v>
      </c>
      <c r="L38" s="190">
        <f>IF('AW Schüler'!$O158=0,"x",G38/'AW Schüler'!$O158)</f>
        <v>0</v>
      </c>
    </row>
    <row r="39" spans="1:12" ht="9" customHeight="1">
      <c r="A39" s="21" t="s">
        <v>89</v>
      </c>
      <c r="B39" s="120"/>
      <c r="C39" s="23">
        <f>[36]GtS!$E$74</f>
        <v>1215</v>
      </c>
      <c r="D39" s="23">
        <f>[37]GtS!$E$78</f>
        <v>3007</v>
      </c>
      <c r="E39" s="23">
        <f>[38]GtS!$E$78</f>
        <v>2111</v>
      </c>
      <c r="F39" s="23">
        <f>[39]GtS!$E$78</f>
        <v>1620</v>
      </c>
      <c r="G39" s="34">
        <f>[40]GtS!$E$78</f>
        <v>1857</v>
      </c>
      <c r="H39" s="155">
        <f>IF('AW Schüler'!$C159=0,"x",C39/'AW Schüler'!$C159)</f>
        <v>9.3425605536332182E-2</v>
      </c>
      <c r="I39" s="155">
        <f>IF('AW Schüler'!$F159=0,"x",D39/'AW Schüler'!$F159)</f>
        <v>0.23479347231982509</v>
      </c>
      <c r="J39" s="155">
        <f>IF('AW Schüler'!$I159=0,"x",E39/'AW Schüler'!$I159)</f>
        <v>0.16665350911818111</v>
      </c>
      <c r="K39" s="155">
        <f>IF('AW Schüler'!$L159=0,"x",F39/'AW Schüler'!$L159)</f>
        <v>0.12457705321439556</v>
      </c>
      <c r="L39" s="156">
        <f>IF('AW Schüler'!$O159=0,"x",G39/'AW Schüler'!$O159)</f>
        <v>0.14249539594843463</v>
      </c>
    </row>
    <row r="40" spans="1:12" ht="9" customHeight="1">
      <c r="A40" s="21" t="s">
        <v>90</v>
      </c>
      <c r="B40" s="120"/>
      <c r="C40" s="23">
        <f>[41]GtS!$E$74</f>
        <v>779</v>
      </c>
      <c r="D40" s="23">
        <f>[42]GtS!$E$78</f>
        <v>718</v>
      </c>
      <c r="E40" s="23">
        <f>[43]GtS!$E$78</f>
        <v>694</v>
      </c>
      <c r="F40" s="23">
        <f>[44]GtS!$E$78</f>
        <v>767</v>
      </c>
      <c r="G40" s="34">
        <f>[45]GtS!$E$78</f>
        <v>831</v>
      </c>
      <c r="H40" s="155">
        <f>IF('AW Schüler'!$C160=0,"x",C40/'AW Schüler'!$C160)</f>
        <v>0.38450148075024682</v>
      </c>
      <c r="I40" s="155">
        <f>IF('AW Schüler'!$F160=0,"x",D40/'AW Schüler'!$F160)</f>
        <v>0.35213339872486515</v>
      </c>
      <c r="J40" s="155">
        <f>IF('AW Schüler'!$I160=0,"x",E40/'AW Schüler'!$I160)</f>
        <v>0.34962216624685138</v>
      </c>
      <c r="K40" s="155">
        <f>IF('AW Schüler'!$L160=0,"x",F40/'AW Schüler'!$L160)</f>
        <v>0.39052953156822812</v>
      </c>
      <c r="L40" s="156">
        <f>IF('AW Schüler'!$O160=0,"x",G40/'AW Schüler'!$O160)</f>
        <v>0.41549999999999998</v>
      </c>
    </row>
    <row r="41" spans="1:12" ht="9" customHeight="1">
      <c r="A41" s="21" t="s">
        <v>91</v>
      </c>
      <c r="B41" s="120"/>
      <c r="C41" s="23">
        <f>[46]GtS!$E$74</f>
        <v>0</v>
      </c>
      <c r="D41" s="23">
        <f>[47]GtS!$E$78</f>
        <v>0</v>
      </c>
      <c r="E41" s="23">
        <f>[48]GtS!$E$78</f>
        <v>0</v>
      </c>
      <c r="F41" s="23">
        <f>[49]GtS!$E$78</f>
        <v>0</v>
      </c>
      <c r="G41" s="34">
        <f>[50]GtS!$E$78</f>
        <v>0</v>
      </c>
      <c r="H41" s="155">
        <f>IF('AW Schüler'!$C161=0,"x",C41/'AW Schüler'!$C161)</f>
        <v>0</v>
      </c>
      <c r="I41" s="155">
        <f>IF('AW Schüler'!$F161=0,"x",D41/'AW Schüler'!$F161)</f>
        <v>0</v>
      </c>
      <c r="J41" s="155">
        <f>IF('AW Schüler'!$I161=0,"x",E41/'AW Schüler'!$I161)</f>
        <v>0</v>
      </c>
      <c r="K41" s="155">
        <f>IF('AW Schüler'!$L161=0,"x",F41/'AW Schüler'!$L161)</f>
        <v>0</v>
      </c>
      <c r="L41" s="156">
        <f>IF('AW Schüler'!$O161=0,"x",G41/'AW Schüler'!$O161)</f>
        <v>0</v>
      </c>
    </row>
    <row r="42" spans="1:12" ht="9" customHeight="1">
      <c r="A42" s="21" t="s">
        <v>92</v>
      </c>
      <c r="B42" s="120"/>
      <c r="C42" s="36">
        <f>[51]GtS!$E$74</f>
        <v>964</v>
      </c>
      <c r="D42" s="36">
        <f>[52]GtS!$E$78</f>
        <v>1102</v>
      </c>
      <c r="E42" s="36">
        <f>[53]GtS!$E$78</f>
        <v>753</v>
      </c>
      <c r="F42" s="36">
        <f>[54]GtS!$E$78</f>
        <v>1311</v>
      </c>
      <c r="G42" s="37">
        <f>[55]GtS!$E$78</f>
        <v>1089</v>
      </c>
      <c r="H42" s="155">
        <f>IF('AW Schüler'!$C162=0,"x",C42/'AW Schüler'!$C162)</f>
        <v>0.77305533279871697</v>
      </c>
      <c r="I42" s="155">
        <f>IF('AW Schüler'!$F162=0,"x",D42/'AW Schüler'!$F162)</f>
        <v>0.85228151585460166</v>
      </c>
      <c r="J42" s="155">
        <f>IF('AW Schüler'!$I162=0,"x",E42/'AW Schüler'!$I162)</f>
        <v>0.54250720461095103</v>
      </c>
      <c r="K42" s="155">
        <f>IF('AW Schüler'!$L162=0,"x",F42/'AW Schüler'!$L162)</f>
        <v>0.87341772151898733</v>
      </c>
      <c r="L42" s="156">
        <f>IF('AW Schüler'!$O162=0,"x",G42/'AW Schüler'!$O162)</f>
        <v>0.67850467289719629</v>
      </c>
    </row>
    <row r="43" spans="1:12" ht="9" customHeight="1">
      <c r="A43" s="21" t="s">
        <v>93</v>
      </c>
      <c r="B43" s="120"/>
      <c r="C43" s="124">
        <f>[76]GtS!$E$74</f>
        <v>0</v>
      </c>
      <c r="D43" s="124">
        <f>[77]GtS!$E$78</f>
        <v>0</v>
      </c>
      <c r="E43" s="124">
        <f>[78]GtS!$E$78</f>
        <v>0</v>
      </c>
      <c r="F43" s="124">
        <f>[79]GtS!$E$78</f>
        <v>0</v>
      </c>
      <c r="G43" s="188">
        <f>[80]GtS!$E$78</f>
        <v>0</v>
      </c>
      <c r="H43" s="189">
        <f>IF('AW Schüler'!$C163=0,"x",C43/'AW Schüler'!$C163)</f>
        <v>0</v>
      </c>
      <c r="I43" s="189">
        <f>IF('AW Schüler'!$F163=0,"x",D43/'AW Schüler'!$F163)</f>
        <v>0</v>
      </c>
      <c r="J43" s="189">
        <f>IF('AW Schüler'!$I163=0,"x",E43/'AW Schüler'!$I163)</f>
        <v>0</v>
      </c>
      <c r="K43" s="189">
        <f>IF('AW Schüler'!$L163=0,"x",F43/'AW Schüler'!$L163)</f>
        <v>0</v>
      </c>
      <c r="L43" s="190">
        <f>IF('AW Schüler'!$O163=0,"x",G43/'AW Schüler'!$O163)</f>
        <v>0</v>
      </c>
    </row>
    <row r="44" spans="1:12" ht="9" customHeight="1">
      <c r="A44" s="21" t="s">
        <v>94</v>
      </c>
      <c r="B44" s="120"/>
      <c r="C44" s="23">
        <f>[56]GtS!$E$74</f>
        <v>0</v>
      </c>
      <c r="D44" s="23">
        <f>[57]GtS!$E$78</f>
        <v>0</v>
      </c>
      <c r="E44" s="23">
        <f>[58]GtS!$E$78</f>
        <v>0</v>
      </c>
      <c r="F44" s="23">
        <f>[59]GtS!$E$78</f>
        <v>0</v>
      </c>
      <c r="G44" s="34">
        <f>[60]GtS!$E$78</f>
        <v>0</v>
      </c>
      <c r="H44" s="155">
        <f>IF('AW Schüler'!$C164=0,"x",C44/'AW Schüler'!$C164)</f>
        <v>0</v>
      </c>
      <c r="I44" s="155">
        <f>IF('AW Schüler'!$F164=0,"x",D44/'AW Schüler'!$F164)</f>
        <v>0</v>
      </c>
      <c r="J44" s="155">
        <f>IF('AW Schüler'!$I164=0,"x",E44/'AW Schüler'!$I164)</f>
        <v>0</v>
      </c>
      <c r="K44" s="155">
        <f>IF('AW Schüler'!$L164=0,"x",F44/'AW Schüler'!$L164)</f>
        <v>0</v>
      </c>
      <c r="L44" s="156">
        <f>IF('AW Schüler'!$O164=0,"x",G44/'AW Schüler'!$O164)</f>
        <v>0</v>
      </c>
    </row>
    <row r="45" spans="1:12" ht="9" customHeight="1">
      <c r="A45" s="21" t="s">
        <v>95</v>
      </c>
      <c r="B45" s="120"/>
      <c r="C45" s="23">
        <f>[61]GtS!$E$74</f>
        <v>792</v>
      </c>
      <c r="D45" s="23">
        <f>[62]GtS!$E$78</f>
        <v>823</v>
      </c>
      <c r="E45" s="23">
        <f>[63]GtS!$E$78</f>
        <v>844</v>
      </c>
      <c r="F45" s="23">
        <f>[64]GtS!$E$78</f>
        <v>832</v>
      </c>
      <c r="G45" s="34">
        <f>[65]GtS!$E$78</f>
        <v>832</v>
      </c>
      <c r="H45" s="155">
        <f>IF('AW Schüler'!$C165=0,"x",C45/'AW Schüler'!$C165)</f>
        <v>0.69473684210526321</v>
      </c>
      <c r="I45" s="155">
        <f>IF('AW Schüler'!$F165=0,"x",D45/'AW Schüler'!$F165)</f>
        <v>0.70704467353951894</v>
      </c>
      <c r="J45" s="155">
        <f>IF('AW Schüler'!$I165=0,"x",E45/'AW Schüler'!$I165)</f>
        <v>0.70333333333333337</v>
      </c>
      <c r="K45" s="155">
        <f>IF('AW Schüler'!$L165=0,"x",F45/'AW Schüler'!$L165)</f>
        <v>0.67807660961695193</v>
      </c>
      <c r="L45" s="156">
        <f>IF('AW Schüler'!$O165=0,"x",G45/'AW Schüler'!$O165)</f>
        <v>0.67313915857605178</v>
      </c>
    </row>
    <row r="46" spans="1:12" ht="9" customHeight="1">
      <c r="A46" s="21" t="s">
        <v>96</v>
      </c>
      <c r="B46" s="120"/>
      <c r="C46" s="23">
        <f>SUM(C30:C45)</f>
        <v>8093</v>
      </c>
      <c r="D46" s="23">
        <f>SUM(D30:D45)</f>
        <v>9821</v>
      </c>
      <c r="E46" s="23">
        <f>SUM(E30:E45)</f>
        <v>8542</v>
      </c>
      <c r="F46" s="23">
        <f>SUM(F30:F45)</f>
        <v>8254</v>
      </c>
      <c r="G46" s="34">
        <f>SUM(G30:G45)</f>
        <v>8088</v>
      </c>
      <c r="H46" s="155">
        <f>IF('AW Schüler'!$C166=0,"x",C46/'AW Schüler'!$C166)</f>
        <v>0.14269090396177514</v>
      </c>
      <c r="I46" s="155">
        <f>IF('AW Schüler'!$F166=0,"x",D46/'AW Schüler'!$F166)</f>
        <v>0.1745738308121656</v>
      </c>
      <c r="J46" s="155">
        <f>IF('AW Schüler'!$I166=0,"x",E46/'AW Schüler'!$I166)</f>
        <v>0.15168788734395255</v>
      </c>
      <c r="K46" s="155">
        <f>IF('AW Schüler'!$L166=0,"x",F46/'AW Schüler'!$L166)</f>
        <v>0.1446674261677329</v>
      </c>
      <c r="L46" s="156">
        <f>IF('AW Schüler'!$O166=0,"x",G46/'AW Schüler'!$O166)</f>
        <v>0.14016116454380037</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[1]GtS!$H$74</f>
        <v>922</v>
      </c>
      <c r="D48" s="23">
        <f>[2]GtS!$H$78</f>
        <v>830</v>
      </c>
      <c r="E48" s="23">
        <f>[3]GtS!$H$78</f>
        <v>830</v>
      </c>
      <c r="F48" s="23">
        <f>[4]GtS!$H$78</f>
        <v>1108</v>
      </c>
      <c r="G48" s="34">
        <f>[5]GtS!$H$78</f>
        <v>1140</v>
      </c>
      <c r="H48" s="155">
        <f>IF('AW Schüler'!$C150=0,"x",C48/'AW Schüler'!$C150)</f>
        <v>4.8518654949218545E-2</v>
      </c>
      <c r="I48" s="155">
        <f>IF('AW Schüler'!$F150=0,"x",D48/'AW Schüler'!$F150)</f>
        <v>4.4003817198600359E-2</v>
      </c>
      <c r="J48" s="155">
        <f>IF('AW Schüler'!$I150=0,"x",E48/'AW Schüler'!$I150)</f>
        <v>4.4377907287600916E-2</v>
      </c>
      <c r="K48" s="155">
        <f>IF('AW Schüler'!$L150=0,"x",F48/'AW Schüler'!$L150)</f>
        <v>5.9678983087363996E-2</v>
      </c>
      <c r="L48" s="156">
        <f>IF('AW Schüler'!$O150=0,"x",G48/'AW Schüler'!$O150)</f>
        <v>6.139264365340083E-2</v>
      </c>
    </row>
    <row r="49" spans="1:12" ht="9" customHeight="1">
      <c r="A49" s="21" t="s">
        <v>81</v>
      </c>
      <c r="B49" s="120"/>
      <c r="C49" s="23">
        <f>[6]GtS!$H$74</f>
        <v>1443</v>
      </c>
      <c r="D49" s="23">
        <f>[7]GtS!$H$78</f>
        <v>1978</v>
      </c>
      <c r="E49" s="23">
        <f>[8]GtS!$H$78</f>
        <v>2327</v>
      </c>
      <c r="F49" s="23">
        <f>[9]GtS!$H$78</f>
        <v>2702</v>
      </c>
      <c r="G49" s="34">
        <f>[10]GtS!$H$78</f>
        <v>3311</v>
      </c>
      <c r="H49" s="155">
        <f>IF('AW Schüler'!$C151=0,"x",C49/'AW Schüler'!$C151)</f>
        <v>0.21673175127665967</v>
      </c>
      <c r="I49" s="155">
        <f>IF('AW Schüler'!$F151=0,"x",D49/'AW Schüler'!$F151)</f>
        <v>0.29789156626506025</v>
      </c>
      <c r="J49" s="155">
        <f>IF('AW Schüler'!$I151=0,"x",E49/'AW Schüler'!$I151)</f>
        <v>0.34357005758157388</v>
      </c>
      <c r="K49" s="155">
        <f>IF('AW Schüler'!$L151=0,"x",F49/'AW Schüler'!$L151)</f>
        <v>0.39624578383927261</v>
      </c>
      <c r="L49" s="156">
        <f>IF('AW Schüler'!$O151=0,"x",G49/'AW Schüler'!$O151)</f>
        <v>0.47812274368231045</v>
      </c>
    </row>
    <row r="50" spans="1:12" ht="9" customHeight="1">
      <c r="A50" s="21" t="s">
        <v>82</v>
      </c>
      <c r="B50" s="120"/>
      <c r="C50" s="23">
        <f>[11]GtS!$H$74</f>
        <v>1352</v>
      </c>
      <c r="D50" s="23">
        <f>[12]GtS!$H$78</f>
        <v>1459</v>
      </c>
      <c r="E50" s="23">
        <f>[13]GtS!$H$78</f>
        <v>1439</v>
      </c>
      <c r="F50" s="23">
        <f>[14]GtS!$H$78</f>
        <v>1600</v>
      </c>
      <c r="G50" s="34">
        <f>[15]GtS!$H$78</f>
        <v>1740</v>
      </c>
      <c r="H50" s="155">
        <f>IF('AW Schüler'!$C152=0,"x",C50/'AW Schüler'!$C152)</f>
        <v>0.38884095484613174</v>
      </c>
      <c r="I50" s="155">
        <f>IF('AW Schüler'!$F152=0,"x",D50/'AW Schüler'!$F152)</f>
        <v>0.43000294724432653</v>
      </c>
      <c r="J50" s="155">
        <f>IF('AW Schüler'!$I152=0,"x",E50/'AW Schüler'!$I152)</f>
        <v>0.40927189988623436</v>
      </c>
      <c r="K50" s="155">
        <f>IF('AW Schüler'!$L152=0,"x",F50/'AW Schüler'!$L152)</f>
        <v>0.44593088071348941</v>
      </c>
      <c r="L50" s="156">
        <f>IF('AW Schüler'!$O152=0,"x",G50/'AW Schüler'!$O152)</f>
        <v>0.45705279747832939</v>
      </c>
    </row>
    <row r="51" spans="1:12" ht="9" customHeight="1">
      <c r="A51" s="21" t="s">
        <v>83</v>
      </c>
      <c r="B51" s="120"/>
      <c r="C51" s="23">
        <f>[16]GtS!$H$74</f>
        <v>512</v>
      </c>
      <c r="D51" s="23">
        <f>[17]GtS!$H$78</f>
        <v>540</v>
      </c>
      <c r="E51" s="23">
        <f>[18]GtS!$H$78</f>
        <v>539</v>
      </c>
      <c r="F51" s="23">
        <f>[19]GtS!$H$78</f>
        <v>572</v>
      </c>
      <c r="G51" s="34">
        <f>[20]GtS!$H$78</f>
        <v>489</v>
      </c>
      <c r="H51" s="155">
        <f>IF('AW Schüler'!$C153=0,"x",C51/'AW Schüler'!$C153)</f>
        <v>0.43537414965986393</v>
      </c>
      <c r="I51" s="155">
        <f>IF('AW Schüler'!$F153=0,"x",D51/'AW Schüler'!$F153)</f>
        <v>0.46471600688468157</v>
      </c>
      <c r="J51" s="155">
        <f>IF('AW Schüler'!$I153=0,"x",E51/'AW Schüler'!$I153)</f>
        <v>0.45332211942809081</v>
      </c>
      <c r="K51" s="155">
        <f>IF('AW Schüler'!$L153=0,"x",F51/'AW Schüler'!$L153)</f>
        <v>0.45943775100401607</v>
      </c>
      <c r="L51" s="156">
        <f>IF('AW Schüler'!$O153=0,"x",G51/'AW Schüler'!$O153)</f>
        <v>0.38840349483717235</v>
      </c>
    </row>
    <row r="52" spans="1:12" ht="9" customHeight="1">
      <c r="A52" s="21" t="s">
        <v>84</v>
      </c>
      <c r="B52" s="120"/>
      <c r="C52" s="23">
        <f>[21]GtS!$H$74</f>
        <v>0</v>
      </c>
      <c r="D52" s="23">
        <f>[22]GtS!$H$78</f>
        <v>0</v>
      </c>
      <c r="E52" s="23">
        <f>[23]GtS!$H$78</f>
        <v>0</v>
      </c>
      <c r="F52" s="23">
        <f>[24]GtS!$H$78</f>
        <v>0</v>
      </c>
      <c r="G52" s="34">
        <f>[25]GtS!$H$78</f>
        <v>0</v>
      </c>
      <c r="H52" s="155">
        <f>IF('AW Schüler'!$C154=0,"x",C52/'AW Schüler'!$C154)</f>
        <v>0</v>
      </c>
      <c r="I52" s="155">
        <f>IF('AW Schüler'!$F154=0,"x",D52/'AW Schüler'!$F154)</f>
        <v>0</v>
      </c>
      <c r="J52" s="155">
        <f>IF('AW Schüler'!$I154=0,"x",E52/'AW Schüler'!$I154)</f>
        <v>0</v>
      </c>
      <c r="K52" s="155">
        <f>IF('AW Schüler'!$L154=0,"x",F52/'AW Schüler'!$L154)</f>
        <v>0</v>
      </c>
      <c r="L52" s="156">
        <f>IF('AW Schüler'!$O154=0,"x",G52/'AW Schüler'!$O154)</f>
        <v>0</v>
      </c>
    </row>
    <row r="53" spans="1:12" ht="9" customHeight="1">
      <c r="A53" s="21" t="s">
        <v>85</v>
      </c>
      <c r="B53" s="120"/>
      <c r="C53" s="124">
        <f>[26]GtS!$H$74</f>
        <v>0</v>
      </c>
      <c r="D53" s="23">
        <f>[27]GtS!$H$78</f>
        <v>0</v>
      </c>
      <c r="E53" s="23">
        <f>[28]GtS!$H$78</f>
        <v>0</v>
      </c>
      <c r="F53" s="23">
        <f>[29]GtS!$H$78</f>
        <v>0</v>
      </c>
      <c r="G53" s="34">
        <f>[30]GtS!$H$78</f>
        <v>0</v>
      </c>
      <c r="H53" s="189">
        <f>IF('AW Schüler'!$C155=0,"x",C53/'AW Schüler'!$C155)</f>
        <v>0</v>
      </c>
      <c r="I53" s="155">
        <f>IF('AW Schüler'!$F155=0,"x",D53/'AW Schüler'!$F155)</f>
        <v>0</v>
      </c>
      <c r="J53" s="155">
        <f>IF('AW Schüler'!$I155=0,"x",E53/'AW Schüler'!$I155)</f>
        <v>0</v>
      </c>
      <c r="K53" s="155">
        <f>IF('AW Schüler'!$L155=0,"x",F53/'AW Schüler'!$L155)</f>
        <v>0</v>
      </c>
      <c r="L53" s="156">
        <f>IF('AW Schüler'!$O155=0,"x",G53/'AW Schüler'!$O155)</f>
        <v>0</v>
      </c>
    </row>
    <row r="54" spans="1:12" ht="9" customHeight="1">
      <c r="A54" s="21" t="s">
        <v>86</v>
      </c>
      <c r="B54" s="120"/>
      <c r="C54" s="124">
        <f>[66]GtS!$H$74</f>
        <v>0</v>
      </c>
      <c r="D54" s="124">
        <f>[67]GtS!$H$78</f>
        <v>0</v>
      </c>
      <c r="E54" s="124">
        <f>[68]GtS!$H$78</f>
        <v>0</v>
      </c>
      <c r="F54" s="124">
        <f>[69]GtS!$H$78</f>
        <v>0</v>
      </c>
      <c r="G54" s="188">
        <f>[70]GtS!$H$78</f>
        <v>0</v>
      </c>
      <c r="H54" s="189">
        <f>IF('AW Schüler'!$C156=0,"x",C54/'AW Schüler'!$C156)</f>
        <v>0</v>
      </c>
      <c r="I54" s="189">
        <f>IF('AW Schüler'!$F156=0,"x",D54/'AW Schüler'!$F156)</f>
        <v>0</v>
      </c>
      <c r="J54" s="189">
        <f>IF('AW Schüler'!$I156=0,"x",E54/'AW Schüler'!$I156)</f>
        <v>0</v>
      </c>
      <c r="K54" s="189">
        <f>IF('AW Schüler'!$L156=0,"x",F54/'AW Schüler'!$L156)</f>
        <v>0</v>
      </c>
      <c r="L54" s="190">
        <f>IF('AW Schüler'!$O156=0,"x",G54/'AW Schüler'!$O156)</f>
        <v>0</v>
      </c>
    </row>
    <row r="55" spans="1:12" ht="9" customHeight="1">
      <c r="A55" s="21" t="s">
        <v>223</v>
      </c>
      <c r="B55" s="120"/>
      <c r="C55" s="23">
        <f>[31]GtS!$H$74</f>
        <v>53</v>
      </c>
      <c r="D55" s="23">
        <f>[32]GtS!$H$78</f>
        <v>0</v>
      </c>
      <c r="E55" s="23">
        <f>[33]GtS!$H$78</f>
        <v>0</v>
      </c>
      <c r="F55" s="23">
        <f>[34]GtS!$H$78</f>
        <v>0</v>
      </c>
      <c r="G55" s="34">
        <f>[35]GtS!$H$78</f>
        <v>0</v>
      </c>
      <c r="H55" s="155">
        <f>IF('AW Schüler'!$C157=0,"x",C55/'AW Schüler'!$C157)</f>
        <v>7.1621621621621626E-2</v>
      </c>
      <c r="I55" s="155">
        <f>IF('AW Schüler'!$F157=0,"x",D55/'AW Schüler'!$F157)</f>
        <v>0</v>
      </c>
      <c r="J55" s="155">
        <f>IF('AW Schüler'!$I157=0,"x",E55/'AW Schüler'!$I157)</f>
        <v>0</v>
      </c>
      <c r="K55" s="155">
        <f>IF('AW Schüler'!$L157=0,"x",F55/'AW Schüler'!$L157)</f>
        <v>0</v>
      </c>
      <c r="L55" s="156">
        <f>IF('AW Schüler'!$O157=0,"x",G55/'AW Schüler'!$O157)</f>
        <v>0</v>
      </c>
    </row>
    <row r="56" spans="1:12" ht="9" customHeight="1">
      <c r="A56" s="21" t="s">
        <v>88</v>
      </c>
      <c r="B56" s="120"/>
      <c r="C56" s="124">
        <f>[71]GtS!$H$74</f>
        <v>0</v>
      </c>
      <c r="D56" s="124">
        <f>[72]GtS!$H$78</f>
        <v>0</v>
      </c>
      <c r="E56" s="124">
        <f>[73]GtS!$H$78</f>
        <v>0</v>
      </c>
      <c r="F56" s="124">
        <f>[74]GtS!$H$78</f>
        <v>0</v>
      </c>
      <c r="G56" s="188">
        <f>[75]GtS!$H$78</f>
        <v>0</v>
      </c>
      <c r="H56" s="189">
        <f>IF('AW Schüler'!$C158=0,"x",C56/'AW Schüler'!$C158)</f>
        <v>0</v>
      </c>
      <c r="I56" s="189">
        <f>IF('AW Schüler'!$F158=0,"x",D56/'AW Schüler'!$F158)</f>
        <v>0</v>
      </c>
      <c r="J56" s="189">
        <f>IF('AW Schüler'!$I158=0,"x",E56/'AW Schüler'!$I158)</f>
        <v>0</v>
      </c>
      <c r="K56" s="189">
        <f>IF('AW Schüler'!$L158=0,"x",F56/'AW Schüler'!$L158)</f>
        <v>0</v>
      </c>
      <c r="L56" s="190">
        <f>IF('AW Schüler'!$O158=0,"x",G56/'AW Schüler'!$O158)</f>
        <v>0</v>
      </c>
    </row>
    <row r="57" spans="1:12" ht="9" customHeight="1">
      <c r="A57" s="21" t="s">
        <v>89</v>
      </c>
      <c r="B57" s="120"/>
      <c r="C57" s="23">
        <f>[36]GtS!$H$74</f>
        <v>3218</v>
      </c>
      <c r="D57" s="23">
        <f>[37]GtS!$H$78</f>
        <v>3329</v>
      </c>
      <c r="E57" s="23">
        <f>[38]GtS!$H$78</f>
        <v>3129</v>
      </c>
      <c r="F57" s="23">
        <f>[39]GtS!$H$78</f>
        <v>3141</v>
      </c>
      <c r="G57" s="34">
        <f>[40]GtS!$H$78</f>
        <v>3218</v>
      </c>
      <c r="H57" s="155">
        <f>IF('AW Schüler'!$C159=0,"x",C57/'AW Schüler'!$C159)</f>
        <v>0.24744329104190696</v>
      </c>
      <c r="I57" s="155">
        <f>IF('AW Schüler'!$F159=0,"x",D57/'AW Schüler'!$F159)</f>
        <v>0.25993597251503087</v>
      </c>
      <c r="J57" s="155">
        <f>IF('AW Schüler'!$I159=0,"x",E57/'AW Schüler'!$I159)</f>
        <v>0.24701981526801925</v>
      </c>
      <c r="K57" s="155">
        <f>IF('AW Schüler'!$L159=0,"x",F57/'AW Schüler'!$L159)</f>
        <v>0.24154106428791142</v>
      </c>
      <c r="L57" s="156">
        <f>IF('AW Schüler'!$O159=0,"x",G57/'AW Schüler'!$O159)</f>
        <v>0.24693063228974832</v>
      </c>
    </row>
    <row r="58" spans="1:12" ht="9" customHeight="1">
      <c r="A58" s="21" t="s">
        <v>90</v>
      </c>
      <c r="B58" s="120"/>
      <c r="C58" s="23">
        <f>[41]GtS!$H$74</f>
        <v>0</v>
      </c>
      <c r="D58" s="23">
        <f>[42]GtS!$H$78</f>
        <v>0</v>
      </c>
      <c r="E58" s="23">
        <f>[43]GtS!$H$78</f>
        <v>0</v>
      </c>
      <c r="F58" s="23">
        <f>[44]GtS!$H$78</f>
        <v>0</v>
      </c>
      <c r="G58" s="34">
        <f>[45]GtS!$H$78</f>
        <v>0</v>
      </c>
      <c r="H58" s="155">
        <f>IF('AW Schüler'!$C160=0,"x",C58/'AW Schüler'!$C160)</f>
        <v>0</v>
      </c>
      <c r="I58" s="155">
        <f>IF('AW Schüler'!$F160=0,"x",D58/'AW Schüler'!$F160)</f>
        <v>0</v>
      </c>
      <c r="J58" s="155">
        <f>IF('AW Schüler'!$I160=0,"x",E58/'AW Schüler'!$I160)</f>
        <v>0</v>
      </c>
      <c r="K58" s="155">
        <f>IF('AW Schüler'!$L160=0,"x",F58/'AW Schüler'!$L160)</f>
        <v>0</v>
      </c>
      <c r="L58" s="156">
        <f>IF('AW Schüler'!$O160=0,"x",G58/'AW Schüler'!$O160)</f>
        <v>0</v>
      </c>
    </row>
    <row r="59" spans="1:12" ht="9" customHeight="1">
      <c r="A59" s="21" t="s">
        <v>91</v>
      </c>
      <c r="B59" s="120"/>
      <c r="C59" s="23">
        <f>[46]GtS!$H$74</f>
        <v>118</v>
      </c>
      <c r="D59" s="23">
        <f>[47]GtS!$H$78</f>
        <v>116</v>
      </c>
      <c r="E59" s="23">
        <f>[48]GtS!$H$78</f>
        <v>148</v>
      </c>
      <c r="F59" s="23">
        <f>[49]GtS!$H$78</f>
        <v>155</v>
      </c>
      <c r="G59" s="34">
        <f>[50]GtS!$H$78</f>
        <v>199</v>
      </c>
      <c r="H59" s="155">
        <f>IF('AW Schüler'!$C161=0,"x",C59/'AW Schüler'!$C161)</f>
        <v>0.11313518696069032</v>
      </c>
      <c r="I59" s="155">
        <f>IF('AW Schüler'!$F161=0,"x",D59/'AW Schüler'!$F161)</f>
        <v>0.11451135241855874</v>
      </c>
      <c r="J59" s="155">
        <f>IF('AW Schüler'!$I161=0,"x",E59/'AW Schüler'!$I161)</f>
        <v>0.14467253176930597</v>
      </c>
      <c r="K59" s="155">
        <f>IF('AW Schüler'!$L161=0,"x",F59/'AW Schüler'!$L161)</f>
        <v>0.15270935960591134</v>
      </c>
      <c r="L59" s="156">
        <f>IF('AW Schüler'!$O161=0,"x",G59/'AW Schüler'!$O161)</f>
        <v>0.20431211498973306</v>
      </c>
    </row>
    <row r="60" spans="1:12" ht="9" customHeight="1">
      <c r="A60" s="21" t="s">
        <v>92</v>
      </c>
      <c r="B60" s="120"/>
      <c r="C60" s="23">
        <f>[51]GtS!$H$74</f>
        <v>0</v>
      </c>
      <c r="D60" s="23">
        <f>[52]GtS!$H$78</f>
        <v>19</v>
      </c>
      <c r="E60" s="23">
        <f>[53]GtS!$H$78</f>
        <v>20</v>
      </c>
      <c r="F60" s="23">
        <f>[54]GtS!$H$78</f>
        <v>0</v>
      </c>
      <c r="G60" s="34">
        <f>[55]GtS!$H$78</f>
        <v>382</v>
      </c>
      <c r="H60" s="155">
        <f>IF('AW Schüler'!$C162=0,"x",C60/'AW Schüler'!$C162)</f>
        <v>0</v>
      </c>
      <c r="I60" s="155">
        <f>IF('AW Schüler'!$F162=0,"x",D60/'AW Schüler'!$F162)</f>
        <v>1.4694508894044857E-2</v>
      </c>
      <c r="J60" s="155">
        <f>IF('AW Schüler'!$I162=0,"x",E60/'AW Schüler'!$I162)</f>
        <v>1.4409221902017291E-2</v>
      </c>
      <c r="K60" s="155">
        <f>IF('AW Schüler'!$L162=0,"x",F60/'AW Schüler'!$L162)</f>
        <v>0</v>
      </c>
      <c r="L60" s="156">
        <f>IF('AW Schüler'!$O162=0,"x",G60/'AW Schüler'!$O162)</f>
        <v>0.23800623052959502</v>
      </c>
    </row>
    <row r="61" spans="1:12" ht="9" customHeight="1">
      <c r="A61" s="21" t="s">
        <v>93</v>
      </c>
      <c r="B61" s="120"/>
      <c r="C61" s="124">
        <f>[76]GtS!$H$74</f>
        <v>0</v>
      </c>
      <c r="D61" s="124">
        <f>[77]GtS!$H$78</f>
        <v>0</v>
      </c>
      <c r="E61" s="124">
        <f>[78]GtS!$H$78</f>
        <v>0</v>
      </c>
      <c r="F61" s="124">
        <f>[79]GtS!$H$78</f>
        <v>0</v>
      </c>
      <c r="G61" s="188">
        <f>[80]GtS!$H$78</f>
        <v>0</v>
      </c>
      <c r="H61" s="189">
        <f>IF('AW Schüler'!$C163=0,"x",C61/'AW Schüler'!$C163)</f>
        <v>0</v>
      </c>
      <c r="I61" s="189">
        <f>IF('AW Schüler'!$F163=0,"x",D61/'AW Schüler'!$F163)</f>
        <v>0</v>
      </c>
      <c r="J61" s="189">
        <f>IF('AW Schüler'!$I163=0,"x",E61/'AW Schüler'!$I163)</f>
        <v>0</v>
      </c>
      <c r="K61" s="189">
        <f>IF('AW Schüler'!$L163=0,"x",F61/'AW Schüler'!$L163)</f>
        <v>0</v>
      </c>
      <c r="L61" s="190">
        <f>IF('AW Schüler'!$O163=0,"x",G61/'AW Schüler'!$O163)</f>
        <v>0</v>
      </c>
    </row>
    <row r="62" spans="1:12" ht="9" customHeight="1">
      <c r="A62" s="21" t="s">
        <v>94</v>
      </c>
      <c r="B62" s="120"/>
      <c r="C62" s="23">
        <f>[56]GtS!$H$74</f>
        <v>1132</v>
      </c>
      <c r="D62" s="23">
        <f>[57]GtS!$H$78</f>
        <v>1099</v>
      </c>
      <c r="E62" s="23">
        <f>[58]GtS!$H$78</f>
        <v>1087</v>
      </c>
      <c r="F62" s="23">
        <f>[59]GtS!$H$78</f>
        <v>1075</v>
      </c>
      <c r="G62" s="34">
        <f>[60]GtS!$H$78</f>
        <v>1100</v>
      </c>
      <c r="H62" s="155">
        <f>IF('AW Schüler'!$C164=0,"x",C62/'AW Schüler'!$C164)</f>
        <v>0.28650974436851429</v>
      </c>
      <c r="I62" s="155">
        <f>IF('AW Schüler'!$F164=0,"x",D62/'AW Schüler'!$F164)</f>
        <v>0.28419963796224462</v>
      </c>
      <c r="J62" s="155">
        <f>IF('AW Schüler'!$I164=0,"x",E62/'AW Schüler'!$I164)</f>
        <v>0.28396029258098221</v>
      </c>
      <c r="K62" s="155">
        <f>IF('AW Schüler'!$L164=0,"x",F62/'AW Schüler'!$L164)</f>
        <v>0.28178243774574052</v>
      </c>
      <c r="L62" s="156">
        <f>IF('AW Schüler'!$O164=0,"x",G62/'AW Schüler'!$O164)</f>
        <v>0.28075548749361917</v>
      </c>
    </row>
    <row r="63" spans="1:12" ht="9" customHeight="1">
      <c r="A63" s="21" t="s">
        <v>95</v>
      </c>
      <c r="B63" s="120"/>
      <c r="C63" s="23">
        <f>[61]GtS!$H$74</f>
        <v>201</v>
      </c>
      <c r="D63" s="23">
        <f>[62]GtS!$H$78</f>
        <v>198</v>
      </c>
      <c r="E63" s="23">
        <f>[63]GtS!$H$78</f>
        <v>168</v>
      </c>
      <c r="F63" s="23">
        <f>[64]GtS!$H$78</f>
        <v>301</v>
      </c>
      <c r="G63" s="34">
        <f>[65]GtS!$H$78</f>
        <v>182</v>
      </c>
      <c r="H63" s="155">
        <f>IF('AW Schüler'!$C165=0,"x",C63/'AW Schüler'!$C165)</f>
        <v>0.1763157894736842</v>
      </c>
      <c r="I63" s="155">
        <f>IF('AW Schüler'!$F165=0,"x",D63/'AW Schüler'!$F165)</f>
        <v>0.17010309278350516</v>
      </c>
      <c r="J63" s="155">
        <f>IF('AW Schüler'!$I165=0,"x",E63/'AW Schüler'!$I165)</f>
        <v>0.14000000000000001</v>
      </c>
      <c r="K63" s="155">
        <f>IF('AW Schüler'!$L165=0,"x",F63/'AW Schüler'!$L165)</f>
        <v>0.24531377343113284</v>
      </c>
      <c r="L63" s="156">
        <f>IF('AW Schüler'!$O165=0,"x",G63/'AW Schüler'!$O165)</f>
        <v>0.14724919093851133</v>
      </c>
    </row>
    <row r="64" spans="1:12" ht="8.65" customHeight="1">
      <c r="A64" s="24" t="s">
        <v>96</v>
      </c>
      <c r="B64" s="121"/>
      <c r="C64" s="26">
        <f>SUM(C48:C63)</f>
        <v>8951</v>
      </c>
      <c r="D64" s="26">
        <f>SUM(D48:D63)</f>
        <v>9568</v>
      </c>
      <c r="E64" s="26">
        <f>SUM(E48:E63)</f>
        <v>9687</v>
      </c>
      <c r="F64" s="26">
        <f>SUM(F48:F63)</f>
        <v>10654</v>
      </c>
      <c r="G64" s="47">
        <f>SUM(G48:G63)</f>
        <v>11761</v>
      </c>
      <c r="H64" s="157">
        <f>IF('AW Schüler'!$C166=0,"x",C64/'AW Schüler'!$C166)</f>
        <v>0.15781864344023838</v>
      </c>
      <c r="I64" s="157">
        <f>IF('AW Schüler'!$F166=0,"x",D64/'AW Schüler'!$F166)</f>
        <v>0.17007661268819879</v>
      </c>
      <c r="J64" s="157">
        <f>IF('AW Schüler'!$I166=0,"x",E64/'AW Schüler'!$I166)</f>
        <v>0.17202067018272868</v>
      </c>
      <c r="K64" s="157">
        <f>IF('AW Schüler'!$L166=0,"x",F64/'AW Schüler'!$L166)</f>
        <v>0.18673210060467971</v>
      </c>
      <c r="L64" s="158">
        <f>IF('AW Schüler'!$O166=0,"x",G64/'AW Schüler'!$O166)</f>
        <v>0.20381249458452474</v>
      </c>
    </row>
    <row r="65" spans="1:12" ht="18.75" customHeight="1">
      <c r="A65" s="396" t="s">
        <v>312</v>
      </c>
      <c r="B65" s="396"/>
      <c r="C65" s="396"/>
      <c r="D65" s="396"/>
      <c r="E65" s="396"/>
      <c r="F65" s="396"/>
      <c r="G65" s="396"/>
      <c r="H65" s="396"/>
      <c r="I65" s="396"/>
      <c r="J65" s="396"/>
      <c r="K65" s="396"/>
      <c r="L65" s="396"/>
    </row>
    <row r="66" spans="1:12" ht="10.15" customHeight="1">
      <c r="A66" s="408" t="s">
        <v>211</v>
      </c>
      <c r="B66" s="408"/>
      <c r="C66" s="408"/>
      <c r="D66" s="408"/>
      <c r="E66" s="408"/>
      <c r="F66" s="408"/>
      <c r="G66" s="408"/>
      <c r="H66" s="408"/>
      <c r="I66" s="408"/>
      <c r="J66" s="258"/>
      <c r="K66" s="278"/>
      <c r="L66" s="278"/>
    </row>
    <row r="67" spans="1:12" ht="10.15" customHeight="1">
      <c r="A67" s="399" t="s">
        <v>103</v>
      </c>
      <c r="B67" s="399"/>
      <c r="C67" s="399"/>
      <c r="D67" s="399"/>
      <c r="E67" s="399"/>
      <c r="F67" s="399"/>
      <c r="G67" s="399"/>
      <c r="H67" s="399"/>
      <c r="I67" s="399"/>
      <c r="J67" s="257"/>
      <c r="K67" s="325"/>
      <c r="L67" s="350"/>
    </row>
    <row r="68" spans="1:12" ht="10.15" customHeight="1">
      <c r="A68" s="305" t="s">
        <v>302</v>
      </c>
    </row>
    <row r="69" spans="1:12" ht="10.15" customHeight="1">
      <c r="A69" s="220" t="s">
        <v>229</v>
      </c>
    </row>
    <row r="70" spans="1:12" ht="10.15" customHeight="1">
      <c r="A70" s="306" t="s">
        <v>169</v>
      </c>
    </row>
    <row r="71" spans="1:12" ht="8.25" customHeight="1"/>
    <row r="84" spans="1:1" ht="10.5" customHeight="1"/>
    <row r="85" spans="1:1" ht="10.15" customHeight="1">
      <c r="A85" s="214"/>
    </row>
  </sheetData>
  <mergeCells count="9">
    <mergeCell ref="A1:L1"/>
    <mergeCell ref="A66:I66"/>
    <mergeCell ref="A67:I67"/>
    <mergeCell ref="C9:G9"/>
    <mergeCell ref="H9:L9"/>
    <mergeCell ref="A11:L11"/>
    <mergeCell ref="A29:L29"/>
    <mergeCell ref="A47:L47"/>
    <mergeCell ref="A65:L65"/>
  </mergeCells>
  <phoneticPr fontId="18" type="noConversion"/>
  <conditionalFormatting sqref="M25">
    <cfRule type="cellIs" dxfId="4"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M86"/>
  <sheetViews>
    <sheetView view="pageBreakPreview" topLeftCell="A4" zoomScale="175" zoomScaleNormal="130" zoomScaleSheetLayoutView="175" workbookViewId="0">
      <selection activeCell="F27" sqref="F27"/>
    </sheetView>
  </sheetViews>
  <sheetFormatPr baseColWidth="10" defaultColWidth="11.42578125" defaultRowHeight="9"/>
  <cols>
    <col min="1" max="1" width="8.7109375" style="2" customWidth="1"/>
    <col min="2" max="2" width="0.42578125" style="2" customWidth="1"/>
    <col min="3" max="12" width="6.7109375" style="2" customWidth="1"/>
    <col min="13" max="16384" width="11.42578125" style="2"/>
  </cols>
  <sheetData>
    <row r="1" spans="1:13" ht="12.75" customHeight="1">
      <c r="A1" s="383">
        <f>'1_3 '!A1:J1+1</f>
        <v>4</v>
      </c>
      <c r="B1" s="383"/>
      <c r="C1" s="383"/>
      <c r="D1" s="383"/>
      <c r="E1" s="383"/>
      <c r="F1" s="383"/>
      <c r="G1" s="383"/>
      <c r="H1" s="383"/>
      <c r="I1" s="383"/>
      <c r="J1" s="383"/>
      <c r="K1" s="383"/>
      <c r="L1" s="383"/>
      <c r="M1" s="58" t="s">
        <v>108</v>
      </c>
    </row>
    <row r="2" spans="1:13" ht="6" customHeight="1"/>
    <row r="3" spans="1:13" s="1" customFormat="1" ht="12.6" customHeight="1">
      <c r="A3" s="11">
        <v>2</v>
      </c>
      <c r="B3" s="12" t="s">
        <v>264</v>
      </c>
      <c r="C3" s="12"/>
      <c r="D3" s="12"/>
      <c r="E3" s="12"/>
      <c r="F3" s="12"/>
      <c r="G3" s="12"/>
    </row>
    <row r="4" spans="1:13" s="1" customFormat="1" ht="12.6" customHeight="1">
      <c r="A4" s="13" t="s">
        <v>5</v>
      </c>
      <c r="B4" s="12" t="s">
        <v>132</v>
      </c>
      <c r="C4" s="14"/>
      <c r="D4" s="14"/>
      <c r="E4" s="14"/>
      <c r="F4" s="14"/>
      <c r="G4" s="14"/>
    </row>
    <row r="5" spans="1:13" s="1" customFormat="1" ht="12.6" customHeight="1">
      <c r="A5" s="13" t="s">
        <v>6</v>
      </c>
      <c r="B5" s="39" t="s">
        <v>7</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142</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382</v>
      </c>
      <c r="D12" s="42">
        <f t="shared" ref="D12:E12" si="1">SUM(D30,D48,D66)</f>
        <v>384</v>
      </c>
      <c r="E12" s="42">
        <f t="shared" si="1"/>
        <v>439</v>
      </c>
      <c r="F12" s="42">
        <f t="shared" ref="F12:G12" si="2">SUM(F30,F48,F66)</f>
        <v>498</v>
      </c>
      <c r="G12" s="44">
        <f t="shared" si="2"/>
        <v>570</v>
      </c>
      <c r="H12" s="153">
        <f>IF('AW Schulen'!$D6=0,"x",C12/'AW Schulen'!$D6)</f>
        <v>0.15341365461847389</v>
      </c>
      <c r="I12" s="153">
        <f>IF('AW Schulen'!$G6=0,"x",D12/'AW Schulen'!$G6)</f>
        <v>0.15940224159402241</v>
      </c>
      <c r="J12" s="153">
        <f>IF('AW Schulen'!$J6=0,"x",E12/'AW Schulen'!$J6)</f>
        <v>0.18833118833118834</v>
      </c>
      <c r="K12" s="153">
        <f>IF('AW Schulen'!$M6=0,"x",F12/'AW Schulen'!$M6)</f>
        <v>0.21899736147757257</v>
      </c>
      <c r="L12" s="154">
        <f>IF('AW Schulen'!$P6=0,"x",G12/'AW Schulen'!$P6)</f>
        <v>0.25435073627844712</v>
      </c>
    </row>
    <row r="13" spans="1:13" ht="9" customHeight="1">
      <c r="A13" s="21" t="s">
        <v>81</v>
      </c>
      <c r="B13" s="120"/>
      <c r="C13" s="42">
        <f t="shared" ref="C13" si="3">SUM(C31,C49,C67)</f>
        <v>600</v>
      </c>
      <c r="D13" s="42">
        <f t="shared" ref="D13:E13" si="4">SUM(D31,D49,D67)</f>
        <v>555</v>
      </c>
      <c r="E13" s="42">
        <f t="shared" si="4"/>
        <v>554</v>
      </c>
      <c r="F13" s="42">
        <f t="shared" ref="F13:G13" si="5">SUM(F31,F49,F67)</f>
        <v>611</v>
      </c>
      <c r="G13" s="44">
        <f t="shared" si="5"/>
        <v>1620</v>
      </c>
      <c r="H13" s="153">
        <f>IF('AW Schulen'!$D7=0,"x",C13/'AW Schulen'!$D7)</f>
        <v>0.2488593944421402</v>
      </c>
      <c r="I13" s="153">
        <f>IF('AW Schulen'!$G7=0,"x",D13/'AW Schulen'!$G7)</f>
        <v>0.23067331670822944</v>
      </c>
      <c r="J13" s="153">
        <f>IF('AW Schulen'!$J7=0,"x",E13/'AW Schulen'!$J7)</f>
        <v>0.23035343035343037</v>
      </c>
      <c r="K13" s="153">
        <f>IF('AW Schulen'!$M7=0,"x",F13/'AW Schulen'!$M7)</f>
        <v>0.25415973377703827</v>
      </c>
      <c r="L13" s="154">
        <f>IF('AW Schulen'!$P7=0,"x",G13/'AW Schulen'!$P7)</f>
        <v>0.6741573033707865</v>
      </c>
    </row>
    <row r="14" spans="1:13" ht="9" customHeight="1">
      <c r="A14" s="21" t="s">
        <v>82</v>
      </c>
      <c r="B14" s="120"/>
      <c r="C14" s="42">
        <f t="shared" ref="C14" si="6">SUM(C32,C50,C68)</f>
        <v>410</v>
      </c>
      <c r="D14" s="42">
        <f t="shared" ref="D14:E14" si="7">SUM(D32,D50,D68)</f>
        <v>405</v>
      </c>
      <c r="E14" s="42">
        <f t="shared" si="7"/>
        <v>413</v>
      </c>
      <c r="F14" s="42">
        <f t="shared" ref="F14:G14" si="8">SUM(F32,F50,F68)</f>
        <v>419</v>
      </c>
      <c r="G14" s="44">
        <f t="shared" si="8"/>
        <v>415</v>
      </c>
      <c r="H14" s="153">
        <f>IF('AW Schulen'!$D8=0,"x",C14/'AW Schulen'!$D8)</f>
        <v>0.98086124401913877</v>
      </c>
      <c r="I14" s="153">
        <f>IF('AW Schulen'!$G8=0,"x",D14/'AW Schulen'!$G8)</f>
        <v>0.98780487804878048</v>
      </c>
      <c r="J14" s="153">
        <f>IF('AW Schulen'!$J8=0,"x",E14/'AW Schulen'!$J8)</f>
        <v>0.95823665893271459</v>
      </c>
      <c r="K14" s="153">
        <f>IF('AW Schulen'!$M8=0,"x",F14/'AW Schulen'!$M8)</f>
        <v>0.98356807511737088</v>
      </c>
      <c r="L14" s="154">
        <f>IF('AW Schulen'!$P8=0,"x",G14/'AW Schulen'!$P8)</f>
        <v>0.97877358490566035</v>
      </c>
    </row>
    <row r="15" spans="1:13" ht="9" customHeight="1">
      <c r="A15" s="21" t="s">
        <v>83</v>
      </c>
      <c r="B15" s="120"/>
      <c r="C15" s="42">
        <f t="shared" ref="C15" si="9">SUM(C33,C51,C69)</f>
        <v>245</v>
      </c>
      <c r="D15" s="42">
        <f t="shared" ref="D15:E15" si="10">SUM(D33,D51,D69)</f>
        <v>247</v>
      </c>
      <c r="E15" s="42">
        <f t="shared" si="10"/>
        <v>248</v>
      </c>
      <c r="F15" s="42">
        <f t="shared" ref="F15:G15" si="11">SUM(F33,F51,F69)</f>
        <v>245</v>
      </c>
      <c r="G15" s="44">
        <f t="shared" si="11"/>
        <v>248</v>
      </c>
      <c r="H15" s="153">
        <f>IF('AW Schulen'!$D9=0,"x",C15/'AW Schulen'!$D9)</f>
        <v>0.48514851485148514</v>
      </c>
      <c r="I15" s="153">
        <f>IF('AW Schulen'!$G9=0,"x",D15/'AW Schulen'!$G9)</f>
        <v>0.49007936507936506</v>
      </c>
      <c r="J15" s="153">
        <f>IF('AW Schulen'!$J9=0,"x",E15/'AW Schulen'!$J9)</f>
        <v>0.49500998003992014</v>
      </c>
      <c r="K15" s="153">
        <f>IF('AW Schulen'!$M9=0,"x",F15/'AW Schulen'!$M9)</f>
        <v>0.48804780876494025</v>
      </c>
      <c r="L15" s="154">
        <f>IF('AW Schulen'!$P9=0,"x",G15/'AW Schulen'!$P9)</f>
        <v>0.49206349206349204</v>
      </c>
    </row>
    <row r="16" spans="1:13" ht="9" customHeight="1">
      <c r="A16" s="21" t="s">
        <v>84</v>
      </c>
      <c r="B16" s="120"/>
      <c r="C16" s="42">
        <f t="shared" ref="C16" si="12">SUM(C34,C52,C70)</f>
        <v>43</v>
      </c>
      <c r="D16" s="42">
        <f t="shared" ref="D16:E16" si="13">SUM(D34,D52,D70)</f>
        <v>44</v>
      </c>
      <c r="E16" s="42">
        <f t="shared" si="13"/>
        <v>45</v>
      </c>
      <c r="F16" s="42">
        <f t="shared" ref="F16:G16" si="14">SUM(F34,F52,F70)</f>
        <v>49</v>
      </c>
      <c r="G16" s="44">
        <f t="shared" si="14"/>
        <v>52</v>
      </c>
      <c r="H16" s="153">
        <f>IF('AW Schulen'!$D10=0,"x",C16/'AW Schulen'!$D10)</f>
        <v>0.43</v>
      </c>
      <c r="I16" s="153">
        <f>IF('AW Schulen'!$G10=0,"x",D16/'AW Schulen'!$G10)</f>
        <v>0.44444444444444442</v>
      </c>
      <c r="J16" s="153">
        <f>IF('AW Schulen'!$J10=0,"x",E16/'AW Schulen'!$J10)</f>
        <v>0.45918367346938777</v>
      </c>
      <c r="K16" s="153">
        <f>IF('AW Schulen'!$M10=0,"x",F16/'AW Schulen'!$M10)</f>
        <v>0.5</v>
      </c>
      <c r="L16" s="154">
        <f>IF('AW Schulen'!$P10=0,"x",G16/'AW Schulen'!$P10)</f>
        <v>0.53061224489795922</v>
      </c>
    </row>
    <row r="17" spans="1:12" ht="9" customHeight="1">
      <c r="A17" s="21" t="s">
        <v>85</v>
      </c>
      <c r="B17" s="120"/>
      <c r="C17" s="42">
        <f t="shared" ref="C17" si="15">SUM(C35,C53,C71)</f>
        <v>137</v>
      </c>
      <c r="D17" s="42">
        <f t="shared" ref="D17:E17" si="16">SUM(D35,D53,D71)</f>
        <v>208</v>
      </c>
      <c r="E17" s="42">
        <f t="shared" si="16"/>
        <v>213</v>
      </c>
      <c r="F17" s="42">
        <f t="shared" ref="F17:G17" si="17">SUM(F35,F53,F71)</f>
        <v>215</v>
      </c>
      <c r="G17" s="44">
        <f t="shared" si="17"/>
        <v>215</v>
      </c>
      <c r="H17" s="153">
        <f>IF('AW Schulen'!$D11=0,"x",C17/'AW Schulen'!$D11)</f>
        <v>0.61990950226244346</v>
      </c>
      <c r="I17" s="153">
        <f>IF('AW Schulen'!$G11=0,"x",D17/'AW Schulen'!$G11)</f>
        <v>0.94545454545454544</v>
      </c>
      <c r="J17" s="153">
        <f>IF('AW Schulen'!$J11=0,"x",E17/'AW Schulen'!$J11)</f>
        <v>0.96380090497737558</v>
      </c>
      <c r="K17" s="153">
        <f>IF('AW Schulen'!$M11=0,"x",F17/'AW Schulen'!$M11)</f>
        <v>0.97727272727272729</v>
      </c>
      <c r="L17" s="154">
        <f>IF('AW Schulen'!$P11=0,"x",G17/'AW Schulen'!$P11)</f>
        <v>0.97285067873303166</v>
      </c>
    </row>
    <row r="18" spans="1:12" ht="9" customHeight="1">
      <c r="A18" s="21" t="s">
        <v>86</v>
      </c>
      <c r="B18" s="120"/>
      <c r="C18" s="42">
        <f t="shared" ref="C18" si="18">SUM(C36,C54,C72)</f>
        <v>364</v>
      </c>
      <c r="D18" s="42">
        <f t="shared" ref="D18:E18" si="19">SUM(D36,D54,D72)</f>
        <v>425</v>
      </c>
      <c r="E18" s="42">
        <f t="shared" si="19"/>
        <v>458</v>
      </c>
      <c r="F18" s="42">
        <f t="shared" ref="F18:G18" si="20">SUM(F36,F54,F72)</f>
        <v>509</v>
      </c>
      <c r="G18" s="44">
        <f t="shared" si="20"/>
        <v>564</v>
      </c>
      <c r="H18" s="182">
        <v>0</v>
      </c>
      <c r="I18" s="182">
        <v>0</v>
      </c>
      <c r="J18" s="182">
        <v>0</v>
      </c>
      <c r="K18" s="182">
        <v>0</v>
      </c>
      <c r="L18" s="196">
        <v>0</v>
      </c>
    </row>
    <row r="19" spans="1:12" ht="9" customHeight="1">
      <c r="A19" s="21" t="s">
        <v>176</v>
      </c>
      <c r="B19" s="120"/>
      <c r="C19" s="42">
        <f t="shared" ref="C19" si="21">SUM(C37,C55,C73)</f>
        <v>11</v>
      </c>
      <c r="D19" s="42">
        <f t="shared" ref="D19:E19" si="22">SUM(D37,D55,D73)</f>
        <v>11</v>
      </c>
      <c r="E19" s="42">
        <f t="shared" si="22"/>
        <v>9</v>
      </c>
      <c r="F19" s="42">
        <f t="shared" ref="F19:G19" si="23">SUM(F37,F55,F73)</f>
        <v>16</v>
      </c>
      <c r="G19" s="44">
        <f t="shared" si="23"/>
        <v>0</v>
      </c>
      <c r="H19" s="153">
        <f>IF('AW Schulen'!$D13=0,"x",C19/'AW Schulen'!$D13)</f>
        <v>3.4161490683229816E-2</v>
      </c>
      <c r="I19" s="153">
        <f>IF('AW Schulen'!$G13=0,"x",D19/'AW Schulen'!$G13)</f>
        <v>3.4055727554179564E-2</v>
      </c>
      <c r="J19" s="153">
        <f>IF('AW Schulen'!$J13=0,"x",E19/'AW Schulen'!$J13)</f>
        <v>2.7777777777777776E-2</v>
      </c>
      <c r="K19" s="153">
        <f>IF('AW Schulen'!$M13=0,"x",F19/'AW Schulen'!$M13)</f>
        <v>4.9689440993788817E-2</v>
      </c>
      <c r="L19" s="154">
        <f>IF('AW Schulen'!$P13=0,"x",G19/'AW Schulen'!$P13)</f>
        <v>0</v>
      </c>
    </row>
    <row r="20" spans="1:12" ht="9" customHeight="1">
      <c r="A20" s="21" t="s">
        <v>88</v>
      </c>
      <c r="B20" s="120"/>
      <c r="C20" s="42">
        <f t="shared" ref="C20" si="24">SUM(C38,C56,C74)</f>
        <v>675</v>
      </c>
      <c r="D20" s="42">
        <f t="shared" ref="D20:E20" si="25">SUM(D38,D56,D74)</f>
        <v>776</v>
      </c>
      <c r="E20" s="42">
        <f t="shared" si="25"/>
        <v>846</v>
      </c>
      <c r="F20" s="42">
        <f t="shared" ref="F20:G20" si="26">SUM(F38,F56,F74)</f>
        <v>899</v>
      </c>
      <c r="G20" s="44">
        <f t="shared" si="26"/>
        <v>958</v>
      </c>
      <c r="H20" s="182">
        <v>0</v>
      </c>
      <c r="I20" s="182">
        <v>0</v>
      </c>
      <c r="J20" s="182">
        <v>0</v>
      </c>
      <c r="K20" s="182">
        <v>0</v>
      </c>
      <c r="L20" s="196">
        <v>0</v>
      </c>
    </row>
    <row r="21" spans="1:12" ht="9" customHeight="1">
      <c r="A21" s="21" t="s">
        <v>89</v>
      </c>
      <c r="B21" s="120"/>
      <c r="C21" s="42">
        <f t="shared" ref="C21" si="27">SUM(C39,C57,C75)</f>
        <v>2694</v>
      </c>
      <c r="D21" s="42">
        <f t="shared" ref="D21:E21" si="28">SUM(D39,D57,D75)</f>
        <v>2655</v>
      </c>
      <c r="E21" s="42">
        <f t="shared" si="28"/>
        <v>2629</v>
      </c>
      <c r="F21" s="42">
        <f t="shared" ref="F21:G21" si="29">SUM(F39,F57,F75)</f>
        <v>2624</v>
      </c>
      <c r="G21" s="44">
        <f t="shared" si="29"/>
        <v>2612</v>
      </c>
      <c r="H21" s="153">
        <f>IF('AW Schulen'!$D15=0,"x",C21/'AW Schulen'!$D15)</f>
        <v>0.88940244305051175</v>
      </c>
      <c r="I21" s="153">
        <f>IF('AW Schulen'!$G15=0,"x",D21/'AW Schulen'!$G15)</f>
        <v>0.90152801358234291</v>
      </c>
      <c r="J21" s="153">
        <f>IF('AW Schulen'!$J15=0,"x",E21/'AW Schulen'!$J15)</f>
        <v>0.91189732917100241</v>
      </c>
      <c r="K21" s="153">
        <f>IF('AW Schulen'!$M15=0,"x",F21/'AW Schulen'!$M15)</f>
        <v>0.92199578355586786</v>
      </c>
      <c r="L21" s="154">
        <f>IF('AW Schulen'!$P15=0,"x",G21/'AW Schulen'!$P15)</f>
        <v>0.92854603626022036</v>
      </c>
    </row>
    <row r="22" spans="1:12" ht="9" customHeight="1">
      <c r="A22" s="21" t="s">
        <v>90</v>
      </c>
      <c r="B22" s="120"/>
      <c r="C22" s="42">
        <f t="shared" ref="C22" si="30">SUM(C40,C58,C76)</f>
        <v>628</v>
      </c>
      <c r="D22" s="42">
        <f t="shared" ref="D22:E22" si="31">SUM(D40,D58,D76)</f>
        <v>631</v>
      </c>
      <c r="E22" s="42">
        <f t="shared" si="31"/>
        <v>647</v>
      </c>
      <c r="F22" s="42">
        <f t="shared" ref="F22:G22" si="32">SUM(F40,F58,F76)</f>
        <v>668</v>
      </c>
      <c r="G22" s="44">
        <f t="shared" si="32"/>
        <v>698</v>
      </c>
      <c r="H22" s="153">
        <f>IF('AW Schulen'!$D16=0,"x",C22/'AW Schulen'!$D16)</f>
        <v>0.64809081527347778</v>
      </c>
      <c r="I22" s="153">
        <f>IF('AW Schulen'!$G16=0,"x",D22/'AW Schulen'!$G16)</f>
        <v>0.65051546391752579</v>
      </c>
      <c r="J22" s="153">
        <f>IF('AW Schulen'!$J16=0,"x",E22/'AW Schulen'!$J16)</f>
        <v>0.66769865841073273</v>
      </c>
      <c r="K22" s="153">
        <f>IF('AW Schulen'!$M16=0,"x",F22/'AW Schulen'!$M16)</f>
        <v>0.69222797927461144</v>
      </c>
      <c r="L22" s="154">
        <f>IF('AW Schulen'!$P16=0,"x",G22/'AW Schulen'!$P16)</f>
        <v>0.72406639004149376</v>
      </c>
    </row>
    <row r="23" spans="1:12" ht="9" customHeight="1">
      <c r="A23" s="21" t="s">
        <v>91</v>
      </c>
      <c r="B23" s="120"/>
      <c r="C23" s="42">
        <f t="shared" ref="C23" si="33">SUM(C41,C59,C77)</f>
        <v>158</v>
      </c>
      <c r="D23" s="42">
        <f t="shared" ref="D23:E23" si="34">SUM(D41,D59,D77)</f>
        <v>159</v>
      </c>
      <c r="E23" s="42">
        <f t="shared" si="34"/>
        <v>159</v>
      </c>
      <c r="F23" s="42">
        <f t="shared" ref="F23:G23" si="35">SUM(F41,F59,F77)</f>
        <v>159</v>
      </c>
      <c r="G23" s="44">
        <f t="shared" si="35"/>
        <v>159</v>
      </c>
      <c r="H23" s="153">
        <f>IF('AW Schulen'!$D17=0,"x",C23/'AW Schulen'!$D17)</f>
        <v>0.97530864197530864</v>
      </c>
      <c r="I23" s="153">
        <f>IF('AW Schulen'!$G17=0,"x",D23/'AW Schulen'!$G17)</f>
        <v>0.98148148148148151</v>
      </c>
      <c r="J23" s="153">
        <f>IF('AW Schulen'!$J17=0,"x",E23/'AW Schulen'!$J17)</f>
        <v>0.98148148148148151</v>
      </c>
      <c r="K23" s="153">
        <f>IF('AW Schulen'!$M17=0,"x",F23/'AW Schulen'!$M17)</f>
        <v>0.98148148148148151</v>
      </c>
      <c r="L23" s="154">
        <f>IF('AW Schulen'!$P17=0,"x",G23/'AW Schulen'!$P17)</f>
        <v>0.98148148148148151</v>
      </c>
    </row>
    <row r="24" spans="1:12" ht="9" customHeight="1">
      <c r="A24" s="21" t="s">
        <v>92</v>
      </c>
      <c r="B24" s="120"/>
      <c r="C24" s="42">
        <f t="shared" ref="C24" si="36">SUM(C42,C60,C78)</f>
        <v>820</v>
      </c>
      <c r="D24" s="42">
        <f t="shared" ref="D24:E24" si="37">SUM(D42,D60,D78)</f>
        <v>816</v>
      </c>
      <c r="E24" s="42">
        <f t="shared" si="37"/>
        <v>817</v>
      </c>
      <c r="F24" s="42">
        <f t="shared" ref="F24:G24" si="38">SUM(F42,F60,F78)</f>
        <v>817</v>
      </c>
      <c r="G24" s="44">
        <f t="shared" si="38"/>
        <v>821</v>
      </c>
      <c r="H24" s="153">
        <f>IF('AW Schulen'!$D18=0,"x",C24/'AW Schulen'!$D18)</f>
        <v>0.98676293622141997</v>
      </c>
      <c r="I24" s="153">
        <f>IF('AW Schulen'!$G18=0,"x",D24/'AW Schulen'!$G18)</f>
        <v>0.99029126213592233</v>
      </c>
      <c r="J24" s="153">
        <f>IF('AW Schulen'!$J18=0,"x",E24/'AW Schulen'!$J18)</f>
        <v>0.99030303030303035</v>
      </c>
      <c r="K24" s="153">
        <f>IF('AW Schulen'!$M18=0,"x",F24/'AW Schulen'!$M18)</f>
        <v>0.98910411622276029</v>
      </c>
      <c r="L24" s="154">
        <f>IF('AW Schulen'!$P18=0,"x",G24/'AW Schulen'!$P18)</f>
        <v>0.99034981905910735</v>
      </c>
    </row>
    <row r="25" spans="1:12" ht="9" customHeight="1">
      <c r="A25" s="21" t="s">
        <v>93</v>
      </c>
      <c r="B25" s="120"/>
      <c r="C25" s="42">
        <f t="shared" ref="C25" si="39">SUM(C43,C61,C79)</f>
        <v>18</v>
      </c>
      <c r="D25" s="42">
        <f t="shared" ref="D25:E25" si="40">SUM(D43,D61,D79)</f>
        <v>18</v>
      </c>
      <c r="E25" s="42">
        <f t="shared" si="40"/>
        <v>18</v>
      </c>
      <c r="F25" s="42">
        <f t="shared" ref="F25:G25" si="41">SUM(F43,F61,F79)</f>
        <v>18</v>
      </c>
      <c r="G25" s="44">
        <f t="shared" si="41"/>
        <v>311</v>
      </c>
      <c r="H25" s="182">
        <v>0</v>
      </c>
      <c r="I25" s="182">
        <v>0</v>
      </c>
      <c r="J25" s="182">
        <v>0</v>
      </c>
      <c r="K25" s="182">
        <v>0</v>
      </c>
      <c r="L25" s="196">
        <v>0</v>
      </c>
    </row>
    <row r="26" spans="1:12" ht="9" customHeight="1">
      <c r="A26" s="21" t="s">
        <v>94</v>
      </c>
      <c r="B26" s="120"/>
      <c r="C26" s="42">
        <f t="shared" ref="C26" si="42">SUM(C44,C62,C80)</f>
        <v>236</v>
      </c>
      <c r="D26" s="42">
        <f t="shared" ref="D26:E26" si="43">SUM(D44,D62,D80)</f>
        <v>251</v>
      </c>
      <c r="E26" s="42">
        <f t="shared" si="43"/>
        <v>273</v>
      </c>
      <c r="F26" s="42">
        <f t="shared" ref="F26:G26" si="44">SUM(F44,F62,F80)</f>
        <v>335</v>
      </c>
      <c r="G26" s="44">
        <f t="shared" si="44"/>
        <v>391</v>
      </c>
      <c r="H26" s="153">
        <f>IF('AW Schulen'!$D20=0,"x",C26/'AW Schulen'!$D20)</f>
        <v>0.43382352941176472</v>
      </c>
      <c r="I26" s="153">
        <f>IF('AW Schulen'!$G20=0,"x",D26/'AW Schulen'!$G20)</f>
        <v>0.46567717996289426</v>
      </c>
      <c r="J26" s="153">
        <f>IF('AW Schulen'!$J20=0,"x",E26/'AW Schulen'!$J20)</f>
        <v>0.5112359550561798</v>
      </c>
      <c r="K26" s="153">
        <f>IF('AW Schulen'!$M20=0,"x",F26/'AW Schulen'!$M20)</f>
        <v>0.56113902847571184</v>
      </c>
      <c r="L26" s="154">
        <f>IF('AW Schulen'!$P20=0,"x",G26/'AW Schulen'!$P20)</f>
        <v>0.58708708708708712</v>
      </c>
    </row>
    <row r="27" spans="1:12" ht="9" customHeight="1">
      <c r="A27" s="21" t="s">
        <v>95</v>
      </c>
      <c r="B27" s="120"/>
      <c r="C27" s="42">
        <f t="shared" ref="C27" si="45">SUM(C45,C63,C81)</f>
        <v>464</v>
      </c>
      <c r="D27" s="42">
        <f t="shared" ref="D27:E27" si="46">SUM(D45,D63,D81)</f>
        <v>461</v>
      </c>
      <c r="E27" s="42">
        <f t="shared" si="46"/>
        <v>458</v>
      </c>
      <c r="F27" s="42">
        <f t="shared" ref="F27:G27" si="47">SUM(F45,F63,F81)</f>
        <v>451</v>
      </c>
      <c r="G27" s="44">
        <f t="shared" si="47"/>
        <v>443</v>
      </c>
      <c r="H27" s="153">
        <f>IF('AW Schulen'!$D21=0,"x",C27/'AW Schulen'!$D21)</f>
        <v>1</v>
      </c>
      <c r="I27" s="153">
        <f>IF('AW Schulen'!$G21=0,"x",D27/'AW Schulen'!$G21)</f>
        <v>1</v>
      </c>
      <c r="J27" s="153">
        <f>IF('AW Schulen'!$J21=0,"x",E27/'AW Schulen'!$J21)</f>
        <v>1</v>
      </c>
      <c r="K27" s="153">
        <f>IF('AW Schulen'!$M21=0,"x",F27/'AW Schulen'!$M21)</f>
        <v>1</v>
      </c>
      <c r="L27" s="154">
        <f>IF('AW Schulen'!$P21=0,"x",G27/'AW Schulen'!$P21)</f>
        <v>1</v>
      </c>
    </row>
    <row r="28" spans="1:12" ht="9" customHeight="1">
      <c r="A28" s="21" t="s">
        <v>96</v>
      </c>
      <c r="B28" s="120"/>
      <c r="C28" s="42">
        <f t="shared" ref="C28" si="48">SUM(C46,C64,C82)</f>
        <v>7885</v>
      </c>
      <c r="D28" s="42">
        <f t="shared" ref="D28:E28" si="49">SUM(D46,D64,D82)</f>
        <v>8046</v>
      </c>
      <c r="E28" s="42">
        <f t="shared" si="49"/>
        <v>8226</v>
      </c>
      <c r="F28" s="42">
        <f t="shared" ref="F28:G28" si="50">SUM(F46,F64,F82)</f>
        <v>8533</v>
      </c>
      <c r="G28" s="44">
        <f t="shared" si="50"/>
        <v>10077</v>
      </c>
      <c r="H28" s="153">
        <f>IF('AW Schulen'!$D22=0,"x",C28/'AW Schulen'!$D22)</f>
        <v>0.49779040404040403</v>
      </c>
      <c r="I28" s="153">
        <f>IF('AW Schulen'!$G22=0,"x",D28/'AW Schulen'!$G22)</f>
        <v>0.51563701614970525</v>
      </c>
      <c r="J28" s="153">
        <f>IF('AW Schulen'!$J22=0,"x",E28/'AW Schulen'!$J22)</f>
        <v>0.53332468879668049</v>
      </c>
      <c r="K28" s="153">
        <f>IF('AW Schulen'!$M22=0,"x",F28/'AW Schulen'!$M22)</f>
        <v>0.5561493840839471</v>
      </c>
      <c r="L28" s="154">
        <f>IF('AW Schulen'!$P22=0,"x",G28/'AW Schulen'!$P22)</f>
        <v>0.65806830797361715</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'2.2.1'!C30+'2.3.1'!C30</f>
        <v>58</v>
      </c>
      <c r="D30" s="23">
        <f>'2.2.1'!D30+'2.3.1'!D30</f>
        <v>61</v>
      </c>
      <c r="E30" s="23">
        <f>'2.2.1'!E30+'2.3.1'!E30</f>
        <v>59</v>
      </c>
      <c r="F30" s="23">
        <f>'2.2.1'!F30+'2.3.1'!F30</f>
        <v>61</v>
      </c>
      <c r="G30" s="34">
        <f>'2.2.1'!G30+'2.3.1'!G30</f>
        <v>61</v>
      </c>
      <c r="H30" s="155">
        <f>IF('AW Schulen'!$D6=0,"x",C30/'AW Schulen'!$D6)</f>
        <v>2.3293172690763052E-2</v>
      </c>
      <c r="I30" s="155">
        <f>IF('AW Schulen'!$G6=0,"x",D30/'AW Schulen'!$G6)</f>
        <v>2.5321710253217101E-2</v>
      </c>
      <c r="J30" s="155">
        <f>IF('AW Schulen'!$J6=0,"x",E30/'AW Schulen'!$J6)</f>
        <v>2.5311025311025311E-2</v>
      </c>
      <c r="K30" s="155">
        <f>IF('AW Schulen'!$M6=0,"x",F30/'AW Schulen'!$M6)</f>
        <v>2.6824978012313105E-2</v>
      </c>
      <c r="L30" s="156">
        <f>IF('AW Schulen'!$P6=0,"x",G30/'AW Schulen'!$P6)</f>
        <v>2.7219991075412762E-2</v>
      </c>
    </row>
    <row r="31" spans="1:12" ht="9" customHeight="1">
      <c r="A31" s="21" t="s">
        <v>81</v>
      </c>
      <c r="B31" s="120"/>
      <c r="C31" s="23">
        <f>'2.2.1'!C31+'2.3.1'!C31</f>
        <v>20</v>
      </c>
      <c r="D31" s="23">
        <f>'2.2.1'!D31+'2.3.1'!D31</f>
        <v>23</v>
      </c>
      <c r="E31" s="23">
        <f>'2.2.1'!E31+'2.3.1'!E31</f>
        <v>23</v>
      </c>
      <c r="F31" s="23">
        <f>'2.2.1'!F31+'2.3.1'!F31</f>
        <v>22</v>
      </c>
      <c r="G31" s="34">
        <f>'2.2.1'!G31+'2.3.1'!G31</f>
        <v>24</v>
      </c>
      <c r="H31" s="155">
        <f>IF('AW Schulen'!$D7=0,"x",C31/'AW Schulen'!$D7)</f>
        <v>8.2953131480713403E-3</v>
      </c>
      <c r="I31" s="155">
        <f>IF('AW Schulen'!$G7=0,"x",D31/'AW Schulen'!$G7)</f>
        <v>9.5594347464671662E-3</v>
      </c>
      <c r="J31" s="155">
        <f>IF('AW Schulen'!$J7=0,"x",E31/'AW Schulen'!$J7)</f>
        <v>9.5634095634095639E-3</v>
      </c>
      <c r="K31" s="155">
        <f>IF('AW Schulen'!$M7=0,"x",F31/'AW Schulen'!$M7)</f>
        <v>9.1514143094841936E-3</v>
      </c>
      <c r="L31" s="156">
        <f>IF('AW Schulen'!$P7=0,"x",G31/'AW Schulen'!$P7)</f>
        <v>9.9875156054931337E-3</v>
      </c>
    </row>
    <row r="32" spans="1:12" ht="9" customHeight="1">
      <c r="A32" s="21" t="s">
        <v>82</v>
      </c>
      <c r="B32" s="120"/>
      <c r="C32" s="23">
        <f>'2.2.1'!C32+'2.3.1'!C32</f>
        <v>50</v>
      </c>
      <c r="D32" s="23">
        <f>'2.2.1'!D32+'2.3.1'!D32</f>
        <v>50</v>
      </c>
      <c r="E32" s="23">
        <f>'2.2.1'!E32+'2.3.1'!E32</f>
        <v>51</v>
      </c>
      <c r="F32" s="23">
        <f>'2.2.1'!F32+'2.3.1'!F32</f>
        <v>48</v>
      </c>
      <c r="G32" s="34">
        <f>'2.2.1'!G32+'2.3.1'!G32</f>
        <v>56</v>
      </c>
      <c r="H32" s="155">
        <f>IF('AW Schulen'!$D8=0,"x",C32/'AW Schulen'!$D8)</f>
        <v>0.11961722488038277</v>
      </c>
      <c r="I32" s="155">
        <f>IF('AW Schulen'!$G8=0,"x",D32/'AW Schulen'!$G8)</f>
        <v>0.12195121951219512</v>
      </c>
      <c r="J32" s="155">
        <f>IF('AW Schulen'!$J8=0,"x",E32/'AW Schulen'!$J8)</f>
        <v>0.11832946635730858</v>
      </c>
      <c r="K32" s="155">
        <f>IF('AW Schulen'!$M8=0,"x",F32/'AW Schulen'!$M8)</f>
        <v>0.11267605633802817</v>
      </c>
      <c r="L32" s="156">
        <f>IF('AW Schulen'!$P8=0,"x",G32/'AW Schulen'!$P8)</f>
        <v>0.13207547169811321</v>
      </c>
    </row>
    <row r="33" spans="1:12" ht="9" customHeight="1">
      <c r="A33" s="21" t="s">
        <v>83</v>
      </c>
      <c r="B33" s="120"/>
      <c r="C33" s="23">
        <f>'2.2.1'!C33+'2.3.1'!C33</f>
        <v>0</v>
      </c>
      <c r="D33" s="23">
        <f>'2.2.1'!D33+'2.3.1'!D33</f>
        <v>0</v>
      </c>
      <c r="E33" s="23">
        <f>'2.2.1'!E33+'2.3.1'!E33</f>
        <v>0</v>
      </c>
      <c r="F33" s="23">
        <f>'2.2.1'!F33+'2.3.1'!F33</f>
        <v>0</v>
      </c>
      <c r="G33" s="34">
        <f>'2.2.1'!G33+'2.3.1'!G33</f>
        <v>0</v>
      </c>
      <c r="H33" s="155">
        <f>IF('AW Schulen'!$D9=0,"x",C33/'AW Schulen'!$D9)</f>
        <v>0</v>
      </c>
      <c r="I33" s="155">
        <f>IF('AW Schulen'!$G9=0,"x",D33/'AW Schulen'!$G9)</f>
        <v>0</v>
      </c>
      <c r="J33" s="155">
        <f>IF('AW Schulen'!$J9=0,"x",E33/'AW Schulen'!$J9)</f>
        <v>0</v>
      </c>
      <c r="K33" s="155">
        <f>IF('AW Schulen'!$M9=0,"x",F33/'AW Schulen'!$M9)</f>
        <v>0</v>
      </c>
      <c r="L33" s="156">
        <f>IF('AW Schulen'!$P9=0,"x",G33/'AW Schulen'!$P9)</f>
        <v>0</v>
      </c>
    </row>
    <row r="34" spans="1:12" ht="9" customHeight="1">
      <c r="A34" s="21" t="s">
        <v>84</v>
      </c>
      <c r="B34" s="120"/>
      <c r="C34" s="23">
        <f>'2.2.1'!C34+'2.3.1'!C34</f>
        <v>26</v>
      </c>
      <c r="D34" s="23">
        <f>'2.2.1'!D34+'2.3.1'!D34</f>
        <v>26</v>
      </c>
      <c r="E34" s="23">
        <f>'2.2.1'!E34+'2.3.1'!E34</f>
        <v>27</v>
      </c>
      <c r="F34" s="23">
        <f>'2.2.1'!F34+'2.3.1'!F34</f>
        <v>27</v>
      </c>
      <c r="G34" s="34">
        <f>'2.2.1'!G34+'2.3.1'!G34</f>
        <v>29</v>
      </c>
      <c r="H34" s="155">
        <f>IF('AW Schulen'!$D10=0,"x",C34/'AW Schulen'!$D10)</f>
        <v>0.26</v>
      </c>
      <c r="I34" s="155">
        <f>IF('AW Schulen'!$G10=0,"x",D34/'AW Schulen'!$G10)</f>
        <v>0.26262626262626265</v>
      </c>
      <c r="J34" s="155">
        <f>IF('AW Schulen'!$J10=0,"x",E34/'AW Schulen'!$J10)</f>
        <v>0.27551020408163263</v>
      </c>
      <c r="K34" s="155">
        <f>IF('AW Schulen'!$M10=0,"x",F34/'AW Schulen'!$M10)</f>
        <v>0.27551020408163263</v>
      </c>
      <c r="L34" s="156">
        <f>IF('AW Schulen'!$P10=0,"x",G34/'AW Schulen'!$P10)</f>
        <v>0.29591836734693877</v>
      </c>
    </row>
    <row r="35" spans="1:12" ht="9" customHeight="1">
      <c r="A35" s="21" t="s">
        <v>85</v>
      </c>
      <c r="B35" s="120"/>
      <c r="C35" s="23">
        <f>'2.2.1'!C35+'2.3.1'!C35</f>
        <v>33</v>
      </c>
      <c r="D35" s="23">
        <f>'2.2.1'!D35+'2.3.1'!D35</f>
        <v>31</v>
      </c>
      <c r="E35" s="23">
        <f>'2.2.1'!E35+'2.3.1'!E35</f>
        <v>33</v>
      </c>
      <c r="F35" s="23">
        <f>'2.2.1'!F35+'2.3.1'!F35</f>
        <v>31</v>
      </c>
      <c r="G35" s="34">
        <f>'2.2.1'!G35+'2.3.1'!G35</f>
        <v>36</v>
      </c>
      <c r="H35" s="155">
        <f>IF('AW Schulen'!$D11=0,"x",C35/'AW Schulen'!$D11)</f>
        <v>0.14932126696832579</v>
      </c>
      <c r="I35" s="155">
        <f>IF('AW Schulen'!$G11=0,"x",D35/'AW Schulen'!$G11)</f>
        <v>0.1409090909090909</v>
      </c>
      <c r="J35" s="155">
        <f>IF('AW Schulen'!$J11=0,"x",E35/'AW Schulen'!$J11)</f>
        <v>0.14932126696832579</v>
      </c>
      <c r="K35" s="155">
        <f>IF('AW Schulen'!$M11=0,"x",F35/'AW Schulen'!$M11)</f>
        <v>0.1409090909090909</v>
      </c>
      <c r="L35" s="156">
        <f>IF('AW Schulen'!$P11=0,"x",G35/'AW Schulen'!$P11)</f>
        <v>0.16289592760180996</v>
      </c>
    </row>
    <row r="36" spans="1:12" ht="9" customHeight="1">
      <c r="A36" s="21" t="s">
        <v>86</v>
      </c>
      <c r="B36" s="120"/>
      <c r="C36" s="23">
        <f>'2.2.1'!C36+'2.3.1'!C36</f>
        <v>6</v>
      </c>
      <c r="D36" s="23">
        <f>'2.2.1'!D36+'2.3.1'!D36</f>
        <v>6</v>
      </c>
      <c r="E36" s="23">
        <f>'2.2.1'!E36+'2.3.1'!E36</f>
        <v>6</v>
      </c>
      <c r="F36" s="23">
        <f>'2.2.1'!F36+'2.3.1'!F36</f>
        <v>8</v>
      </c>
      <c r="G36" s="34">
        <f>'2.2.1'!G36+'2.3.1'!G36</f>
        <v>12</v>
      </c>
      <c r="H36" s="183">
        <v>0</v>
      </c>
      <c r="I36" s="183">
        <v>0</v>
      </c>
      <c r="J36" s="183">
        <v>0</v>
      </c>
      <c r="K36" s="183">
        <v>0</v>
      </c>
      <c r="L36" s="197">
        <v>0</v>
      </c>
    </row>
    <row r="37" spans="1:12" ht="9" customHeight="1">
      <c r="A37" s="21" t="s">
        <v>176</v>
      </c>
      <c r="B37" s="120"/>
      <c r="C37" s="23">
        <f>'2.2.1'!C37+'2.3.1'!C37</f>
        <v>4</v>
      </c>
      <c r="D37" s="23">
        <f>'2.2.1'!D37+'2.3.1'!D37</f>
        <v>4</v>
      </c>
      <c r="E37" s="23">
        <f>'2.2.1'!E37+'2.3.1'!E37</f>
        <v>4</v>
      </c>
      <c r="F37" s="23">
        <f>'2.2.1'!F37+'2.3.1'!F37</f>
        <v>7</v>
      </c>
      <c r="G37" s="34">
        <f>'2.2.1'!G37+'2.3.1'!G37</f>
        <v>0</v>
      </c>
      <c r="H37" s="155">
        <f>IF('AW Schulen'!$D13=0,"x",C37/'AW Schulen'!$D13)</f>
        <v>1.2422360248447204E-2</v>
      </c>
      <c r="I37" s="155">
        <f>IF('AW Schulen'!$G13=0,"x",D37/'AW Schulen'!$G13)</f>
        <v>1.238390092879257E-2</v>
      </c>
      <c r="J37" s="155">
        <f>IF('AW Schulen'!$J13=0,"x",E37/'AW Schulen'!$J13)</f>
        <v>1.2345679012345678E-2</v>
      </c>
      <c r="K37" s="155">
        <f>IF('AW Schulen'!$M13=0,"x",F37/'AW Schulen'!$M13)</f>
        <v>2.1739130434782608E-2</v>
      </c>
      <c r="L37" s="156">
        <f>IF('AW Schulen'!$P13=0,"x",G37/'AW Schulen'!$P13)</f>
        <v>0</v>
      </c>
    </row>
    <row r="38" spans="1:12" ht="9" customHeight="1">
      <c r="A38" s="21" t="s">
        <v>88</v>
      </c>
      <c r="B38" s="120"/>
      <c r="C38" s="23">
        <f>'2.2.1'!C38+'2.3.1'!C38</f>
        <v>2</v>
      </c>
      <c r="D38" s="23">
        <f>'2.2.1'!D38+'2.3.1'!D38</f>
        <v>5</v>
      </c>
      <c r="E38" s="23">
        <f>'2.2.1'!E38+'2.3.1'!E38</f>
        <v>4</v>
      </c>
      <c r="F38" s="23">
        <f>'2.2.1'!F38+'2.3.1'!F38</f>
        <v>1</v>
      </c>
      <c r="G38" s="34">
        <f>'2.2.1'!G38+'2.3.1'!G38</f>
        <v>5</v>
      </c>
      <c r="H38" s="183">
        <v>0</v>
      </c>
      <c r="I38" s="183">
        <v>0</v>
      </c>
      <c r="J38" s="183">
        <v>0</v>
      </c>
      <c r="K38" s="183">
        <v>0</v>
      </c>
      <c r="L38" s="197">
        <v>0</v>
      </c>
    </row>
    <row r="39" spans="1:12" ht="9" customHeight="1">
      <c r="A39" s="21" t="s">
        <v>89</v>
      </c>
      <c r="B39" s="120"/>
      <c r="C39" s="23">
        <f>'2.2.1'!C39+'2.3.1'!C39</f>
        <v>15</v>
      </c>
      <c r="D39" s="23">
        <f>'2.2.1'!D39+'2.3.1'!D39</f>
        <v>15</v>
      </c>
      <c r="E39" s="23">
        <f>'2.2.1'!E39+'2.3.1'!E39</f>
        <v>15</v>
      </c>
      <c r="F39" s="23">
        <f>'2.2.1'!F39+'2.3.1'!F39</f>
        <v>15</v>
      </c>
      <c r="G39" s="34">
        <f>'2.2.1'!G39+'2.3.1'!G39</f>
        <v>17</v>
      </c>
      <c r="H39" s="155">
        <f>IF('AW Schulen'!$D15=0,"x",C39/'AW Schulen'!$D15)</f>
        <v>4.9521294156487285E-3</v>
      </c>
      <c r="I39" s="155">
        <f>IF('AW Schulen'!$G15=0,"x",D39/'AW Schulen'!$G15)</f>
        <v>5.0933786078098476E-3</v>
      </c>
      <c r="J39" s="155">
        <f>IF('AW Schulen'!$J15=0,"x",E39/'AW Schulen'!$J15)</f>
        <v>5.2029136316337149E-3</v>
      </c>
      <c r="K39" s="155">
        <f>IF('AW Schulen'!$M15=0,"x",F39/'AW Schulen'!$M15)</f>
        <v>5.2705551651440622E-3</v>
      </c>
      <c r="L39" s="156">
        <f>IF('AW Schulen'!$P15=0,"x",G39/'AW Schulen'!$P15)</f>
        <v>6.0433700675435482E-3</v>
      </c>
    </row>
    <row r="40" spans="1:12" ht="9" customHeight="1">
      <c r="A40" s="21" t="s">
        <v>90</v>
      </c>
      <c r="B40" s="120"/>
      <c r="C40" s="23">
        <f>'2.2.1'!C40+'2.3.1'!C40</f>
        <v>7</v>
      </c>
      <c r="D40" s="23">
        <f>'2.2.1'!D40+'2.3.1'!D40</f>
        <v>9</v>
      </c>
      <c r="E40" s="23">
        <f>'2.2.1'!E40+'2.3.1'!E40</f>
        <v>10</v>
      </c>
      <c r="F40" s="23">
        <f>'2.2.1'!F40+'2.3.1'!F40</f>
        <v>9</v>
      </c>
      <c r="G40" s="34">
        <f>'2.2.1'!G40+'2.3.1'!G40</f>
        <v>9</v>
      </c>
      <c r="H40" s="155">
        <f>IF('AW Schulen'!$D16=0,"x",C40/'AW Schulen'!$D16)</f>
        <v>7.2239422084623322E-3</v>
      </c>
      <c r="I40" s="155">
        <f>IF('AW Schulen'!$G16=0,"x",D40/'AW Schulen'!$G16)</f>
        <v>9.2783505154639175E-3</v>
      </c>
      <c r="J40" s="155">
        <f>IF('AW Schulen'!$J16=0,"x",E40/'AW Schulen'!$J16)</f>
        <v>1.0319917440660475E-2</v>
      </c>
      <c r="K40" s="155">
        <f>IF('AW Schulen'!$M16=0,"x",F40/'AW Schulen'!$M16)</f>
        <v>9.3264248704663204E-3</v>
      </c>
      <c r="L40" s="156">
        <f>IF('AW Schulen'!$P16=0,"x",G40/'AW Schulen'!$P16)</f>
        <v>9.3360995850622405E-3</v>
      </c>
    </row>
    <row r="41" spans="1:12" ht="9" customHeight="1">
      <c r="A41" s="21" t="s">
        <v>91</v>
      </c>
      <c r="B41" s="120"/>
      <c r="C41" s="23">
        <f>'2.2.1'!C41+'2.3.1'!C41</f>
        <v>3</v>
      </c>
      <c r="D41" s="23">
        <f>'2.2.1'!D41+'2.3.1'!D41</f>
        <v>6</v>
      </c>
      <c r="E41" s="23">
        <f>'2.2.1'!E41+'2.3.1'!E41</f>
        <v>7</v>
      </c>
      <c r="F41" s="23">
        <f>'2.2.1'!F41+'2.3.1'!F41</f>
        <v>8</v>
      </c>
      <c r="G41" s="34">
        <f>'2.2.1'!G41+'2.3.1'!G41</f>
        <v>9</v>
      </c>
      <c r="H41" s="155">
        <f>IF('AW Schulen'!$D17=0,"x",C41/'AW Schulen'!$D17)</f>
        <v>1.8518518518518517E-2</v>
      </c>
      <c r="I41" s="155">
        <f>IF('AW Schulen'!$G17=0,"x",D41/'AW Schulen'!$G17)</f>
        <v>3.7037037037037035E-2</v>
      </c>
      <c r="J41" s="155">
        <f>IF('AW Schulen'!$J17=0,"x",E41/'AW Schulen'!$J17)</f>
        <v>4.3209876543209874E-2</v>
      </c>
      <c r="K41" s="155">
        <f>IF('AW Schulen'!$M17=0,"x",F41/'AW Schulen'!$M17)</f>
        <v>4.9382716049382713E-2</v>
      </c>
      <c r="L41" s="156">
        <f>IF('AW Schulen'!$P17=0,"x",G41/'AW Schulen'!$P17)</f>
        <v>5.5555555555555552E-2</v>
      </c>
    </row>
    <row r="42" spans="1:12" ht="9" customHeight="1">
      <c r="A42" s="21" t="s">
        <v>92</v>
      </c>
      <c r="B42" s="120"/>
      <c r="C42" s="23">
        <f>'2.2.1'!C42+'2.3.1'!C42</f>
        <v>37</v>
      </c>
      <c r="D42" s="23">
        <f>'2.2.1'!D42+'2.3.1'!D42</f>
        <v>42</v>
      </c>
      <c r="E42" s="23">
        <f>'2.2.1'!E42+'2.3.1'!E42</f>
        <v>46</v>
      </c>
      <c r="F42" s="23">
        <f>'2.2.1'!F42+'2.3.1'!F42</f>
        <v>37</v>
      </c>
      <c r="G42" s="34">
        <f>'2.2.1'!G42+'2.3.1'!G42</f>
        <v>40</v>
      </c>
      <c r="H42" s="155">
        <f>IF('AW Schulen'!$D18=0,"x",C42/'AW Schulen'!$D18)</f>
        <v>4.4524669073405534E-2</v>
      </c>
      <c r="I42" s="155">
        <f>IF('AW Schulen'!$G18=0,"x",D42/'AW Schulen'!$G18)</f>
        <v>5.0970873786407765E-2</v>
      </c>
      <c r="J42" s="155">
        <f>IF('AW Schulen'!$J18=0,"x",E42/'AW Schulen'!$J18)</f>
        <v>5.5757575757575756E-2</v>
      </c>
      <c r="K42" s="155">
        <f>IF('AW Schulen'!$M18=0,"x",F42/'AW Schulen'!$M18)</f>
        <v>4.4794188861985475E-2</v>
      </c>
      <c r="L42" s="156">
        <f>IF('AW Schulen'!$P18=0,"x",G42/'AW Schulen'!$P18)</f>
        <v>4.8250904704463207E-2</v>
      </c>
    </row>
    <row r="43" spans="1:12" ht="9" customHeight="1">
      <c r="A43" s="21" t="s">
        <v>93</v>
      </c>
      <c r="B43" s="120"/>
      <c r="C43" s="23">
        <f>'2.2.1'!C43+'2.3.1'!C43</f>
        <v>3</v>
      </c>
      <c r="D43" s="23">
        <f>'2.2.1'!D43+'2.3.1'!D43</f>
        <v>3</v>
      </c>
      <c r="E43" s="23">
        <f>'2.2.1'!E43+'2.3.1'!E43</f>
        <v>3</v>
      </c>
      <c r="F43" s="23">
        <f>'2.2.1'!F43+'2.3.1'!F43</f>
        <v>3</v>
      </c>
      <c r="G43" s="34">
        <f>'2.2.1'!G43+'2.3.1'!G43</f>
        <v>3</v>
      </c>
      <c r="H43" s="183">
        <v>0</v>
      </c>
      <c r="I43" s="183">
        <v>0</v>
      </c>
      <c r="J43" s="183">
        <v>0</v>
      </c>
      <c r="K43" s="183">
        <v>0</v>
      </c>
      <c r="L43" s="197">
        <v>0</v>
      </c>
    </row>
    <row r="44" spans="1:12" ht="9" customHeight="1">
      <c r="A44" s="21" t="s">
        <v>94</v>
      </c>
      <c r="B44" s="120"/>
      <c r="C44" s="23">
        <f>'2.2.1'!C44+'2.3.1'!C44</f>
        <v>6</v>
      </c>
      <c r="D44" s="23">
        <f>'2.2.1'!D44+'2.3.1'!D44</f>
        <v>6</v>
      </c>
      <c r="E44" s="23">
        <f>'2.2.1'!E44+'2.3.1'!E44</f>
        <v>6</v>
      </c>
      <c r="F44" s="23">
        <f>'2.2.1'!F44+'2.3.1'!F44</f>
        <v>7</v>
      </c>
      <c r="G44" s="34">
        <f>'2.2.1'!G44+'2.3.1'!G44</f>
        <v>8</v>
      </c>
      <c r="H44" s="155">
        <f>IF('AW Schulen'!$D20=0,"x",C44/'AW Schulen'!$D20)</f>
        <v>1.1029411764705883E-2</v>
      </c>
      <c r="I44" s="155">
        <f>IF('AW Schulen'!$G20=0,"x",D44/'AW Schulen'!$G20)</f>
        <v>1.1131725417439703E-2</v>
      </c>
      <c r="J44" s="155">
        <f>IF('AW Schulen'!$J20=0,"x",E44/'AW Schulen'!$J20)</f>
        <v>1.1235955056179775E-2</v>
      </c>
      <c r="K44" s="155">
        <f>IF('AW Schulen'!$M20=0,"x",F44/'AW Schulen'!$M20)</f>
        <v>1.1725293132328308E-2</v>
      </c>
      <c r="L44" s="156">
        <f>IF('AW Schulen'!$P20=0,"x",G44/'AW Schulen'!$P20)</f>
        <v>1.2012012012012012E-2</v>
      </c>
    </row>
    <row r="45" spans="1:12" ht="9" customHeight="1">
      <c r="A45" s="21" t="s">
        <v>95</v>
      </c>
      <c r="B45" s="120"/>
      <c r="C45" s="23">
        <f>'2.2.1'!C45+'2.3.1'!C45</f>
        <v>30</v>
      </c>
      <c r="D45" s="23">
        <f>'2.2.1'!D45+'2.3.1'!D45</f>
        <v>28</v>
      </c>
      <c r="E45" s="23">
        <f>'2.2.1'!E45+'2.3.1'!E45</f>
        <v>24</v>
      </c>
      <c r="F45" s="23">
        <f>'2.2.1'!F45+'2.3.1'!F45</f>
        <v>24</v>
      </c>
      <c r="G45" s="34">
        <f>'2.2.1'!G45+'2.3.1'!G45</f>
        <v>25</v>
      </c>
      <c r="H45" s="155">
        <f>IF('AW Schulen'!$D21=0,"x",C45/'AW Schulen'!$D21)</f>
        <v>6.4655172413793108E-2</v>
      </c>
      <c r="I45" s="155">
        <f>IF('AW Schulen'!$G21=0,"x",D45/'AW Schulen'!$G21)</f>
        <v>6.0737527114967459E-2</v>
      </c>
      <c r="J45" s="155">
        <f>IF('AW Schulen'!$J21=0,"x",E45/'AW Schulen'!$J21)</f>
        <v>5.2401746724890827E-2</v>
      </c>
      <c r="K45" s="155">
        <f>IF('AW Schulen'!$M21=0,"x",F45/'AW Schulen'!$M21)</f>
        <v>5.3215077605321508E-2</v>
      </c>
      <c r="L45" s="156">
        <f>IF('AW Schulen'!$P21=0,"x",G45/'AW Schulen'!$P21)</f>
        <v>5.6433408577878104E-2</v>
      </c>
    </row>
    <row r="46" spans="1:12" ht="9" customHeight="1">
      <c r="A46" s="21" t="s">
        <v>96</v>
      </c>
      <c r="B46" s="120"/>
      <c r="C46" s="23">
        <f>'2.2.1'!C46+'2.3.1'!C46</f>
        <v>300</v>
      </c>
      <c r="D46" s="23">
        <f>'2.2.1'!D46+'2.3.1'!D46</f>
        <v>315</v>
      </c>
      <c r="E46" s="23">
        <f>'2.2.1'!E46+'2.3.1'!E46</f>
        <v>318</v>
      </c>
      <c r="F46" s="23">
        <f>'2.2.1'!F46+'2.3.1'!F46</f>
        <v>308</v>
      </c>
      <c r="G46" s="34">
        <f>'2.2.1'!G46+'2.3.1'!G46</f>
        <v>334</v>
      </c>
      <c r="H46" s="155">
        <f>IF('AW Schulen'!$D22=0,"x",C46/'AW Schulen'!$D22)</f>
        <v>1.893939393939394E-2</v>
      </c>
      <c r="I46" s="155">
        <f>IF('AW Schulen'!$G22=0,"x",D46/'AW Schulen'!$G22)</f>
        <v>2.0187131504742373E-2</v>
      </c>
      <c r="J46" s="155">
        <f>IF('AW Schulen'!$J22=0,"x",E46/'AW Schulen'!$J22)</f>
        <v>2.0617219917012448E-2</v>
      </c>
      <c r="K46" s="155">
        <f>IF('AW Schulen'!$M22=0,"x",F46/'AW Schulen'!$M22)</f>
        <v>2.0074300984162158E-2</v>
      </c>
      <c r="L46" s="156">
        <f>IF('AW Schulen'!$P22=0,"x",G46/'AW Schulen'!$P22)</f>
        <v>2.1811532684647032E-2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'2.2.1'!C48+'2.3.1'!C48</f>
        <v>96</v>
      </c>
      <c r="D48" s="23">
        <f>'2.2.1'!D48+'2.3.1'!D48</f>
        <v>94</v>
      </c>
      <c r="E48" s="23">
        <f>'2.2.1'!E48+'2.3.1'!E48</f>
        <v>70</v>
      </c>
      <c r="F48" s="23">
        <f>'2.2.1'!F48+'2.3.1'!F48</f>
        <v>62</v>
      </c>
      <c r="G48" s="34">
        <f>'2.2.1'!G48+'2.3.1'!G48</f>
        <v>63</v>
      </c>
      <c r="H48" s="155">
        <f>IF('AW Schulen'!$D6=0,"x",C48/'AW Schulen'!$D6)</f>
        <v>3.8554216867469883E-2</v>
      </c>
      <c r="I48" s="155">
        <f>IF('AW Schulen'!$G6=0,"x",D48/'AW Schulen'!$G6)</f>
        <v>3.9020340390203405E-2</v>
      </c>
      <c r="J48" s="155">
        <f>IF('AW Schulen'!$J6=0,"x",E48/'AW Schulen'!$J6)</f>
        <v>3.003003003003003E-2</v>
      </c>
      <c r="K48" s="155">
        <f>IF('AW Schulen'!$M6=0,"x",F48/'AW Schulen'!$M6)</f>
        <v>2.7264731750219876E-2</v>
      </c>
      <c r="L48" s="156">
        <f>IF('AW Schulen'!$P6=0,"x",G48/'AW Schulen'!$P6)</f>
        <v>2.8112449799196786E-2</v>
      </c>
    </row>
    <row r="49" spans="1:12" ht="9" customHeight="1">
      <c r="A49" s="21" t="s">
        <v>81</v>
      </c>
      <c r="B49" s="120"/>
      <c r="C49" s="23">
        <f>'2.2.1'!C49+'2.3.1'!C49</f>
        <v>284</v>
      </c>
      <c r="D49" s="23">
        <f>'2.2.1'!D49+'2.3.1'!D49</f>
        <v>339</v>
      </c>
      <c r="E49" s="23">
        <f>'2.2.1'!E49+'2.3.1'!E49</f>
        <v>370</v>
      </c>
      <c r="F49" s="23">
        <f>'2.2.1'!F49+'2.3.1'!F49</f>
        <v>366</v>
      </c>
      <c r="G49" s="34">
        <f>'2.2.1'!G49+'2.3.1'!G49</f>
        <v>370</v>
      </c>
      <c r="H49" s="155">
        <f>IF('AW Schulen'!$D7=0,"x",C49/'AW Schulen'!$D7)</f>
        <v>0.11779344670261302</v>
      </c>
      <c r="I49" s="155">
        <f>IF('AW Schulen'!$G7=0,"x",D49/'AW Schulen'!$G7)</f>
        <v>0.14089775561097256</v>
      </c>
      <c r="J49" s="155">
        <f>IF('AW Schulen'!$J7=0,"x",E49/'AW Schulen'!$J7)</f>
        <v>0.15384615384615385</v>
      </c>
      <c r="K49" s="155">
        <f>IF('AW Schulen'!$M7=0,"x",F49/'AW Schulen'!$M7)</f>
        <v>0.15224625623960067</v>
      </c>
      <c r="L49" s="156">
        <f>IF('AW Schulen'!$P7=0,"x",G49/'AW Schulen'!$P7)</f>
        <v>0.15397419891801914</v>
      </c>
    </row>
    <row r="50" spans="1:12" ht="9" customHeight="1">
      <c r="A50" s="21" t="s">
        <v>82</v>
      </c>
      <c r="B50" s="120"/>
      <c r="C50" s="23">
        <f>'2.2.1'!C50+'2.3.1'!C50</f>
        <v>21</v>
      </c>
      <c r="D50" s="23">
        <f>'2.2.1'!D50+'2.3.1'!D50</f>
        <v>18</v>
      </c>
      <c r="E50" s="23">
        <f>'2.2.1'!E50+'2.3.1'!E50</f>
        <v>18</v>
      </c>
      <c r="F50" s="23">
        <f>'2.2.1'!F50+'2.3.1'!F50</f>
        <v>25</v>
      </c>
      <c r="G50" s="34">
        <f>'2.2.1'!G50+'2.3.1'!G50</f>
        <v>19</v>
      </c>
      <c r="H50" s="155">
        <f>IF('AW Schulen'!$D8=0,"x",C50/'AW Schulen'!$D8)</f>
        <v>5.0239234449760764E-2</v>
      </c>
      <c r="I50" s="155">
        <f>IF('AW Schulen'!$G8=0,"x",D50/'AW Schulen'!$G8)</f>
        <v>4.3902439024390241E-2</v>
      </c>
      <c r="J50" s="155">
        <f>IF('AW Schulen'!$J8=0,"x",E50/'AW Schulen'!$J8)</f>
        <v>4.1763341067285381E-2</v>
      </c>
      <c r="K50" s="155">
        <f>IF('AW Schulen'!$M8=0,"x",F50/'AW Schulen'!$M8)</f>
        <v>5.8685446009389672E-2</v>
      </c>
      <c r="L50" s="156">
        <f>IF('AW Schulen'!$P8=0,"x",G50/'AW Schulen'!$P8)</f>
        <v>4.4811320754716978E-2</v>
      </c>
    </row>
    <row r="51" spans="1:12" ht="9" customHeight="1">
      <c r="A51" s="21" t="s">
        <v>83</v>
      </c>
      <c r="B51" s="120"/>
      <c r="C51" s="23">
        <f>'2.2.1'!C51+'2.3.1'!C51</f>
        <v>0</v>
      </c>
      <c r="D51" s="23">
        <f>'2.2.1'!D51+'2.3.1'!D51</f>
        <v>0</v>
      </c>
      <c r="E51" s="23">
        <f>'2.2.1'!E51+'2.3.1'!E51</f>
        <v>0</v>
      </c>
      <c r="F51" s="23">
        <f>'2.2.1'!F51+'2.3.1'!F51</f>
        <v>0</v>
      </c>
      <c r="G51" s="34">
        <f>'2.2.1'!G51+'2.3.1'!G51</f>
        <v>0</v>
      </c>
      <c r="H51" s="155">
        <f>IF('AW Schulen'!$D9=0,"x",C51/'AW Schulen'!$D9)</f>
        <v>0</v>
      </c>
      <c r="I51" s="155">
        <f>IF('AW Schulen'!$G9=0,"x",D51/'AW Schulen'!$G9)</f>
        <v>0</v>
      </c>
      <c r="J51" s="155">
        <f>IF('AW Schulen'!$J9=0,"x",E51/'AW Schulen'!$J9)</f>
        <v>0</v>
      </c>
      <c r="K51" s="155">
        <f>IF('AW Schulen'!$M9=0,"x",F51/'AW Schulen'!$M9)</f>
        <v>0</v>
      </c>
      <c r="L51" s="156">
        <f>IF('AW Schulen'!$P9=0,"x",G51/'AW Schulen'!$P9)</f>
        <v>0</v>
      </c>
    </row>
    <row r="52" spans="1:12" ht="9" customHeight="1">
      <c r="A52" s="21" t="s">
        <v>84</v>
      </c>
      <c r="B52" s="120"/>
      <c r="C52" s="23">
        <f>'2.2.1'!C52+'2.3.1'!C52</f>
        <v>0</v>
      </c>
      <c r="D52" s="23">
        <f>'2.2.1'!D52+'2.3.1'!D52</f>
        <v>0</v>
      </c>
      <c r="E52" s="23">
        <f>'2.2.1'!E52+'2.3.1'!E52</f>
        <v>0</v>
      </c>
      <c r="F52" s="23">
        <f>'2.2.1'!F52+'2.3.1'!F52</f>
        <v>0</v>
      </c>
      <c r="G52" s="34">
        <f>'2.2.1'!G52+'2.3.1'!G52</f>
        <v>0</v>
      </c>
      <c r="H52" s="155">
        <f>IF('AW Schulen'!$D10=0,"x",C52/'AW Schulen'!$D10)</f>
        <v>0</v>
      </c>
      <c r="I52" s="155">
        <f>IF('AW Schulen'!$G10=0,"x",D52/'AW Schulen'!$G10)</f>
        <v>0</v>
      </c>
      <c r="J52" s="155">
        <f>IF('AW Schulen'!$J10=0,"x",E52/'AW Schulen'!$J10)</f>
        <v>0</v>
      </c>
      <c r="K52" s="155">
        <f>IF('AW Schulen'!$M10=0,"x",F52/'AW Schulen'!$M10)</f>
        <v>0</v>
      </c>
      <c r="L52" s="156">
        <f>IF('AW Schulen'!$P10=0,"x",G52/'AW Schulen'!$P10)</f>
        <v>0</v>
      </c>
    </row>
    <row r="53" spans="1:12" ht="9" customHeight="1">
      <c r="A53" s="21" t="s">
        <v>85</v>
      </c>
      <c r="B53" s="120"/>
      <c r="C53" s="23">
        <f>'2.2.1'!C53+'2.3.1'!C53</f>
        <v>13</v>
      </c>
      <c r="D53" s="23">
        <f>'2.2.1'!D53+'2.3.1'!D53</f>
        <v>21</v>
      </c>
      <c r="E53" s="23">
        <f>'2.2.1'!E53+'2.3.1'!E53</f>
        <v>21</v>
      </c>
      <c r="F53" s="23">
        <f>'2.2.1'!F53+'2.3.1'!F53</f>
        <v>20</v>
      </c>
      <c r="G53" s="34">
        <f>'2.2.1'!G53+'2.3.1'!G53</f>
        <v>20</v>
      </c>
      <c r="H53" s="155">
        <f>IF('AW Schulen'!$D11=0,"x",C53/'AW Schulen'!$D11)</f>
        <v>5.8823529411764705E-2</v>
      </c>
      <c r="I53" s="155">
        <f>IF('AW Schulen'!$G11=0,"x",D53/'AW Schulen'!$G11)</f>
        <v>9.5454545454545459E-2</v>
      </c>
      <c r="J53" s="155">
        <f>IF('AW Schulen'!$J11=0,"x",E53/'AW Schulen'!$J11)</f>
        <v>9.5022624434389136E-2</v>
      </c>
      <c r="K53" s="155">
        <f>IF('AW Schulen'!$M11=0,"x",F53/'AW Schulen'!$M11)</f>
        <v>9.0909090909090912E-2</v>
      </c>
      <c r="L53" s="156">
        <f>IF('AW Schulen'!$P11=0,"x",G53/'AW Schulen'!$P11)</f>
        <v>9.0497737556561084E-2</v>
      </c>
    </row>
    <row r="54" spans="1:12" ht="9" customHeight="1">
      <c r="A54" s="21" t="s">
        <v>86</v>
      </c>
      <c r="B54" s="120"/>
      <c r="C54" s="23">
        <f>'2.2.1'!C54+'2.3.1'!C54</f>
        <v>0</v>
      </c>
      <c r="D54" s="23">
        <f>'2.2.1'!D54+'2.3.1'!D54</f>
        <v>0</v>
      </c>
      <c r="E54" s="23">
        <f>'2.2.1'!E54+'2.3.1'!E54</f>
        <v>0</v>
      </c>
      <c r="F54" s="23">
        <f>'2.2.1'!F54+'2.3.1'!F54</f>
        <v>0</v>
      </c>
      <c r="G54" s="34">
        <f>'2.2.1'!G54+'2.3.1'!G54</f>
        <v>0</v>
      </c>
      <c r="H54" s="183">
        <v>0</v>
      </c>
      <c r="I54" s="183">
        <v>0</v>
      </c>
      <c r="J54" s="183">
        <v>0</v>
      </c>
      <c r="K54" s="183">
        <v>0</v>
      </c>
      <c r="L54" s="197">
        <v>0</v>
      </c>
    </row>
    <row r="55" spans="1:12" ht="9" customHeight="1">
      <c r="A55" s="21" t="s">
        <v>176</v>
      </c>
      <c r="B55" s="120"/>
      <c r="C55" s="23">
        <f>'2.2.1'!C55+'2.3.1'!C55</f>
        <v>2</v>
      </c>
      <c r="D55" s="23">
        <f>'2.2.1'!D55+'2.3.1'!D55</f>
        <v>0</v>
      </c>
      <c r="E55" s="23">
        <f>'2.2.1'!E55+'2.3.1'!E55</f>
        <v>0</v>
      </c>
      <c r="F55" s="23">
        <f>'2.2.1'!F55+'2.3.1'!F55</f>
        <v>1</v>
      </c>
      <c r="G55" s="34">
        <f>'2.2.1'!G55+'2.3.1'!G55</f>
        <v>0</v>
      </c>
      <c r="H55" s="155">
        <f>IF('AW Schulen'!$D13=0,"x",C55/'AW Schulen'!$D13)</f>
        <v>6.2111801242236021E-3</v>
      </c>
      <c r="I55" s="155">
        <f>IF('AW Schulen'!$G13=0,"x",D55/'AW Schulen'!$G13)</f>
        <v>0</v>
      </c>
      <c r="J55" s="155">
        <f>IF('AW Schulen'!$J13=0,"x",E55/'AW Schulen'!$J13)</f>
        <v>0</v>
      </c>
      <c r="K55" s="155">
        <f>IF('AW Schulen'!$M13=0,"x",F55/'AW Schulen'!$M13)</f>
        <v>3.105590062111801E-3</v>
      </c>
      <c r="L55" s="156">
        <f>IF('AW Schulen'!$P13=0,"x",G55/'AW Schulen'!$P13)</f>
        <v>0</v>
      </c>
    </row>
    <row r="56" spans="1:12" ht="9" customHeight="1">
      <c r="A56" s="21" t="s">
        <v>88</v>
      </c>
      <c r="B56" s="120"/>
      <c r="C56" s="23">
        <f>'2.2.1'!C56+'2.3.1'!C56</f>
        <v>10</v>
      </c>
      <c r="D56" s="23">
        <f>'2.2.1'!D56+'2.3.1'!D56</f>
        <v>9</v>
      </c>
      <c r="E56" s="23">
        <f>'2.2.1'!E56+'2.3.1'!E56</f>
        <v>9</v>
      </c>
      <c r="F56" s="23">
        <f>'2.2.1'!F56+'2.3.1'!F56</f>
        <v>17</v>
      </c>
      <c r="G56" s="34">
        <f>'2.2.1'!G56+'2.3.1'!G56</f>
        <v>21</v>
      </c>
      <c r="H56" s="183">
        <v>0</v>
      </c>
      <c r="I56" s="183">
        <v>0</v>
      </c>
      <c r="J56" s="183">
        <v>0</v>
      </c>
      <c r="K56" s="183">
        <v>0</v>
      </c>
      <c r="L56" s="197">
        <v>0</v>
      </c>
    </row>
    <row r="57" spans="1:12" ht="9" customHeight="1">
      <c r="A57" s="21" t="s">
        <v>89</v>
      </c>
      <c r="B57" s="120"/>
      <c r="C57" s="23">
        <f>'2.2.1'!C57+'2.3.1'!C57</f>
        <v>0</v>
      </c>
      <c r="D57" s="23">
        <f>'2.2.1'!D57+'2.3.1'!D57</f>
        <v>0</v>
      </c>
      <c r="E57" s="23">
        <f>'2.2.1'!E57+'2.3.1'!E57</f>
        <v>0</v>
      </c>
      <c r="F57" s="23">
        <f>'2.2.1'!F57+'2.3.1'!F57</f>
        <v>0</v>
      </c>
      <c r="G57" s="34">
        <f>'2.2.1'!G57+'2.3.1'!G57</f>
        <v>0</v>
      </c>
      <c r="H57" s="155">
        <f>IF('AW Schulen'!$D15=0,"x",C57/'AW Schulen'!$D15)</f>
        <v>0</v>
      </c>
      <c r="I57" s="155">
        <f>IF('AW Schulen'!$G15=0,"x",D57/'AW Schulen'!$G15)</f>
        <v>0</v>
      </c>
      <c r="J57" s="155">
        <f>IF('AW Schulen'!$J15=0,"x",E57/'AW Schulen'!$J15)</f>
        <v>0</v>
      </c>
      <c r="K57" s="155">
        <f>IF('AW Schulen'!$M15=0,"x",F57/'AW Schulen'!$M15)</f>
        <v>0</v>
      </c>
      <c r="L57" s="156">
        <f>IF('AW Schulen'!$P15=0,"x",G57/'AW Schulen'!$P15)</f>
        <v>0</v>
      </c>
    </row>
    <row r="58" spans="1:12" ht="9" customHeight="1">
      <c r="A58" s="21" t="s">
        <v>90</v>
      </c>
      <c r="B58" s="120"/>
      <c r="C58" s="23">
        <f>'2.2.1'!C58+'2.3.1'!C58</f>
        <v>292</v>
      </c>
      <c r="D58" s="23">
        <f>'2.2.1'!D58+'2.3.1'!D58</f>
        <v>302</v>
      </c>
      <c r="E58" s="23">
        <f>'2.2.1'!E58+'2.3.1'!E58</f>
        <v>309</v>
      </c>
      <c r="F58" s="23">
        <f>'2.2.1'!F58+'2.3.1'!F58</f>
        <v>316</v>
      </c>
      <c r="G58" s="34">
        <f>'2.2.1'!G58+'2.3.1'!G58</f>
        <v>319</v>
      </c>
      <c r="H58" s="155">
        <f>IF('AW Schulen'!$D16=0,"x",C58/'AW Schulen'!$D16)</f>
        <v>0.30134158926728588</v>
      </c>
      <c r="I58" s="155">
        <f>IF('AW Schulen'!$G16=0,"x",D58/'AW Schulen'!$G16)</f>
        <v>0.31134020618556701</v>
      </c>
      <c r="J58" s="155">
        <f>IF('AW Schulen'!$J16=0,"x",E58/'AW Schulen'!$J16)</f>
        <v>0.31888544891640869</v>
      </c>
      <c r="K58" s="155">
        <f>IF('AW Schulen'!$M16=0,"x",F58/'AW Schulen'!$M16)</f>
        <v>0.32746113989637304</v>
      </c>
      <c r="L58" s="156">
        <f>IF('AW Schulen'!$P16=0,"x",G58/'AW Schulen'!$P16)</f>
        <v>0.33091286307053941</v>
      </c>
    </row>
    <row r="59" spans="1:12" ht="9" customHeight="1">
      <c r="A59" s="21" t="s">
        <v>91</v>
      </c>
      <c r="B59" s="120"/>
      <c r="C59" s="23">
        <f>'2.2.1'!C59+'2.3.1'!C59</f>
        <v>1</v>
      </c>
      <c r="D59" s="23">
        <f>'2.2.1'!D59+'2.3.1'!D59</f>
        <v>1</v>
      </c>
      <c r="E59" s="23">
        <f>'2.2.1'!E59+'2.3.1'!E59</f>
        <v>1</v>
      </c>
      <c r="F59" s="23">
        <f>'2.2.1'!F59+'2.3.1'!F59</f>
        <v>0</v>
      </c>
      <c r="G59" s="34">
        <f>'2.2.1'!G59+'2.3.1'!G59</f>
        <v>1</v>
      </c>
      <c r="H59" s="155">
        <f>IF('AW Schulen'!$D17=0,"x",C59/'AW Schulen'!$D17)</f>
        <v>6.1728395061728392E-3</v>
      </c>
      <c r="I59" s="155">
        <f>IF('AW Schulen'!$G17=0,"x",D59/'AW Schulen'!$G17)</f>
        <v>6.1728395061728392E-3</v>
      </c>
      <c r="J59" s="155">
        <f>IF('AW Schulen'!$J17=0,"x",E59/'AW Schulen'!$J17)</f>
        <v>6.1728395061728392E-3</v>
      </c>
      <c r="K59" s="155">
        <f>IF('AW Schulen'!$M17=0,"x",F59/'AW Schulen'!$M17)</f>
        <v>0</v>
      </c>
      <c r="L59" s="156">
        <f>IF('AW Schulen'!$P17=0,"x",G59/'AW Schulen'!$P17)</f>
        <v>6.1728395061728392E-3</v>
      </c>
    </row>
    <row r="60" spans="1:12" ht="9" customHeight="1">
      <c r="A60" s="21" t="s">
        <v>92</v>
      </c>
      <c r="B60" s="120"/>
      <c r="C60" s="23">
        <f>'2.2.1'!C60+'2.3.1'!C60</f>
        <v>189</v>
      </c>
      <c r="D60" s="23">
        <f>'2.2.1'!D60+'2.3.1'!D60</f>
        <v>190</v>
      </c>
      <c r="E60" s="23">
        <f>'2.2.1'!E60+'2.3.1'!E60</f>
        <v>198</v>
      </c>
      <c r="F60" s="23">
        <f>'2.2.1'!F60+'2.3.1'!F60</f>
        <v>216</v>
      </c>
      <c r="G60" s="34">
        <f>'2.2.1'!G60+'2.3.1'!G60</f>
        <v>222</v>
      </c>
      <c r="H60" s="155">
        <f>IF('AW Schulen'!$D18=0,"x",C60/'AW Schulen'!$D18)</f>
        <v>0.22743682310469315</v>
      </c>
      <c r="I60" s="155">
        <f>IF('AW Schulen'!$G18=0,"x",D60/'AW Schulen'!$G18)</f>
        <v>0.23058252427184467</v>
      </c>
      <c r="J60" s="155">
        <f>IF('AW Schulen'!$J18=0,"x",E60/'AW Schulen'!$J18)</f>
        <v>0.24</v>
      </c>
      <c r="K60" s="155">
        <f>IF('AW Schulen'!$M18=0,"x",F60/'AW Schulen'!$M18)</f>
        <v>0.26150121065375304</v>
      </c>
      <c r="L60" s="156">
        <f>IF('AW Schulen'!$P18=0,"x",G60/'AW Schulen'!$P18)</f>
        <v>0.26779252110977081</v>
      </c>
    </row>
    <row r="61" spans="1:12" ht="9" customHeight="1">
      <c r="A61" s="21" t="s">
        <v>93</v>
      </c>
      <c r="B61" s="120"/>
      <c r="C61" s="23">
        <f>'2.2.1'!C61+'2.3.1'!C61</f>
        <v>0</v>
      </c>
      <c r="D61" s="23">
        <f>'2.2.1'!D61+'2.3.1'!D61</f>
        <v>0</v>
      </c>
      <c r="E61" s="23">
        <f>'2.2.1'!E61+'2.3.1'!E61</f>
        <v>0</v>
      </c>
      <c r="F61" s="23">
        <f>'2.2.1'!F61+'2.3.1'!F61</f>
        <v>0</v>
      </c>
      <c r="G61" s="34">
        <f>'2.2.1'!G61+'2.3.1'!G61</f>
        <v>0</v>
      </c>
      <c r="H61" s="183" t="s">
        <v>178</v>
      </c>
      <c r="I61" s="183" t="s">
        <v>178</v>
      </c>
      <c r="J61" s="183" t="s">
        <v>178</v>
      </c>
      <c r="K61" s="183" t="s">
        <v>178</v>
      </c>
      <c r="L61" s="197" t="s">
        <v>178</v>
      </c>
    </row>
    <row r="62" spans="1:12" ht="9" customHeight="1">
      <c r="A62" s="21" t="s">
        <v>94</v>
      </c>
      <c r="B62" s="120"/>
      <c r="C62" s="23">
        <f>'2.2.1'!C62+'2.3.1'!C62</f>
        <v>4</v>
      </c>
      <c r="D62" s="23">
        <f>'2.2.1'!D62+'2.3.1'!D62</f>
        <v>4</v>
      </c>
      <c r="E62" s="23">
        <f>'2.2.1'!E62+'2.3.1'!E62</f>
        <v>4</v>
      </c>
      <c r="F62" s="23">
        <f>'2.2.1'!F62+'2.3.1'!F62</f>
        <v>5</v>
      </c>
      <c r="G62" s="34">
        <f>'2.2.1'!G62+'2.3.1'!G62</f>
        <v>6</v>
      </c>
      <c r="H62" s="155">
        <f>IF('AW Schulen'!$D20=0,"x",C62/'AW Schulen'!$D20)</f>
        <v>7.3529411764705881E-3</v>
      </c>
      <c r="I62" s="155">
        <f>IF('AW Schulen'!$G20=0,"x",D62/'AW Schulen'!$G20)</f>
        <v>7.4211502782931356E-3</v>
      </c>
      <c r="J62" s="155">
        <f>IF('AW Schulen'!$J20=0,"x",E62/'AW Schulen'!$J20)</f>
        <v>7.4906367041198503E-3</v>
      </c>
      <c r="K62" s="155">
        <f>IF('AW Schulen'!$M20=0,"x",F62/'AW Schulen'!$M20)</f>
        <v>8.3752093802345051E-3</v>
      </c>
      <c r="L62" s="156">
        <f>IF('AW Schulen'!$P20=0,"x",G62/'AW Schulen'!$P20)</f>
        <v>9.0090090090090089E-3</v>
      </c>
    </row>
    <row r="63" spans="1:12" ht="9" customHeight="1">
      <c r="A63" s="21" t="s">
        <v>95</v>
      </c>
      <c r="B63" s="120"/>
      <c r="C63" s="23">
        <f>'2.2.1'!C63+'2.3.1'!C63</f>
        <v>6</v>
      </c>
      <c r="D63" s="23">
        <f>'2.2.1'!D63+'2.3.1'!D63</f>
        <v>6</v>
      </c>
      <c r="E63" s="23">
        <f>'2.2.1'!E63+'2.3.1'!E63</f>
        <v>5</v>
      </c>
      <c r="F63" s="23">
        <f>'2.2.1'!F63+'2.3.1'!F63</f>
        <v>7</v>
      </c>
      <c r="G63" s="34">
        <f>'2.2.1'!G63+'2.3.1'!G63</f>
        <v>6</v>
      </c>
      <c r="H63" s="155">
        <f>IF('AW Schulen'!$D21=0,"x",C63/'AW Schulen'!$D21)</f>
        <v>1.2931034482758621E-2</v>
      </c>
      <c r="I63" s="155">
        <f>IF('AW Schulen'!$G21=0,"x",D63/'AW Schulen'!$G21)</f>
        <v>1.3015184381778741E-2</v>
      </c>
      <c r="J63" s="155">
        <f>IF('AW Schulen'!$J21=0,"x",E63/'AW Schulen'!$J21)</f>
        <v>1.0917030567685589E-2</v>
      </c>
      <c r="K63" s="155">
        <f>IF('AW Schulen'!$M21=0,"x",F63/'AW Schulen'!$M21)</f>
        <v>1.5521064301552107E-2</v>
      </c>
      <c r="L63" s="156">
        <f>IF('AW Schulen'!$P21=0,"x",G63/'AW Schulen'!$P21)</f>
        <v>1.3544018058690745E-2</v>
      </c>
    </row>
    <row r="64" spans="1:12" ht="8.65" customHeight="1">
      <c r="A64" s="21" t="s">
        <v>96</v>
      </c>
      <c r="B64" s="120"/>
      <c r="C64" s="23">
        <f>'2.2.1'!C64+'2.3.1'!C64</f>
        <v>918</v>
      </c>
      <c r="D64" s="23">
        <f>'2.2.1'!D64+'2.3.1'!D64</f>
        <v>984</v>
      </c>
      <c r="E64" s="23">
        <f>'2.2.1'!E64+'2.3.1'!E64</f>
        <v>1005</v>
      </c>
      <c r="F64" s="23">
        <f>'2.2.1'!F64+'2.3.1'!F64</f>
        <v>1035</v>
      </c>
      <c r="G64" s="34">
        <f>'2.2.1'!G64+'2.3.1'!G64</f>
        <v>1047</v>
      </c>
      <c r="H64" s="155">
        <f>IF('AW Schulen'!$D22=0,"x",C64/'AW Schulen'!$D22)</f>
        <v>5.7954545454545453E-2</v>
      </c>
      <c r="I64" s="155">
        <f>IF('AW Schulen'!$G22=0,"x",D64/'AW Schulen'!$G22)</f>
        <v>6.3060753652909515E-2</v>
      </c>
      <c r="J64" s="155">
        <f>IF('AW Schulen'!$J22=0,"x",E64/'AW Schulen'!$J22)</f>
        <v>6.5158195020746892E-2</v>
      </c>
      <c r="K64" s="155">
        <f>IF('AW Schulen'!$M22=0,"x",F64/'AW Schulen'!$M22)</f>
        <v>6.7457472463012452E-2</v>
      </c>
      <c r="L64" s="156">
        <f>IF('AW Schulen'!$P22=0,"x",G64/'AW Schulen'!$P22)</f>
        <v>6.8373277607261806E-2</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'2.2.1'!C66+'2.3.1'!C66</f>
        <v>228</v>
      </c>
      <c r="D66" s="23">
        <f>'2.2.1'!D66+'2.3.1'!D66</f>
        <v>229</v>
      </c>
      <c r="E66" s="23">
        <f>'2.2.1'!E66+'2.3.1'!E66</f>
        <v>310</v>
      </c>
      <c r="F66" s="23">
        <f>'2.2.1'!F66+'2.3.1'!F66</f>
        <v>375</v>
      </c>
      <c r="G66" s="34">
        <f>'2.2.1'!G66+'2.3.1'!G66</f>
        <v>446</v>
      </c>
      <c r="H66" s="155">
        <f>IF('AW Schulen'!$D6=0,"x",C66/'AW Schulen'!$D6)</f>
        <v>9.1566265060240959E-2</v>
      </c>
      <c r="I66" s="155">
        <f>IF('AW Schulen'!$G6=0,"x",D66/'AW Schulen'!$G6)</f>
        <v>9.5060190950601905E-2</v>
      </c>
      <c r="J66" s="155">
        <f>IF('AW Schulen'!$J6=0,"x",E66/'AW Schulen'!$J6)</f>
        <v>0.13299013299013299</v>
      </c>
      <c r="K66" s="155">
        <f>IF('AW Schulen'!$M6=0,"x",F66/'AW Schulen'!$M6)</f>
        <v>0.16490765171503957</v>
      </c>
      <c r="L66" s="156">
        <f>IF('AW Schulen'!$P6=0,"x",G66/'AW Schulen'!$P6)</f>
        <v>0.19901829540383759</v>
      </c>
    </row>
    <row r="67" spans="1:12" ht="10.15" customHeight="1">
      <c r="A67" s="224" t="s">
        <v>81</v>
      </c>
      <c r="B67" s="120"/>
      <c r="C67" s="23">
        <f>'2.2.1'!C67+'2.3.1'!C67</f>
        <v>296</v>
      </c>
      <c r="D67" s="23">
        <f>'2.2.1'!D67+'2.3.1'!D67</f>
        <v>193</v>
      </c>
      <c r="E67" s="23">
        <f>'2.2.1'!E67+'2.3.1'!E67</f>
        <v>161</v>
      </c>
      <c r="F67" s="23">
        <f>'2.2.1'!F67+'2.3.1'!F67</f>
        <v>223</v>
      </c>
      <c r="G67" s="34">
        <f>'2.2.1'!G67+'2.3.1'!G67</f>
        <v>1226</v>
      </c>
      <c r="H67" s="155">
        <f>IF('AW Schulen'!$D7=0,"x",C67/'AW Schulen'!$D7)</f>
        <v>0.12277063459145583</v>
      </c>
      <c r="I67" s="155">
        <f>IF('AW Schulen'!$G7=0,"x",D67/'AW Schulen'!$G7)</f>
        <v>8.0216126350789688E-2</v>
      </c>
      <c r="J67" s="155">
        <f>IF('AW Schulen'!$J7=0,"x",E67/'AW Schulen'!$J7)</f>
        <v>6.6943866943866948E-2</v>
      </c>
      <c r="K67" s="155">
        <f>IF('AW Schulen'!$M7=0,"x",F67/'AW Schulen'!$M7)</f>
        <v>9.2762063227953412E-2</v>
      </c>
      <c r="L67" s="156">
        <f>IF('AW Schulen'!$P7=0,"x",G67/'AW Schulen'!$P7)</f>
        <v>0.51019558884727423</v>
      </c>
    </row>
    <row r="68" spans="1:12" ht="10.15" customHeight="1">
      <c r="A68" s="224" t="s">
        <v>82</v>
      </c>
      <c r="B68" s="120"/>
      <c r="C68" s="23">
        <f>'2.2.1'!C68+'2.3.1'!C68</f>
        <v>339</v>
      </c>
      <c r="D68" s="23">
        <f>'2.2.1'!D68+'2.3.1'!D68</f>
        <v>337</v>
      </c>
      <c r="E68" s="23">
        <f>'2.2.1'!E68+'2.3.1'!E68</f>
        <v>344</v>
      </c>
      <c r="F68" s="23">
        <f>'2.2.1'!F68+'2.3.1'!F68</f>
        <v>346</v>
      </c>
      <c r="G68" s="34">
        <f>'2.2.1'!G68+'2.3.1'!G68</f>
        <v>340</v>
      </c>
      <c r="H68" s="155">
        <f>IF('AW Schulen'!$D8=0,"x",C68/'AW Schulen'!$D8)</f>
        <v>0.81100478468899517</v>
      </c>
      <c r="I68" s="155">
        <f>IF('AW Schulen'!$G8=0,"x",D68/'AW Schulen'!$G8)</f>
        <v>0.82195121951219507</v>
      </c>
      <c r="J68" s="155">
        <f>IF('AW Schulen'!$J8=0,"x",E68/'AW Schulen'!$J8)</f>
        <v>0.79814385150812062</v>
      </c>
      <c r="K68" s="155">
        <f>IF('AW Schulen'!$M8=0,"x",F68/'AW Schulen'!$M8)</f>
        <v>0.81220657276995301</v>
      </c>
      <c r="L68" s="156">
        <f>IF('AW Schulen'!$P8=0,"x",G68/'AW Schulen'!$P8)</f>
        <v>0.80188679245283023</v>
      </c>
    </row>
    <row r="69" spans="1:12" ht="9" customHeight="1">
      <c r="A69" s="21" t="s">
        <v>83</v>
      </c>
      <c r="B69" s="120"/>
      <c r="C69" s="23">
        <f>'2.2.1'!C69+'2.3.1'!C69</f>
        <v>245</v>
      </c>
      <c r="D69" s="23">
        <f>'2.2.1'!D69+'2.3.1'!D69</f>
        <v>247</v>
      </c>
      <c r="E69" s="23">
        <f>'2.2.1'!E69+'2.3.1'!E69</f>
        <v>248</v>
      </c>
      <c r="F69" s="23">
        <f>'2.2.1'!F69+'2.3.1'!F69</f>
        <v>245</v>
      </c>
      <c r="G69" s="34">
        <f>'2.2.1'!G69+'2.3.1'!G69</f>
        <v>248</v>
      </c>
      <c r="H69" s="155">
        <f>IF('AW Schulen'!$D9=0,"x",C69/'AW Schulen'!$D9)</f>
        <v>0.48514851485148514</v>
      </c>
      <c r="I69" s="155">
        <f>IF('AW Schulen'!$G9=0,"x",D69/'AW Schulen'!$G9)</f>
        <v>0.49007936507936506</v>
      </c>
      <c r="J69" s="155">
        <f>IF('AW Schulen'!$J9=0,"x",E69/'AW Schulen'!$J9)</f>
        <v>0.49500998003992014</v>
      </c>
      <c r="K69" s="155">
        <f>IF('AW Schulen'!$M9=0,"x",F69/'AW Schulen'!$M9)</f>
        <v>0.48804780876494025</v>
      </c>
      <c r="L69" s="156">
        <f>IF('AW Schulen'!$P9=0,"x",G69/'AW Schulen'!$P9)</f>
        <v>0.49206349206349204</v>
      </c>
    </row>
    <row r="70" spans="1:12" ht="9" customHeight="1">
      <c r="A70" s="21" t="s">
        <v>84</v>
      </c>
      <c r="B70" s="120"/>
      <c r="C70" s="23">
        <f>'2.2.1'!C70+'2.3.1'!C70</f>
        <v>17</v>
      </c>
      <c r="D70" s="23">
        <f>'2.2.1'!D70+'2.3.1'!D70</f>
        <v>18</v>
      </c>
      <c r="E70" s="23">
        <f>'2.2.1'!E70+'2.3.1'!E70</f>
        <v>18</v>
      </c>
      <c r="F70" s="23">
        <f>'2.2.1'!F70+'2.3.1'!F70</f>
        <v>22</v>
      </c>
      <c r="G70" s="34">
        <f>'2.2.1'!G70+'2.3.1'!G70</f>
        <v>23</v>
      </c>
      <c r="H70" s="155">
        <f>IF('AW Schulen'!$D10=0,"x",C70/'AW Schulen'!$D10)</f>
        <v>0.17</v>
      </c>
      <c r="I70" s="155">
        <f>IF('AW Schulen'!$G10=0,"x",D70/'AW Schulen'!$G10)</f>
        <v>0.18181818181818182</v>
      </c>
      <c r="J70" s="155">
        <f>IF('AW Schulen'!$J10=0,"x",E70/'AW Schulen'!$J10)</f>
        <v>0.18367346938775511</v>
      </c>
      <c r="K70" s="155">
        <f>IF('AW Schulen'!$M10=0,"x",F70/'AW Schulen'!$M10)</f>
        <v>0.22448979591836735</v>
      </c>
      <c r="L70" s="156">
        <f>IF('AW Schulen'!$P10=0,"x",G70/'AW Schulen'!$P10)</f>
        <v>0.23469387755102042</v>
      </c>
    </row>
    <row r="71" spans="1:12" ht="9" customHeight="1">
      <c r="A71" s="21" t="s">
        <v>85</v>
      </c>
      <c r="B71" s="120"/>
      <c r="C71" s="23">
        <f>'2.2.1'!C71+'2.3.1'!C71</f>
        <v>91</v>
      </c>
      <c r="D71" s="23">
        <f>'2.2.1'!D71+'2.3.1'!D71</f>
        <v>156</v>
      </c>
      <c r="E71" s="23">
        <f>'2.2.1'!E71+'2.3.1'!E71</f>
        <v>159</v>
      </c>
      <c r="F71" s="23">
        <f>'2.2.1'!F71+'2.3.1'!F71</f>
        <v>164</v>
      </c>
      <c r="G71" s="34">
        <f>'2.2.1'!G71+'2.3.1'!G71</f>
        <v>159</v>
      </c>
      <c r="H71" s="155">
        <f>IF('AW Schulen'!$D11=0,"x",C71/'AW Schulen'!$D11)</f>
        <v>0.41176470588235292</v>
      </c>
      <c r="I71" s="155">
        <f>IF('AW Schulen'!$G11=0,"x",D71/'AW Schulen'!$G11)</f>
        <v>0.70909090909090911</v>
      </c>
      <c r="J71" s="155">
        <f>IF('AW Schulen'!$J11=0,"x",E71/'AW Schulen'!$J11)</f>
        <v>0.71945701357466063</v>
      </c>
      <c r="K71" s="155">
        <f>IF('AW Schulen'!$M11=0,"x",F71/'AW Schulen'!$M11)</f>
        <v>0.74545454545454548</v>
      </c>
      <c r="L71" s="156">
        <f>IF('AW Schulen'!$P11=0,"x",G71/'AW Schulen'!$P11)</f>
        <v>0.71945701357466063</v>
      </c>
    </row>
    <row r="72" spans="1:12" ht="9" customHeight="1">
      <c r="A72" s="21" t="s">
        <v>86</v>
      </c>
      <c r="B72" s="120"/>
      <c r="C72" s="23">
        <f>'2.2.1'!C72+'2.3.1'!C72</f>
        <v>358</v>
      </c>
      <c r="D72" s="23">
        <f>'2.2.1'!D72+'2.3.1'!D72</f>
        <v>419</v>
      </c>
      <c r="E72" s="23">
        <f>'2.2.1'!E72+'2.3.1'!E72</f>
        <v>452</v>
      </c>
      <c r="F72" s="23">
        <f>'2.2.1'!F72+'2.3.1'!F72</f>
        <v>501</v>
      </c>
      <c r="G72" s="34">
        <f>'2.2.1'!G72+'2.3.1'!G72</f>
        <v>552</v>
      </c>
      <c r="H72" s="183">
        <v>0</v>
      </c>
      <c r="I72" s="183">
        <v>0</v>
      </c>
      <c r="J72" s="183">
        <v>0</v>
      </c>
      <c r="K72" s="183">
        <v>0</v>
      </c>
      <c r="L72" s="197">
        <v>0</v>
      </c>
    </row>
    <row r="73" spans="1:12" ht="9" customHeight="1">
      <c r="A73" s="21" t="s">
        <v>176</v>
      </c>
      <c r="B73" s="120"/>
      <c r="C73" s="23">
        <f>'2.2.1'!C73+'2.3.1'!C73</f>
        <v>5</v>
      </c>
      <c r="D73" s="23">
        <f>'2.2.1'!D73+'2.3.1'!D73</f>
        <v>7</v>
      </c>
      <c r="E73" s="23">
        <f>'2.2.1'!E73+'2.3.1'!E73</f>
        <v>5</v>
      </c>
      <c r="F73" s="23">
        <f>'2.2.1'!F73+'2.3.1'!F73</f>
        <v>8</v>
      </c>
      <c r="G73" s="34">
        <f>'2.2.1'!G73+'2.3.1'!G73</f>
        <v>0</v>
      </c>
      <c r="H73" s="155">
        <f>IF('AW Schulen'!$D13=0,"x",C73/'AW Schulen'!$D13)</f>
        <v>1.5527950310559006E-2</v>
      </c>
      <c r="I73" s="155">
        <f>IF('AW Schulen'!$G13=0,"x",D73/'AW Schulen'!$G13)</f>
        <v>2.1671826625386997E-2</v>
      </c>
      <c r="J73" s="155">
        <f>IF('AW Schulen'!$J13=0,"x",E73/'AW Schulen'!$J13)</f>
        <v>1.5432098765432098E-2</v>
      </c>
      <c r="K73" s="155">
        <f>IF('AW Schulen'!$M13=0,"x",F73/'AW Schulen'!$M13)</f>
        <v>2.4844720496894408E-2</v>
      </c>
      <c r="L73" s="156">
        <f>IF('AW Schulen'!$P13=0,"x",G73/'AW Schulen'!$P13)</f>
        <v>0</v>
      </c>
    </row>
    <row r="74" spans="1:12" ht="9" customHeight="1">
      <c r="A74" s="21" t="s">
        <v>88</v>
      </c>
      <c r="B74" s="120"/>
      <c r="C74" s="23">
        <f>'2.2.1'!C74+'2.3.1'!C74</f>
        <v>663</v>
      </c>
      <c r="D74" s="23">
        <f>'2.2.1'!D74+'2.3.1'!D74</f>
        <v>762</v>
      </c>
      <c r="E74" s="23">
        <f>'2.2.1'!E74+'2.3.1'!E74</f>
        <v>833</v>
      </c>
      <c r="F74" s="23">
        <f>'2.2.1'!F74+'2.3.1'!F74</f>
        <v>881</v>
      </c>
      <c r="G74" s="34">
        <f>'2.2.1'!G74+'2.3.1'!G74</f>
        <v>932</v>
      </c>
      <c r="H74" s="183">
        <v>0</v>
      </c>
      <c r="I74" s="183">
        <v>0</v>
      </c>
      <c r="J74" s="183">
        <v>0</v>
      </c>
      <c r="K74" s="183">
        <v>0</v>
      </c>
      <c r="L74" s="197">
        <v>0</v>
      </c>
    </row>
    <row r="75" spans="1:12" ht="9" customHeight="1">
      <c r="A75" s="21" t="s">
        <v>89</v>
      </c>
      <c r="B75" s="120"/>
      <c r="C75" s="23">
        <f>'2.2.1'!C75+'2.3.1'!C75</f>
        <v>2679</v>
      </c>
      <c r="D75" s="23">
        <f>'2.2.1'!D75+'2.3.1'!D75</f>
        <v>2640</v>
      </c>
      <c r="E75" s="23">
        <f>'2.2.1'!E75+'2.3.1'!E75</f>
        <v>2614</v>
      </c>
      <c r="F75" s="23">
        <f>'2.2.1'!F75+'2.3.1'!F75</f>
        <v>2609</v>
      </c>
      <c r="G75" s="34">
        <f>'2.2.1'!G75+'2.3.1'!G75</f>
        <v>2595</v>
      </c>
      <c r="H75" s="155">
        <f>IF('AW Schulen'!$D15=0,"x",C75/'AW Schulen'!$D15)</f>
        <v>0.88445031363486304</v>
      </c>
      <c r="I75" s="155">
        <f>IF('AW Schulen'!$G15=0,"x",D75/'AW Schulen'!$G15)</f>
        <v>0.89643463497453313</v>
      </c>
      <c r="J75" s="155">
        <f>IF('AW Schulen'!$J15=0,"x",E75/'AW Schulen'!$J15)</f>
        <v>0.90669441553936869</v>
      </c>
      <c r="K75" s="155">
        <f>IF('AW Schulen'!$M15=0,"x",F75/'AW Schulen'!$M15)</f>
        <v>0.91672522839072379</v>
      </c>
      <c r="L75" s="156">
        <f>IF('AW Schulen'!$P15=0,"x",G75/'AW Schulen'!$P15)</f>
        <v>0.92250266619267685</v>
      </c>
    </row>
    <row r="76" spans="1:12" ht="9.75" customHeight="1">
      <c r="A76" s="21" t="s">
        <v>90</v>
      </c>
      <c r="B76" s="120"/>
      <c r="C76" s="23">
        <f>'2.2.1'!C76+'2.3.1'!C76</f>
        <v>329</v>
      </c>
      <c r="D76" s="23">
        <f>'2.2.1'!D76+'2.3.1'!D76</f>
        <v>320</v>
      </c>
      <c r="E76" s="23">
        <f>'2.2.1'!E76+'2.3.1'!E76</f>
        <v>328</v>
      </c>
      <c r="F76" s="23">
        <f>'2.2.1'!F76+'2.3.1'!F76</f>
        <v>343</v>
      </c>
      <c r="G76" s="34">
        <f>'2.2.1'!G76+'2.3.1'!G76</f>
        <v>370</v>
      </c>
      <c r="H76" s="155">
        <f>IF('AW Schulen'!$D16=0,"x",C76/'AW Schulen'!$D16)</f>
        <v>0.33952528379772962</v>
      </c>
      <c r="I76" s="155">
        <f>IF('AW Schulen'!$G16=0,"x",D76/'AW Schulen'!$G16)</f>
        <v>0.32989690721649484</v>
      </c>
      <c r="J76" s="155">
        <f>IF('AW Schulen'!$J16=0,"x",E76/'AW Schulen'!$J16)</f>
        <v>0.33849329205366357</v>
      </c>
      <c r="K76" s="155">
        <f>IF('AW Schulen'!$M16=0,"x",F76/'AW Schulen'!$M16)</f>
        <v>0.35544041450777203</v>
      </c>
      <c r="L76" s="156">
        <f>IF('AW Schulen'!$P16=0,"x",G76/'AW Schulen'!$P16)</f>
        <v>0.38381742738589214</v>
      </c>
    </row>
    <row r="77" spans="1:12" ht="9" customHeight="1">
      <c r="A77" s="21" t="s">
        <v>91</v>
      </c>
      <c r="B77" s="120"/>
      <c r="C77" s="23">
        <f>'2.2.1'!C77+'2.3.1'!C77</f>
        <v>154</v>
      </c>
      <c r="D77" s="23">
        <f>'2.2.1'!D77+'2.3.1'!D77</f>
        <v>152</v>
      </c>
      <c r="E77" s="23">
        <f>'2.2.1'!E77+'2.3.1'!E77</f>
        <v>151</v>
      </c>
      <c r="F77" s="23">
        <f>'2.2.1'!F77+'2.3.1'!F77</f>
        <v>151</v>
      </c>
      <c r="G77" s="34">
        <f>'2.2.1'!G77+'2.3.1'!G77</f>
        <v>149</v>
      </c>
      <c r="H77" s="155">
        <f>IF('AW Schulen'!$D17=0,"x",C77/'AW Schulen'!$D17)</f>
        <v>0.95061728395061729</v>
      </c>
      <c r="I77" s="155">
        <f>IF('AW Schulen'!$G17=0,"x",D77/'AW Schulen'!$G17)</f>
        <v>0.93827160493827155</v>
      </c>
      <c r="J77" s="155">
        <f>IF('AW Schulen'!$J17=0,"x",E77/'AW Schulen'!$J17)</f>
        <v>0.9320987654320988</v>
      </c>
      <c r="K77" s="155">
        <f>IF('AW Schulen'!$M17=0,"x",F77/'AW Schulen'!$M17)</f>
        <v>0.9320987654320988</v>
      </c>
      <c r="L77" s="156">
        <f>IF('AW Schulen'!$P17=0,"x",G77/'AW Schulen'!$P17)</f>
        <v>0.91975308641975306</v>
      </c>
    </row>
    <row r="78" spans="1:12" ht="9" customHeight="1">
      <c r="A78" s="21" t="s">
        <v>92</v>
      </c>
      <c r="B78" s="120"/>
      <c r="C78" s="23">
        <f>'2.2.1'!C78+'2.3.1'!C78</f>
        <v>594</v>
      </c>
      <c r="D78" s="23">
        <f>'2.2.1'!D78+'2.3.1'!D78</f>
        <v>584</v>
      </c>
      <c r="E78" s="23">
        <f>'2.2.1'!E78+'2.3.1'!E78</f>
        <v>573</v>
      </c>
      <c r="F78" s="23">
        <f>'2.2.1'!F78+'2.3.1'!F78</f>
        <v>564</v>
      </c>
      <c r="G78" s="34">
        <f>'2.2.1'!G78+'2.3.1'!G78</f>
        <v>559</v>
      </c>
      <c r="H78" s="155">
        <f>IF('AW Schulen'!$D18=0,"x",C78/'AW Schulen'!$D18)</f>
        <v>0.71480144404332135</v>
      </c>
      <c r="I78" s="155">
        <f>IF('AW Schulen'!$G18=0,"x",D78/'AW Schulen'!$G18)</f>
        <v>0.70873786407766992</v>
      </c>
      <c r="J78" s="155">
        <f>IF('AW Schulen'!$J18=0,"x",E78/'AW Schulen'!$J18)</f>
        <v>0.69454545454545458</v>
      </c>
      <c r="K78" s="155">
        <f>IF('AW Schulen'!$M18=0,"x",F78/'AW Schulen'!$M18)</f>
        <v>0.68280871670702181</v>
      </c>
      <c r="L78" s="156">
        <f>IF('AW Schulen'!$P18=0,"x",G78/'AW Schulen'!$P18)</f>
        <v>0.67430639324487329</v>
      </c>
    </row>
    <row r="79" spans="1:12" ht="9" customHeight="1">
      <c r="A79" s="21" t="s">
        <v>93</v>
      </c>
      <c r="B79" s="120"/>
      <c r="C79" s="23">
        <f>'2.2.1'!C79+'2.3.1'!C79</f>
        <v>15</v>
      </c>
      <c r="D79" s="23">
        <f>'2.2.1'!D79+'2.3.1'!D79</f>
        <v>15</v>
      </c>
      <c r="E79" s="23">
        <f>'2.2.1'!E79+'2.3.1'!E79</f>
        <v>15</v>
      </c>
      <c r="F79" s="23">
        <f>'2.2.1'!F79+'2.3.1'!F79</f>
        <v>15</v>
      </c>
      <c r="G79" s="34">
        <f>'2.2.1'!G79+'2.3.1'!G79</f>
        <v>308</v>
      </c>
      <c r="H79" s="183">
        <v>0</v>
      </c>
      <c r="I79" s="183">
        <v>0</v>
      </c>
      <c r="J79" s="183">
        <v>0</v>
      </c>
      <c r="K79" s="183">
        <v>0</v>
      </c>
      <c r="L79" s="197">
        <v>0</v>
      </c>
    </row>
    <row r="80" spans="1:12" ht="9" customHeight="1">
      <c r="A80" s="21" t="s">
        <v>94</v>
      </c>
      <c r="B80" s="120"/>
      <c r="C80" s="23">
        <f>'2.2.1'!C80+'2.3.1'!C80</f>
        <v>226</v>
      </c>
      <c r="D80" s="23">
        <f>'2.2.1'!D80+'2.3.1'!D80</f>
        <v>241</v>
      </c>
      <c r="E80" s="23">
        <f>'2.2.1'!E80+'2.3.1'!E80</f>
        <v>263</v>
      </c>
      <c r="F80" s="23">
        <f>'2.2.1'!F80+'2.3.1'!F80</f>
        <v>323</v>
      </c>
      <c r="G80" s="34">
        <f>'2.2.1'!G80+'2.3.1'!G80</f>
        <v>377</v>
      </c>
      <c r="H80" s="155">
        <f>IF('AW Schulen'!$D20=0,"x",C80/'AW Schulen'!$D20)</f>
        <v>0.41544117647058826</v>
      </c>
      <c r="I80" s="155">
        <f>IF('AW Schulen'!$G20=0,"x",D80/'AW Schulen'!$G20)</f>
        <v>0.44712430426716143</v>
      </c>
      <c r="J80" s="155">
        <f>IF('AW Schulen'!$J20=0,"x",E80/'AW Schulen'!$J20)</f>
        <v>0.49250936329588013</v>
      </c>
      <c r="K80" s="155">
        <f>IF('AW Schulen'!$M20=0,"x",F80/'AW Schulen'!$M20)</f>
        <v>0.54103852596314905</v>
      </c>
      <c r="L80" s="156">
        <f>IF('AW Schulen'!$P20=0,"x",G80/'AW Schulen'!$P20)</f>
        <v>0.56606606606606602</v>
      </c>
    </row>
    <row r="81" spans="1:12" ht="9" customHeight="1">
      <c r="A81" s="21" t="s">
        <v>95</v>
      </c>
      <c r="B81" s="120"/>
      <c r="C81" s="23">
        <f>'2.2.1'!C81+'2.3.1'!C81</f>
        <v>428</v>
      </c>
      <c r="D81" s="23">
        <f>'2.2.1'!D81+'2.3.1'!D81</f>
        <v>427</v>
      </c>
      <c r="E81" s="23">
        <f>'2.2.1'!E81+'2.3.1'!E81</f>
        <v>429</v>
      </c>
      <c r="F81" s="23">
        <f>'2.2.1'!F81+'2.3.1'!F81</f>
        <v>420</v>
      </c>
      <c r="G81" s="34">
        <f>'2.2.1'!G81+'2.3.1'!G81</f>
        <v>412</v>
      </c>
      <c r="H81" s="155">
        <f>IF('AW Schulen'!$D21=0,"x",C81/'AW Schulen'!$D21)</f>
        <v>0.92241379310344829</v>
      </c>
      <c r="I81" s="155">
        <f>IF('AW Schulen'!$G21=0,"x",D81/'AW Schulen'!$G21)</f>
        <v>0.92624728850325377</v>
      </c>
      <c r="J81" s="155">
        <f>IF('AW Schulen'!$J21=0,"x",E81/'AW Schulen'!$J21)</f>
        <v>0.9366812227074236</v>
      </c>
      <c r="K81" s="155">
        <f>IF('AW Schulen'!$M21=0,"x",F81/'AW Schulen'!$M21)</f>
        <v>0.9312638580931264</v>
      </c>
      <c r="L81" s="156">
        <f>IF('AW Schulen'!$P21=0,"x",G81/'AW Schulen'!$P21)</f>
        <v>0.93002257336343119</v>
      </c>
    </row>
    <row r="82" spans="1:12" ht="9" customHeight="1">
      <c r="A82" s="24" t="s">
        <v>96</v>
      </c>
      <c r="B82" s="121"/>
      <c r="C82" s="26">
        <f>'2.2.1'!C82+'2.3.1'!C82</f>
        <v>6667</v>
      </c>
      <c r="D82" s="26">
        <f>'2.2.1'!D82+'2.3.1'!D82</f>
        <v>6747</v>
      </c>
      <c r="E82" s="26">
        <f>'2.2.1'!E82+'2.3.1'!E82</f>
        <v>6903</v>
      </c>
      <c r="F82" s="26">
        <f>'2.2.1'!F82+'2.3.1'!F82</f>
        <v>7190</v>
      </c>
      <c r="G82" s="47">
        <f>'2.2.1'!G82+'2.3.1'!G82</f>
        <v>8696</v>
      </c>
      <c r="H82" s="157">
        <f>IF('AW Schulen'!$D22=0,"x",C82/'AW Schulen'!$D22)</f>
        <v>0.42089646464646463</v>
      </c>
      <c r="I82" s="157">
        <f>IF('AW Schulen'!$G22=0,"x",D82/'AW Schulen'!$G22)</f>
        <v>0.43238913099205334</v>
      </c>
      <c r="J82" s="157">
        <f>IF('AW Schulen'!$J22=0,"x",E82/'AW Schulen'!$J22)</f>
        <v>0.44754927385892118</v>
      </c>
      <c r="K82" s="157">
        <f>IF('AW Schulen'!$M22=0,"x",F82/'AW Schulen'!$M22)</f>
        <v>0.46861761063677249</v>
      </c>
      <c r="L82" s="158">
        <f>IF('AW Schulen'!$P22=0,"x",G82/'AW Schulen'!$P22)</f>
        <v>0.56788349768170832</v>
      </c>
    </row>
    <row r="83" spans="1:12" ht="18.75" customHeight="1">
      <c r="A83" s="396" t="s">
        <v>312</v>
      </c>
      <c r="B83" s="396"/>
      <c r="C83" s="396"/>
      <c r="D83" s="396"/>
      <c r="E83" s="396"/>
      <c r="F83" s="396"/>
      <c r="G83" s="396"/>
      <c r="H83" s="396"/>
      <c r="I83" s="396"/>
      <c r="J83" s="396"/>
      <c r="K83" s="396"/>
      <c r="L83" s="396"/>
    </row>
    <row r="84" spans="1:12" ht="18.600000000000001" customHeight="1">
      <c r="A84" s="381" t="s">
        <v>196</v>
      </c>
      <c r="B84" s="381"/>
      <c r="C84" s="381"/>
      <c r="D84" s="381"/>
      <c r="E84" s="381"/>
      <c r="F84" s="381"/>
      <c r="G84" s="381"/>
      <c r="H84" s="381"/>
      <c r="I84" s="394"/>
      <c r="J84" s="395"/>
      <c r="K84" s="395"/>
      <c r="L84" s="395"/>
    </row>
    <row r="85" spans="1:12" ht="11.25" customHeight="1">
      <c r="A85" s="306" t="s">
        <v>221</v>
      </c>
      <c r="J85" s="249"/>
      <c r="K85" s="313"/>
      <c r="L85" s="340"/>
    </row>
    <row r="86" spans="1:12" ht="10.15" customHeight="1">
      <c r="A86" s="387"/>
      <c r="B86" s="387"/>
      <c r="C86" s="387"/>
      <c r="D86" s="387"/>
      <c r="E86" s="387"/>
      <c r="F86" s="387"/>
      <c r="G86" s="387"/>
      <c r="H86" s="387"/>
      <c r="I86" s="387"/>
    </row>
  </sheetData>
  <mergeCells count="10">
    <mergeCell ref="A1:L1"/>
    <mergeCell ref="A86:I86"/>
    <mergeCell ref="C9:G9"/>
    <mergeCell ref="H9:L9"/>
    <mergeCell ref="A11:L11"/>
    <mergeCell ref="A29:L29"/>
    <mergeCell ref="A47:L47"/>
    <mergeCell ref="A65:L65"/>
    <mergeCell ref="A84:L84"/>
    <mergeCell ref="A83:L83"/>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6"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view="pageBreakPreview" zoomScale="175" zoomScaleNormal="200"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'3.3.9'!A1:J1+1</f>
        <v>67</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4.1" customHeight="1">
      <c r="A5" s="13" t="s">
        <v>68</v>
      </c>
      <c r="B5" s="39" t="s">
        <v>75</v>
      </c>
      <c r="C5" s="14"/>
      <c r="D5" s="14"/>
      <c r="E5" s="14"/>
      <c r="F5" s="14"/>
      <c r="G5" s="14"/>
    </row>
    <row r="6" spans="1:13" s="3" customFormat="1" ht="13.5" customHeight="1">
      <c r="A6" s="13" t="s">
        <v>234</v>
      </c>
      <c r="B6" s="39" t="s">
        <v>277</v>
      </c>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173</v>
      </c>
      <c r="B12" s="120"/>
      <c r="C12" s="42">
        <f>SUM(C30+C48)</f>
        <v>1405</v>
      </c>
      <c r="D12" s="42">
        <f>SUM(D30+D48)</f>
        <v>1233</v>
      </c>
      <c r="E12" s="42">
        <f>SUM(E30+E48)</f>
        <v>1198</v>
      </c>
      <c r="F12" s="42">
        <f>SUM(F30+F48)</f>
        <v>1186</v>
      </c>
      <c r="G12" s="44">
        <f>SUM(G30+G48)</f>
        <v>1305</v>
      </c>
      <c r="H12" s="153">
        <f>IF('AW Schüler'!$C150=0,"x",(IF('AW Schüler'!$C168=0,"-",C12/'AW Schüler'!$C168)))</f>
        <v>0.19912131519274376</v>
      </c>
      <c r="I12" s="153">
        <f>IF('AW Schüler'!$F$150=0,"x",(IF('AW Schüler'!$F$168=0,"-",D12/'AW Schüler'!$F$168)))</f>
        <v>0.17636961808038906</v>
      </c>
      <c r="J12" s="153">
        <f>IF('AW Schüler'!$I$150=0,"x",(IF('AW Schüler'!$I$168=0,"-",E12/'AW Schüler'!$I$168)))</f>
        <v>0.17197817973011773</v>
      </c>
      <c r="K12" s="153">
        <f>IF('AW Schüler'!$L$150=0,"x",(IF('AW Schüler'!$L$168=0,"-",F12/'AW Schüler'!$L$168)))</f>
        <v>0.16846590909090908</v>
      </c>
      <c r="L12" s="154">
        <f>IF('AW Schüler'!$O$150=0,"x",(IF('AW Schüler'!$O$168=0,"-",G12/'AW Schüler'!$O$168)))</f>
        <v>0.1813759555246699</v>
      </c>
    </row>
    <row r="13" spans="1:13" ht="9" customHeight="1">
      <c r="A13" s="21" t="s">
        <v>81</v>
      </c>
      <c r="B13" s="120"/>
      <c r="C13" s="42">
        <f t="shared" ref="C13:E28" si="0">SUM(C31+C49)</f>
        <v>57</v>
      </c>
      <c r="D13" s="42">
        <f t="shared" si="0"/>
        <v>58</v>
      </c>
      <c r="E13" s="42">
        <f t="shared" si="0"/>
        <v>56</v>
      </c>
      <c r="F13" s="42" t="e">
        <f t="shared" ref="F13:G13" si="1">SUM(F31+F49)</f>
        <v>#VALUE!</v>
      </c>
      <c r="G13" s="44">
        <f t="shared" si="1"/>
        <v>594</v>
      </c>
      <c r="H13" s="153">
        <f>IF('AW Schüler'!$C151=0,"x",(IF('AW Schüler'!$C169=0,"-",C13/'AW Schüler'!$C169)))</f>
        <v>2.2556390977443608E-2</v>
      </c>
      <c r="I13" s="153">
        <f>IF('AW Schüler'!$F151=0,"x",(IF('AW Schüler'!$F169=0,"-",D13/'AW Schüler'!$F169)))</f>
        <v>2.3255813953488372E-2</v>
      </c>
      <c r="J13" s="153">
        <f>IF('AW Schüler'!$I151=0,"x",(IF('AW Schüler'!$I169=0,"-",E13/'AW Schüler'!$I169)))</f>
        <v>2.1909233176838811E-2</v>
      </c>
      <c r="K13" s="153" t="e">
        <f>IF('AW Schüler'!$L151=0,"x",(IF('AW Schüler'!$L169=0,"-",F13/'AW Schüler'!$L169)))</f>
        <v>#VALUE!</v>
      </c>
      <c r="L13" s="154">
        <f>IF('AW Schüler'!$O151=0,"x",(IF('AW Schüler'!$O169=0,"-",G13/'AW Schüler'!$O169)))</f>
        <v>0.21359223300970873</v>
      </c>
    </row>
    <row r="14" spans="1:13" ht="9" customHeight="1">
      <c r="A14" s="21" t="s">
        <v>82</v>
      </c>
      <c r="B14" s="120"/>
      <c r="C14" s="42">
        <f t="shared" si="0"/>
        <v>1126</v>
      </c>
      <c r="D14" s="42">
        <f t="shared" si="0"/>
        <v>1145</v>
      </c>
      <c r="E14" s="42">
        <f t="shared" ref="E14:F28" si="2">SUM(E32+E50)</f>
        <v>1177</v>
      </c>
      <c r="F14" s="42">
        <f t="shared" si="2"/>
        <v>1330</v>
      </c>
      <c r="G14" s="44">
        <f t="shared" ref="G14" si="3">SUM(G32+G50)</f>
        <v>1363</v>
      </c>
      <c r="H14" s="153">
        <f>IF('AW Schüler'!$C152=0,"x",(IF('AW Schüler'!$C170=0,"-",C14/'AW Schüler'!$C170)))</f>
        <v>0.72974724562540505</v>
      </c>
      <c r="I14" s="153">
        <f>IF('AW Schüler'!$F152=0,"x",(IF('AW Schüler'!$F170=0,"-",D14/'AW Schüler'!$F170)))</f>
        <v>0.76486305945223776</v>
      </c>
      <c r="J14" s="153">
        <f>IF('AW Schüler'!$I152=0,"x",(IF('AW Schüler'!$I170=0,"-",E14/'AW Schüler'!$I170)))</f>
        <v>0.75303902751119645</v>
      </c>
      <c r="K14" s="153">
        <f>IF('AW Schüler'!$L152=0,"x",(IF('AW Schüler'!$L170=0,"-",F14/'AW Schüler'!$L170)))</f>
        <v>0.84177215189873422</v>
      </c>
      <c r="L14" s="154">
        <f>IF('AW Schüler'!$O152=0,"x",(IF('AW Schüler'!$O170=0,"-",G14/'AW Schüler'!$O170)))</f>
        <v>0.81616766467065871</v>
      </c>
    </row>
    <row r="15" spans="1:13" ht="9" customHeight="1">
      <c r="A15" s="21" t="s">
        <v>83</v>
      </c>
      <c r="B15" s="120"/>
      <c r="C15" s="42">
        <f t="shared" si="0"/>
        <v>374</v>
      </c>
      <c r="D15" s="42">
        <f t="shared" si="0"/>
        <v>367</v>
      </c>
      <c r="E15" s="42">
        <f t="shared" si="2"/>
        <v>371</v>
      </c>
      <c r="F15" s="42">
        <f t="shared" si="2"/>
        <v>405</v>
      </c>
      <c r="G15" s="44">
        <f t="shared" ref="G15" si="4">SUM(G33+G51)</f>
        <v>420</v>
      </c>
      <c r="H15" s="153">
        <f>IF('AW Schüler'!$C153=0,"x",(IF('AW Schüler'!$C171=0,"-",C15/'AW Schüler'!$C171)))</f>
        <v>0.7857142857142857</v>
      </c>
      <c r="I15" s="153">
        <f>IF('AW Schüler'!$F153=0,"x",(IF('AW Schüler'!$F171=0,"-",D15/'AW Schüler'!$F171)))</f>
        <v>0.8191964285714286</v>
      </c>
      <c r="J15" s="153">
        <f>IF('AW Schüler'!$I153=0,"x",(IF('AW Schüler'!$I171=0,"-",E15/'AW Schüler'!$I171)))</f>
        <v>0.82261640798226165</v>
      </c>
      <c r="K15" s="153">
        <f>IF('AW Schüler'!$L153=0,"x",(IF('AW Schüler'!$L171=0,"-",F15/'AW Schüler'!$L171)))</f>
        <v>0.80516898608349896</v>
      </c>
      <c r="L15" s="154">
        <f>IF('AW Schüler'!$O153=0,"x",(IF('AW Schüler'!$O171=0,"-",G15/'AW Schüler'!$O171)))</f>
        <v>0.83333333333333337</v>
      </c>
    </row>
    <row r="16" spans="1:13" ht="9" customHeight="1">
      <c r="A16" s="21" t="s">
        <v>84</v>
      </c>
      <c r="B16" s="120"/>
      <c r="C16" s="42">
        <f t="shared" si="0"/>
        <v>77</v>
      </c>
      <c r="D16" s="42">
        <f t="shared" si="0"/>
        <v>75</v>
      </c>
      <c r="E16" s="42">
        <f t="shared" si="2"/>
        <v>52</v>
      </c>
      <c r="F16" s="42">
        <f t="shared" si="2"/>
        <v>0</v>
      </c>
      <c r="G16" s="44">
        <f t="shared" ref="G16" si="5">SUM(G34+G52)</f>
        <v>86</v>
      </c>
      <c r="H16" s="153">
        <f>IF('AW Schüler'!$C154=0,"x",(IF('AW Schüler'!$C172=0,"-",C16/'AW Schüler'!$C172)))</f>
        <v>0.24367088607594936</v>
      </c>
      <c r="I16" s="153">
        <f>IF('AW Schüler'!$F154=0,"x",(IF('AW Schüler'!$F172=0,"-",D16/'AW Schüler'!$F172)))</f>
        <v>0.23885350318471338</v>
      </c>
      <c r="J16" s="153">
        <f>IF('AW Schüler'!$I154=0,"x",(IF('AW Schüler'!$I172=0,"-",E16/'AW Schüler'!$I172)))</f>
        <v>0.16199376947040497</v>
      </c>
      <c r="K16" s="153">
        <f>IF('AW Schüler'!$L154=0,"x",(IF('AW Schüler'!$L172=0,"-",F16/'AW Schüler'!$L172)))</f>
        <v>0</v>
      </c>
      <c r="L16" s="154">
        <f>IF('AW Schüler'!$O154=0,"x",(IF('AW Schüler'!$O172=0,"-",G16/'AW Schüler'!$O172)))</f>
        <v>0.26219512195121952</v>
      </c>
    </row>
    <row r="17" spans="1:12" ht="9" customHeight="1">
      <c r="A17" s="21" t="s">
        <v>85</v>
      </c>
      <c r="B17" s="120"/>
      <c r="C17" s="184">
        <f t="shared" si="0"/>
        <v>0</v>
      </c>
      <c r="D17" s="184">
        <f t="shared" si="0"/>
        <v>0</v>
      </c>
      <c r="E17" s="184">
        <f t="shared" si="2"/>
        <v>0</v>
      </c>
      <c r="F17" s="184">
        <f t="shared" si="2"/>
        <v>0</v>
      </c>
      <c r="G17" s="185">
        <f t="shared" ref="G17" si="6">SUM(G35+G53)</f>
        <v>0</v>
      </c>
      <c r="H17" s="153">
        <f>IF('AW Schüler'!$C155=0,"x",(IF('AW Schüler'!$C173=0,"-",C17/'AW Schüler'!$C173)))</f>
        <v>0</v>
      </c>
      <c r="I17" s="153">
        <f>IF('AW Schüler'!$F155=0,"x",(IF('AW Schüler'!$F173=0,"-",D17/'AW Schüler'!$F173)))</f>
        <v>0</v>
      </c>
      <c r="J17" s="153">
        <f>IF('AW Schüler'!$I155=0,"x",(IF('AW Schüler'!$I173=0,"-",E17/'AW Schüler'!$I173)))</f>
        <v>0</v>
      </c>
      <c r="K17" s="153">
        <f>IF('AW Schüler'!$L155=0,"x",(IF('AW Schüler'!$L173=0,"-",F17/'AW Schüler'!$L173)))</f>
        <v>0</v>
      </c>
      <c r="L17" s="154">
        <f>IF('AW Schüler'!$O155=0,"x",(IF('AW Schüler'!$O173=0,"-",G17/'AW Schüler'!$O173)))</f>
        <v>0</v>
      </c>
    </row>
    <row r="18" spans="1:12" ht="9" customHeight="1">
      <c r="A18" s="21" t="s">
        <v>86</v>
      </c>
      <c r="B18" s="120"/>
      <c r="C18" s="184">
        <f t="shared" si="0"/>
        <v>0</v>
      </c>
      <c r="D18" s="184">
        <f t="shared" si="0"/>
        <v>0</v>
      </c>
      <c r="E18" s="184">
        <f t="shared" si="2"/>
        <v>0</v>
      </c>
      <c r="F18" s="184">
        <f t="shared" si="2"/>
        <v>0</v>
      </c>
      <c r="G18" s="185">
        <f t="shared" ref="G18" si="7">SUM(G36+G54)</f>
        <v>0</v>
      </c>
      <c r="H18" s="54">
        <f>IF('AW Schüler'!$C156=0,"x",(IF('AW Schüler'!$C174=0,"-",C18/'AW Schüler'!$C174)))</f>
        <v>0</v>
      </c>
      <c r="I18" s="54">
        <f>IF('AW Schüler'!$F156=0,"x",(IF('AW Schüler'!$F174=0,"-",D18/'AW Schüler'!$F174)))</f>
        <v>0</v>
      </c>
      <c r="J18" s="54">
        <f>IF('AW Schüler'!$I156=0,"x",(IF('AW Schüler'!$I174=0,"-",E18/'AW Schüler'!$I174)))</f>
        <v>0</v>
      </c>
      <c r="K18" s="54">
        <f>IF('AW Schüler'!$L156=0,"x",(IF('AW Schüler'!$L174=0,"-",F18/'AW Schüler'!$L174)))</f>
        <v>0</v>
      </c>
      <c r="L18" s="114">
        <f>IF('AW Schüler'!$O156=0,"x",(IF('AW Schüler'!$O174=0,"-",G18/'AW Schüler'!$O174)))</f>
        <v>0</v>
      </c>
    </row>
    <row r="19" spans="1:12" ht="9" customHeight="1">
      <c r="A19" s="21" t="s">
        <v>87</v>
      </c>
      <c r="B19" s="120"/>
      <c r="C19" s="184">
        <f t="shared" si="0"/>
        <v>0</v>
      </c>
      <c r="D19" s="184">
        <f t="shared" si="0"/>
        <v>0</v>
      </c>
      <c r="E19" s="184">
        <f t="shared" si="2"/>
        <v>0</v>
      </c>
      <c r="F19" s="184">
        <f t="shared" si="2"/>
        <v>0</v>
      </c>
      <c r="G19" s="185">
        <f t="shared" ref="G19" si="8">SUM(G37+G55)</f>
        <v>0</v>
      </c>
      <c r="H19" s="54">
        <f>IF('AW Schüler'!$C157=0,"x",(IF('AW Schüler'!$C175=0,"-",C19/'AW Schüler'!$C175)))</f>
        <v>0</v>
      </c>
      <c r="I19" s="54">
        <f>IF('AW Schüler'!$F157=0,"x",(IF('AW Schüler'!$F175=0,"-",D19/'AW Schüler'!$F175)))</f>
        <v>0</v>
      </c>
      <c r="J19" s="54">
        <f>IF('AW Schüler'!$I157=0,"x",(IF('AW Schüler'!$I175=0,"-",E19/'AW Schüler'!$I175)))</f>
        <v>0</v>
      </c>
      <c r="K19" s="54">
        <f>IF('AW Schüler'!$L157=0,"x",(IF('AW Schüler'!$L175=0,"-",F19/'AW Schüler'!$L175)))</f>
        <v>0</v>
      </c>
      <c r="L19" s="114">
        <f>IF('AW Schüler'!$O157=0,"x",(IF('AW Schüler'!$O175=0,"-",G19/'AW Schüler'!$O175)))</f>
        <v>0</v>
      </c>
    </row>
    <row r="20" spans="1:12" ht="9" customHeight="1">
      <c r="A20" s="21" t="s">
        <v>88</v>
      </c>
      <c r="B20" s="120"/>
      <c r="C20" s="184">
        <f t="shared" si="0"/>
        <v>0</v>
      </c>
      <c r="D20" s="184">
        <f t="shared" si="0"/>
        <v>0</v>
      </c>
      <c r="E20" s="184">
        <f t="shared" si="2"/>
        <v>0</v>
      </c>
      <c r="F20" s="184">
        <f t="shared" si="2"/>
        <v>0</v>
      </c>
      <c r="G20" s="185">
        <f t="shared" ref="G20" si="9">SUM(G38+G56)</f>
        <v>0</v>
      </c>
      <c r="H20" s="54">
        <f>IF('AW Schüler'!$C158=0,"x",(IF('AW Schüler'!$C176=0,"-",C20/'AW Schüler'!$C176)))</f>
        <v>0</v>
      </c>
      <c r="I20" s="54">
        <f>IF('AW Schüler'!$F158=0,"x",(IF('AW Schüler'!$F176=0,"-",D20/'AW Schüler'!$F176)))</f>
        <v>0</v>
      </c>
      <c r="J20" s="54">
        <f>IF('AW Schüler'!$I158=0,"x",(IF('AW Schüler'!$I176=0,"-",E20/'AW Schüler'!$I176)))</f>
        <v>0</v>
      </c>
      <c r="K20" s="54">
        <f>IF('AW Schüler'!$L158=0,"x",(IF('AW Schüler'!$L176=0,"-",F20/'AW Schüler'!$L176)))</f>
        <v>0</v>
      </c>
      <c r="L20" s="114">
        <f>IF('AW Schüler'!$O158=0,"x",(IF('AW Schüler'!$O176=0,"-",G20/'AW Schüler'!$O176)))</f>
        <v>0</v>
      </c>
    </row>
    <row r="21" spans="1:12" ht="9" customHeight="1">
      <c r="A21" s="21" t="s">
        <v>89</v>
      </c>
      <c r="B21" s="120"/>
      <c r="C21" s="42">
        <f t="shared" si="0"/>
        <v>3569</v>
      </c>
      <c r="D21" s="42">
        <f t="shared" si="0"/>
        <v>3636</v>
      </c>
      <c r="E21" s="42">
        <f t="shared" si="2"/>
        <v>3275</v>
      </c>
      <c r="F21" s="42">
        <f t="shared" si="2"/>
        <v>3286</v>
      </c>
      <c r="G21" s="44">
        <f t="shared" ref="G21" si="10">SUM(G39+G57)</f>
        <v>3346</v>
      </c>
      <c r="H21" s="153">
        <f>IF('AW Schüler'!$C159=0,"x",(IF('AW Schüler'!$C177=0,"-",C21/'AW Schüler'!$C177)))</f>
        <v>0.73255336617405586</v>
      </c>
      <c r="I21" s="153">
        <f>IF('AW Schüler'!$F159=0,"x",(IF('AW Schüler'!$F177=0,"-",D21/'AW Schüler'!$F177)))</f>
        <v>0.75545397880739662</v>
      </c>
      <c r="J21" s="153">
        <f>IF('AW Schüler'!$I159=0,"x",(IF('AW Schüler'!$I177=0,"-",E21/'AW Schüler'!$I177)))</f>
        <v>0.676094137076796</v>
      </c>
      <c r="K21" s="153">
        <f>IF('AW Schüler'!$L159=0,"x",(IF('AW Schüler'!$L177=0,"-",F21/'AW Schüler'!$L177)))</f>
        <v>0.66815778771858481</v>
      </c>
      <c r="L21" s="154">
        <f>IF('AW Schüler'!$O159=0,"x",(IF('AW Schüler'!$O177=0,"-",G21/'AW Schüler'!$O177)))</f>
        <v>0.66481223922114052</v>
      </c>
    </row>
    <row r="22" spans="1:12" ht="9" customHeight="1">
      <c r="A22" s="21" t="s">
        <v>90</v>
      </c>
      <c r="B22" s="120"/>
      <c r="C22" s="42">
        <f t="shared" si="0"/>
        <v>317</v>
      </c>
      <c r="D22" s="42">
        <f t="shared" si="0"/>
        <v>299</v>
      </c>
      <c r="E22" s="42">
        <f t="shared" si="2"/>
        <v>294</v>
      </c>
      <c r="F22" s="42">
        <f t="shared" si="2"/>
        <v>330</v>
      </c>
      <c r="G22" s="44">
        <f t="shared" ref="G22" si="11">SUM(G40+G58)</f>
        <v>378</v>
      </c>
      <c r="H22" s="153">
        <f>IF('AW Schüler'!$C160=0,"x",(IF('AW Schüler'!$C178=0,"-",C22/'AW Schüler'!$C178)))</f>
        <v>0.41276041666666669</v>
      </c>
      <c r="I22" s="153">
        <f>IF('AW Schüler'!$F160=0,"x",(IF('AW Schüler'!$F178=0,"-",D22/'AW Schüler'!$F178)))</f>
        <v>0.38382541720154045</v>
      </c>
      <c r="J22" s="153">
        <f>IF('AW Schüler'!$I160=0,"x",(IF('AW Schüler'!$I178=0,"-",E22/'AW Schüler'!$I178)))</f>
        <v>0.38132295719844356</v>
      </c>
      <c r="K22" s="153">
        <f>IF('AW Schüler'!$L160=0,"x",(IF('AW Schüler'!$L178=0,"-",F22/'AW Schüler'!$L178)))</f>
        <v>0.43307086614173229</v>
      </c>
      <c r="L22" s="154">
        <f>IF('AW Schüler'!$O160=0,"x",(IF('AW Schüler'!$O178=0,"-",G22/'AW Schüler'!$O178)))</f>
        <v>0.46898263027295284</v>
      </c>
    </row>
    <row r="23" spans="1:12" ht="9" customHeight="1">
      <c r="A23" s="21" t="s">
        <v>91</v>
      </c>
      <c r="B23" s="120"/>
      <c r="C23" s="42">
        <f t="shared" si="0"/>
        <v>0</v>
      </c>
      <c r="D23" s="42">
        <f t="shared" si="0"/>
        <v>73</v>
      </c>
      <c r="E23" s="42">
        <f t="shared" si="2"/>
        <v>103</v>
      </c>
      <c r="F23" s="42">
        <f t="shared" si="2"/>
        <v>110</v>
      </c>
      <c r="G23" s="44">
        <f t="shared" ref="G23" si="12">SUM(G41+G59)</f>
        <v>142</v>
      </c>
      <c r="H23" s="153">
        <f>IF('AW Schüler'!$C161=0,"x",(IF('AW Schüler'!$C179=0,"-",C23/'AW Schüler'!$C179)))</f>
        <v>0</v>
      </c>
      <c r="I23" s="153">
        <f>IF('AW Schüler'!$F161=0,"x",(IF('AW Schüler'!$F179=0,"-",D23/'AW Schüler'!$F179)))</f>
        <v>0.18911917098445596</v>
      </c>
      <c r="J23" s="153">
        <f>IF('AW Schüler'!$I161=0,"x",(IF('AW Schüler'!$I179=0,"-",E23/'AW Schüler'!$I179)))</f>
        <v>0.2689295039164491</v>
      </c>
      <c r="K23" s="153">
        <f>IF('AW Schüler'!$L161=0,"x",(IF('AW Schüler'!$L179=0,"-",F23/'AW Schüler'!$L179)))</f>
        <v>0.27777777777777779</v>
      </c>
      <c r="L23" s="154">
        <f>IF('AW Schüler'!$O161=0,"x",(IF('AW Schüler'!$O179=0,"-",G23/'AW Schüler'!$O179)))</f>
        <v>0.38069705093833778</v>
      </c>
    </row>
    <row r="24" spans="1:12" ht="9" customHeight="1">
      <c r="A24" s="21" t="s">
        <v>243</v>
      </c>
      <c r="B24" s="120"/>
      <c r="C24" s="55">
        <f t="shared" si="0"/>
        <v>0</v>
      </c>
      <c r="D24" s="55">
        <f t="shared" si="0"/>
        <v>0</v>
      </c>
      <c r="E24" s="55">
        <f t="shared" si="2"/>
        <v>0</v>
      </c>
      <c r="F24" s="55">
        <f t="shared" si="2"/>
        <v>0</v>
      </c>
      <c r="G24" s="56">
        <f t="shared" ref="G24" si="13">SUM(G42+G60)</f>
        <v>0</v>
      </c>
      <c r="H24" s="54">
        <f>IF('AW Schüler'!$C162=0,"x",(IF('AW Schüler'!$C180=0,"-",C24/'AW Schüler'!$C180)))</f>
        <v>0</v>
      </c>
      <c r="I24" s="54">
        <f>IF('AW Schüler'!$F162=0,"x",(IF('AW Schüler'!$F180=0,"-",D24/'AW Schüler'!$F180)))</f>
        <v>0</v>
      </c>
      <c r="J24" s="54">
        <f>IF('AW Schüler'!$I162=0,"x",(IF('AW Schüler'!$I180=0,"-",E24/'AW Schüler'!$I180)))</f>
        <v>0</v>
      </c>
      <c r="K24" s="54">
        <f>IF('AW Schüler'!$L162=0,"x",(IF('AW Schüler'!$L180=0,"-",F24/'AW Schüler'!$L180)))</f>
        <v>0</v>
      </c>
      <c r="L24" s="114">
        <f>IF('AW Schüler'!$O162=0,"x",(IF('AW Schüler'!$O180=0,"-",G24/'AW Schüler'!$O180)))</f>
        <v>0</v>
      </c>
    </row>
    <row r="25" spans="1:12" ht="9" customHeight="1">
      <c r="A25" s="21" t="s">
        <v>93</v>
      </c>
      <c r="B25" s="120"/>
      <c r="C25" s="184">
        <f t="shared" si="0"/>
        <v>0</v>
      </c>
      <c r="D25" s="184">
        <f t="shared" si="0"/>
        <v>0</v>
      </c>
      <c r="E25" s="184">
        <f t="shared" si="2"/>
        <v>0</v>
      </c>
      <c r="F25" s="184">
        <f t="shared" si="2"/>
        <v>0</v>
      </c>
      <c r="G25" s="185">
        <f t="shared" ref="G25" si="14">SUM(G43+G61)</f>
        <v>0</v>
      </c>
      <c r="H25" s="54">
        <f>IF('AW Schüler'!$C163=0,"x",(IF('AW Schüler'!$C181=0,"-",C25/'AW Schüler'!$C181)))</f>
        <v>0</v>
      </c>
      <c r="I25" s="54">
        <f>IF('AW Schüler'!$F163=0,"x",(IF('AW Schüler'!$F181=0,"-",D25/'AW Schüler'!$F181)))</f>
        <v>0</v>
      </c>
      <c r="J25" s="54">
        <f>IF('AW Schüler'!$I163=0,"x",(IF('AW Schüler'!$I181=0,"-",E25/'AW Schüler'!$I181)))</f>
        <v>0</v>
      </c>
      <c r="K25" s="54">
        <f>IF('AW Schüler'!$L163=0,"x",(IF('AW Schüler'!$L181=0,"-",F25/'AW Schüler'!$L181)))</f>
        <v>0</v>
      </c>
      <c r="L25" s="114">
        <f>IF('AW Schüler'!$O163=0,"x",(IF('AW Schüler'!$O181=0,"-",G25/'AW Schüler'!$O181)))</f>
        <v>0</v>
      </c>
    </row>
    <row r="26" spans="1:12" ht="9" customHeight="1">
      <c r="A26" s="21" t="s">
        <v>94</v>
      </c>
      <c r="B26" s="120"/>
      <c r="C26" s="42">
        <f t="shared" si="0"/>
        <v>425</v>
      </c>
      <c r="D26" s="42">
        <f t="shared" si="0"/>
        <v>410</v>
      </c>
      <c r="E26" s="42">
        <f t="shared" si="2"/>
        <v>414</v>
      </c>
      <c r="F26" s="42">
        <f t="shared" si="2"/>
        <v>412</v>
      </c>
      <c r="G26" s="44">
        <f t="shared" ref="G26" si="15">SUM(G44+G62)</f>
        <v>440</v>
      </c>
      <c r="H26" s="153">
        <f>IF('AW Schüler'!$C164=0,"x",(IF('AW Schüler'!$C182=0,"-",C26/'AW Schüler'!$C182)))</f>
        <v>0.2848525469168901</v>
      </c>
      <c r="I26" s="153">
        <f>IF('AW Schüler'!$F164=0,"x",(IF('AW Schüler'!$F182=0,"-",D26/'AW Schüler'!$F182)))</f>
        <v>0.28256374913852517</v>
      </c>
      <c r="J26" s="153">
        <f>IF('AW Schüler'!$I164=0,"x",(IF('AW Schüler'!$I182=0,"-",E26/'AW Schüler'!$I182)))</f>
        <v>0.28010825439783493</v>
      </c>
      <c r="K26" s="153">
        <f>IF('AW Schüler'!$L164=0,"x",(IF('AW Schüler'!$L182=0,"-",F26/'AW Schüler'!$L182)))</f>
        <v>0.2789438050101557</v>
      </c>
      <c r="L26" s="154">
        <f>IF('AW Schüler'!$O164=0,"x",(IF('AW Schüler'!$O182=0,"-",G26/'AW Schüler'!$O182)))</f>
        <v>0.28007638446849142</v>
      </c>
    </row>
    <row r="27" spans="1:12" ht="9" customHeight="1">
      <c r="A27" s="21" t="s">
        <v>95</v>
      </c>
      <c r="B27" s="120"/>
      <c r="C27" s="42">
        <f t="shared" si="0"/>
        <v>432</v>
      </c>
      <c r="D27" s="42">
        <f t="shared" si="0"/>
        <v>431</v>
      </c>
      <c r="E27" s="42">
        <f t="shared" si="2"/>
        <v>427</v>
      </c>
      <c r="F27" s="42">
        <f t="shared" si="2"/>
        <v>374</v>
      </c>
      <c r="G27" s="44">
        <f t="shared" ref="G27" si="16">SUM(G45+G63)</f>
        <v>513</v>
      </c>
      <c r="H27" s="153">
        <f>IF('AW Schüler'!$C165=0,"x",(IF('AW Schüler'!$C183=0,"-",C27/'AW Schüler'!$C183)))</f>
        <v>0.9773755656108597</v>
      </c>
      <c r="I27" s="153">
        <f>IF('AW Schüler'!$F165=0,"x",(IF('AW Schüler'!$F183=0,"-",D27/'AW Schüler'!$F183)))</f>
        <v>1</v>
      </c>
      <c r="J27" s="153">
        <f>IF('AW Schüler'!$I165=0,"x",(IF('AW Schüler'!$I183=0,"-",E27/'AW Schüler'!$I183)))</f>
        <v>0.90658174097664546</v>
      </c>
      <c r="K27" s="153">
        <f>IF('AW Schüler'!$L165=0,"x",(IF('AW Schüler'!$L183=0,"-",F27/'AW Schüler'!$L183)))</f>
        <v>0.77432712215320909</v>
      </c>
      <c r="L27" s="154">
        <f>IF('AW Schüler'!$O165=0,"x",(IF('AW Schüler'!$O183=0,"-",G27/'AW Schüler'!$O183)))</f>
        <v>1</v>
      </c>
    </row>
    <row r="28" spans="1:12" ht="9" customHeight="1">
      <c r="A28" s="21" t="s">
        <v>96</v>
      </c>
      <c r="B28" s="120"/>
      <c r="C28" s="42">
        <f t="shared" si="0"/>
        <v>7782</v>
      </c>
      <c r="D28" s="42">
        <f t="shared" si="0"/>
        <v>7727</v>
      </c>
      <c r="E28" s="42">
        <f t="shared" si="2"/>
        <v>7367</v>
      </c>
      <c r="F28" s="42">
        <f t="shared" si="2"/>
        <v>7564</v>
      </c>
      <c r="G28" s="44">
        <f t="shared" ref="G28" si="17">SUM(G46+G64)</f>
        <v>8587</v>
      </c>
      <c r="H28" s="153">
        <f>IF('AW Schüler'!$C166=0,"x",(IF('AW Schüler'!$C184=0,"-",C28/'AW Schüler'!$C184)))</f>
        <v>0.35951215005081771</v>
      </c>
      <c r="I28" s="153">
        <f>IF('AW Schüler'!$F166=0,"x",(IF('AW Schüler'!$F184=0,"-",D28/'AW Schüler'!$F184)))</f>
        <v>0.36053564762971257</v>
      </c>
      <c r="J28" s="153">
        <f>IF('AW Schüler'!$I166=0,"x",(IF('AW Schüler'!$I184=0,"-",E28/'AW Schüler'!$I184)))</f>
        <v>0.33960263679527958</v>
      </c>
      <c r="K28" s="153">
        <f>IF('AW Schüler'!$L166=0,"x",(IF('AW Schüler'!$L184=0,"-",F28/'AW Schüler'!$L184)))</f>
        <v>0.34144359680404462</v>
      </c>
      <c r="L28" s="154">
        <f>IF('AW Schüler'!$O166=0,"x",(IF('AW Schüler'!$O184=0,"-",G28/'AW Schüler'!$O184)))</f>
        <v>0.3739819694264187</v>
      </c>
    </row>
    <row r="29" spans="1:12" ht="12.75" customHeight="1">
      <c r="A29" s="391" t="s">
        <v>105</v>
      </c>
      <c r="B29" s="392"/>
      <c r="C29" s="392"/>
      <c r="D29" s="392"/>
      <c r="E29" s="392"/>
      <c r="F29" s="392"/>
      <c r="G29" s="392"/>
      <c r="H29" s="392"/>
      <c r="I29" s="392"/>
      <c r="J29" s="392"/>
      <c r="K29" s="392"/>
      <c r="L29" s="393"/>
    </row>
    <row r="30" spans="1:12" ht="9" customHeight="1">
      <c r="A30" s="21" t="s">
        <v>173</v>
      </c>
      <c r="B30" s="120"/>
      <c r="C30" s="23">
        <f>[1]GtS!$E$75</f>
        <v>1097</v>
      </c>
      <c r="D30" s="23">
        <f>[2]GtS!$E$79</f>
        <v>924</v>
      </c>
      <c r="E30" s="23">
        <f>[3]GtS!$E$79</f>
        <v>893</v>
      </c>
      <c r="F30" s="23">
        <f>[4]GtS!$E$79</f>
        <v>765</v>
      </c>
      <c r="G30" s="34">
        <f>[5]GtS!$E$79</f>
        <v>861</v>
      </c>
      <c r="H30" s="155">
        <f>IF('AW Schüler'!$C150=0,"x",(IF('AW Schüler'!$C168=0,"-",C30/'AW Schüler'!$C168)))</f>
        <v>0.15547052154195012</v>
      </c>
      <c r="I30" s="155">
        <f>IF('AW Schüler'!$F150=0,"x",(IF('AW Schüler'!$F168=0,"-",D30/'AW Schüler'!$F168)))</f>
        <v>0.13216993277070518</v>
      </c>
      <c r="J30" s="155">
        <f>IF('AW Schüler'!$I150=0,"x",(IF('AW Schüler'!$I168=0,"-",E30/'AW Schüler'!$I168)))</f>
        <v>0.12819408555842665</v>
      </c>
      <c r="K30" s="155">
        <f>IF('AW Schüler'!$L150=0,"x",(IF('AW Schüler'!$L168=0,"-",F30/'AW Schüler'!$L168)))</f>
        <v>0.10866477272727272</v>
      </c>
      <c r="L30" s="156">
        <f>IF('AW Schüler'!$O150=0,"x",(IF('AW Schüler'!$O168=0,"-",G30/'AW Schüler'!$O168)))</f>
        <v>0.11966643502432245</v>
      </c>
    </row>
    <row r="31" spans="1:12" ht="9" customHeight="1">
      <c r="A31" s="21" t="s">
        <v>81</v>
      </c>
      <c r="B31" s="120"/>
      <c r="C31" s="23">
        <f>[6]GtS!$E$75</f>
        <v>0</v>
      </c>
      <c r="D31" s="23">
        <f>[7]GtS!$E$79</f>
        <v>0</v>
      </c>
      <c r="E31" s="23">
        <f>[8]GtS!$E$79</f>
        <v>0</v>
      </c>
      <c r="F31" s="23" t="str">
        <f>[9]GtS!$E$79</f>
        <v xml:space="preserve">                                      -   </v>
      </c>
      <c r="G31" s="34">
        <f>[10]GtS!$E$79</f>
        <v>0</v>
      </c>
      <c r="H31" s="155">
        <f>IF('AW Schüler'!$C151=0,"x",(IF('AW Schüler'!$C169=0,"-",C31/'AW Schüler'!$C169)))</f>
        <v>0</v>
      </c>
      <c r="I31" s="155">
        <f>IF('AW Schüler'!$F151=0,"x",(IF('AW Schüler'!$F169=0,"-",D31/'AW Schüler'!$F169)))</f>
        <v>0</v>
      </c>
      <c r="J31" s="155">
        <f>IF('AW Schüler'!$I151=0,"x",(IF('AW Schüler'!$I169=0,"-",E31/'AW Schüler'!$I169)))</f>
        <v>0</v>
      </c>
      <c r="K31" s="155" t="e">
        <f>IF('AW Schüler'!$L151=0,"x",(IF('AW Schüler'!$L169=0,"-",F31/'AW Schüler'!$L169)))</f>
        <v>#VALUE!</v>
      </c>
      <c r="L31" s="156">
        <f>IF('AW Schüler'!$O151=0,"x",(IF('AW Schüler'!$O169=0,"-",G31/'AW Schüler'!$O169)))</f>
        <v>0</v>
      </c>
    </row>
    <row r="32" spans="1:12" ht="9" customHeight="1">
      <c r="A32" s="21" t="s">
        <v>82</v>
      </c>
      <c r="B32" s="120"/>
      <c r="C32" s="23">
        <f>[11]GtS!$E$75</f>
        <v>0</v>
      </c>
      <c r="D32" s="23">
        <f>[12]GtS!$E$79</f>
        <v>0</v>
      </c>
      <c r="E32" s="23">
        <f>[13]GtS!$E$79</f>
        <v>0</v>
      </c>
      <c r="F32" s="23">
        <f>[14]GtS!$E$79</f>
        <v>0</v>
      </c>
      <c r="G32" s="34">
        <f>[15]GtS!$E$79</f>
        <v>0</v>
      </c>
      <c r="H32" s="155">
        <f>IF('AW Schüler'!$C152=0,"x",(IF('AW Schüler'!$C170=0,"-",C32/'AW Schüler'!$C170)))</f>
        <v>0</v>
      </c>
      <c r="I32" s="155">
        <f>IF('AW Schüler'!$F152=0,"x",(IF('AW Schüler'!$F170=0,"-",D32/'AW Schüler'!$F170)))</f>
        <v>0</v>
      </c>
      <c r="J32" s="155">
        <f>IF('AW Schüler'!$I152=0,"x",(IF('AW Schüler'!$I170=0,"-",E32/'AW Schüler'!$I170)))</f>
        <v>0</v>
      </c>
      <c r="K32" s="155">
        <f>IF('AW Schüler'!$L152=0,"x",(IF('AW Schüler'!$L170=0,"-",F32/'AW Schüler'!$L170)))</f>
        <v>0</v>
      </c>
      <c r="L32" s="156">
        <f>IF('AW Schüler'!$O152=0,"x",(IF('AW Schüler'!$O170=0,"-",G32/'AW Schüler'!$O170)))</f>
        <v>0</v>
      </c>
    </row>
    <row r="33" spans="1:12" ht="9" customHeight="1">
      <c r="A33" s="21" t="s">
        <v>83</v>
      </c>
      <c r="B33" s="120"/>
      <c r="C33" s="23">
        <f>[16]GtS!$E$75</f>
        <v>0</v>
      </c>
      <c r="D33" s="23">
        <f>[17]GtS!$E$79</f>
        <v>0</v>
      </c>
      <c r="E33" s="23">
        <f>[18]GtS!$E$79</f>
        <v>0</v>
      </c>
      <c r="F33" s="23">
        <f>[19]GtS!$E$79</f>
        <v>0</v>
      </c>
      <c r="G33" s="34">
        <f>[20]GtS!$E$79</f>
        <v>0</v>
      </c>
      <c r="H33" s="155">
        <f>IF('AW Schüler'!$C153=0,"x",(IF('AW Schüler'!$C171=0,"-",C33/'AW Schüler'!$C171)))</f>
        <v>0</v>
      </c>
      <c r="I33" s="155">
        <f>IF('AW Schüler'!$F153=0,"x",(IF('AW Schüler'!$F171=0,"-",D33/'AW Schüler'!$F171)))</f>
        <v>0</v>
      </c>
      <c r="J33" s="155">
        <f>IF('AW Schüler'!$I153=0,"x",(IF('AW Schüler'!$I171=0,"-",E33/'AW Schüler'!$I171)))</f>
        <v>0</v>
      </c>
      <c r="K33" s="155">
        <f>IF('AW Schüler'!$L153=0,"x",(IF('AW Schüler'!$L171=0,"-",F33/'AW Schüler'!$L171)))</f>
        <v>0</v>
      </c>
      <c r="L33" s="156">
        <f>IF('AW Schüler'!$O153=0,"x",(IF('AW Schüler'!$O171=0,"-",G33/'AW Schüler'!$O171)))</f>
        <v>0</v>
      </c>
    </row>
    <row r="34" spans="1:12" ht="9" customHeight="1">
      <c r="A34" s="21" t="s">
        <v>84</v>
      </c>
      <c r="B34" s="120"/>
      <c r="C34" s="23">
        <f>[21]GtS!$E$75</f>
        <v>77</v>
      </c>
      <c r="D34" s="23">
        <f>[22]GtS!$E$79</f>
        <v>75</v>
      </c>
      <c r="E34" s="23">
        <f>[23]GtS!$E$79</f>
        <v>52</v>
      </c>
      <c r="F34" s="23">
        <f>[24]GtS!$E$79</f>
        <v>0</v>
      </c>
      <c r="G34" s="34">
        <f>[25]GtS!$E$79</f>
        <v>86</v>
      </c>
      <c r="H34" s="155">
        <f>IF('AW Schüler'!$C154=0,"x",(IF('AW Schüler'!$C172=0,"-",C34/'AW Schüler'!$C172)))</f>
        <v>0.24367088607594936</v>
      </c>
      <c r="I34" s="155">
        <f>IF('AW Schüler'!$F154=0,"x",(IF('AW Schüler'!$F172=0,"-",D34/'AW Schüler'!$F172)))</f>
        <v>0.23885350318471338</v>
      </c>
      <c r="J34" s="155">
        <f>IF('AW Schüler'!$I154=0,"x",(IF('AW Schüler'!$I172=0,"-",E34/'AW Schüler'!$I172)))</f>
        <v>0.16199376947040497</v>
      </c>
      <c r="K34" s="155">
        <f>IF('AW Schüler'!$L154=0,"x",(IF('AW Schüler'!$L172=0,"-",F34/'AW Schüler'!$L172)))</f>
        <v>0</v>
      </c>
      <c r="L34" s="156">
        <f>IF('AW Schüler'!$O154=0,"x",(IF('AW Schüler'!$O172=0,"-",G34/'AW Schüler'!$O172)))</f>
        <v>0.26219512195121952</v>
      </c>
    </row>
    <row r="35" spans="1:12" ht="9" customHeight="1">
      <c r="A35" s="21" t="s">
        <v>85</v>
      </c>
      <c r="B35" s="120"/>
      <c r="C35" s="124">
        <f>[26]GtS!$E$75</f>
        <v>0</v>
      </c>
      <c r="D35" s="124">
        <f>[27]GtS!$E$79</f>
        <v>0</v>
      </c>
      <c r="E35" s="124">
        <f>[28]GtS!$E$79</f>
        <v>0</v>
      </c>
      <c r="F35" s="124">
        <f>[29]GtS!$E$79</f>
        <v>0</v>
      </c>
      <c r="G35" s="188">
        <f>[30]GtS!$E$79</f>
        <v>0</v>
      </c>
      <c r="H35" s="155">
        <f>IF('AW Schüler'!$C155=0,"x",(IF('AW Schüler'!$C173=0,"-",C35/'AW Schüler'!$C173)))</f>
        <v>0</v>
      </c>
      <c r="I35" s="155">
        <f>IF('AW Schüler'!$F155=0,"x",(IF('AW Schüler'!$F173=0,"-",D35/'AW Schüler'!$F173)))</f>
        <v>0</v>
      </c>
      <c r="J35" s="155">
        <f>IF('AW Schüler'!$I155=0,"x",(IF('AW Schüler'!$I173=0,"-",E35/'AW Schüler'!$I173)))</f>
        <v>0</v>
      </c>
      <c r="K35" s="155">
        <f>IF('AW Schüler'!$L155=0,"x",(IF('AW Schüler'!$L173=0,"-",F35/'AW Schüler'!$L173)))</f>
        <v>0</v>
      </c>
      <c r="L35" s="156">
        <f>IF('AW Schüler'!$O155=0,"x",(IF('AW Schüler'!$O173=0,"-",G35/'AW Schüler'!$O173)))</f>
        <v>0</v>
      </c>
    </row>
    <row r="36" spans="1:12" ht="9" customHeight="1">
      <c r="A36" s="21" t="s">
        <v>86</v>
      </c>
      <c r="B36" s="120"/>
      <c r="C36" s="124">
        <f>[66]GtS!$E$75</f>
        <v>0</v>
      </c>
      <c r="D36" s="124">
        <f>[67]GtS!$E$79</f>
        <v>0</v>
      </c>
      <c r="E36" s="124">
        <f>[68]GtS!$E$79</f>
        <v>0</v>
      </c>
      <c r="F36" s="124">
        <f>[69]GtS!$E$79</f>
        <v>0</v>
      </c>
      <c r="G36" s="188">
        <f>[70]GtS!$E$79</f>
        <v>0</v>
      </c>
      <c r="H36" s="57">
        <f>IF('AW Schüler'!$C156=0,"x",(IF('AW Schüler'!$C174=0,"-",C36/'AW Schüler'!$C174)))</f>
        <v>0</v>
      </c>
      <c r="I36" s="57">
        <f>IF('AW Schüler'!$F156=0,"x",(IF('AW Schüler'!$F174=0,"-",D36/'AW Schüler'!$F174)))</f>
        <v>0</v>
      </c>
      <c r="J36" s="57">
        <f>IF('AW Schüler'!$I156=0,"x",(IF('AW Schüler'!$I174=0,"-",E36/'AW Schüler'!$I174)))</f>
        <v>0</v>
      </c>
      <c r="K36" s="57">
        <f>IF('AW Schüler'!$L156=0,"x",(IF('AW Schüler'!$L174=0,"-",F36/'AW Schüler'!$L174)))</f>
        <v>0</v>
      </c>
      <c r="L36" s="195">
        <f>IF('AW Schüler'!$O156=0,"x",(IF('AW Schüler'!$O174=0,"-",G36/'AW Schüler'!$O174)))</f>
        <v>0</v>
      </c>
    </row>
    <row r="37" spans="1:12" ht="9" customHeight="1">
      <c r="A37" s="21" t="s">
        <v>87</v>
      </c>
      <c r="B37" s="120"/>
      <c r="C37" s="23">
        <f>[31]GtS!$E$75</f>
        <v>0</v>
      </c>
      <c r="D37" s="23">
        <f>[32]GtS!$E$79</f>
        <v>0</v>
      </c>
      <c r="E37" s="23">
        <f>[33]GtS!$E$79</f>
        <v>0</v>
      </c>
      <c r="F37" s="23">
        <f>[34]GtS!$E$79</f>
        <v>0</v>
      </c>
      <c r="G37" s="34">
        <f>[35]GtS!$E$79</f>
        <v>0</v>
      </c>
      <c r="H37" s="57">
        <f>IF('AW Schüler'!$C157=0,"x",(IF('AW Schüler'!$C175=0,"-",C37/'AW Schüler'!$C175)))</f>
        <v>0</v>
      </c>
      <c r="I37" s="57">
        <f>IF('AW Schüler'!$F157=0,"x",(IF('AW Schüler'!$F175=0,"-",D37/'AW Schüler'!$F175)))</f>
        <v>0</v>
      </c>
      <c r="J37" s="57">
        <f>IF('AW Schüler'!$I157=0,"x",(IF('AW Schüler'!$I175=0,"-",E37/'AW Schüler'!$I175)))</f>
        <v>0</v>
      </c>
      <c r="K37" s="57">
        <f>IF('AW Schüler'!$L157=0,"x",(IF('AW Schüler'!$L175=0,"-",F37/'AW Schüler'!$L175)))</f>
        <v>0</v>
      </c>
      <c r="L37" s="195">
        <f>IF('AW Schüler'!$O157=0,"x",(IF('AW Schüler'!$O175=0,"-",G37/'AW Schüler'!$O175)))</f>
        <v>0</v>
      </c>
    </row>
    <row r="38" spans="1:12" ht="9" customHeight="1">
      <c r="A38" s="21" t="s">
        <v>88</v>
      </c>
      <c r="B38" s="120"/>
      <c r="C38" s="124">
        <f>[71]GtS!$E$75</f>
        <v>0</v>
      </c>
      <c r="D38" s="124">
        <f>[72]GtS!$E$79</f>
        <v>0</v>
      </c>
      <c r="E38" s="124">
        <f>[73]GtS!$E$79</f>
        <v>0</v>
      </c>
      <c r="F38" s="124">
        <f>[74]GtS!$E$79</f>
        <v>0</v>
      </c>
      <c r="G38" s="188">
        <f>[75]GtS!$E$79</f>
        <v>0</v>
      </c>
      <c r="H38" s="57">
        <f>IF('AW Schüler'!$C158=0,"x",(IF('AW Schüler'!$C176=0,"-",C38/'AW Schüler'!$C176)))</f>
        <v>0</v>
      </c>
      <c r="I38" s="57">
        <f>IF('AW Schüler'!$F158=0,"x",(IF('AW Schüler'!$F176=0,"-",D38/'AW Schüler'!$F176)))</f>
        <v>0</v>
      </c>
      <c r="J38" s="57">
        <f>IF('AW Schüler'!$I158=0,"x",(IF('AW Schüler'!$I176=0,"-",E38/'AW Schüler'!$I176)))</f>
        <v>0</v>
      </c>
      <c r="K38" s="57">
        <f>IF('AW Schüler'!$L158=0,"x",(IF('AW Schüler'!$L176=0,"-",F38/'AW Schüler'!$L176)))</f>
        <v>0</v>
      </c>
      <c r="L38" s="195">
        <f>IF('AW Schüler'!$O158=0,"x",(IF('AW Schüler'!$O176=0,"-",G38/'AW Schüler'!$O176)))</f>
        <v>0</v>
      </c>
    </row>
    <row r="39" spans="1:12" ht="9" customHeight="1">
      <c r="A39" s="21" t="s">
        <v>89</v>
      </c>
      <c r="B39" s="120"/>
      <c r="C39" s="23">
        <f>[36]GtS!$E$75</f>
        <v>495</v>
      </c>
      <c r="D39" s="23">
        <f>[37]GtS!$E$79</f>
        <v>502</v>
      </c>
      <c r="E39" s="23">
        <f>[38]GtS!$E$79</f>
        <v>236</v>
      </c>
      <c r="F39" s="23">
        <f>[39]GtS!$E$79</f>
        <v>236</v>
      </c>
      <c r="G39" s="34">
        <f>[40]GtS!$E$79</f>
        <v>256</v>
      </c>
      <c r="H39" s="155">
        <f>IF('AW Schüler'!$C159=0,"x",(IF('AW Schüler'!$C177=0,"-",C39/'AW Schüler'!$C177)))</f>
        <v>0.10160098522167488</v>
      </c>
      <c r="I39" s="155">
        <f>IF('AW Schüler'!$F159=0,"x",(IF('AW Schüler'!$F177=0,"-",D39/'AW Schüler'!$F177)))</f>
        <v>0.10430085185954706</v>
      </c>
      <c r="J39" s="155">
        <f>IF('AW Schüler'!$I159=0,"x",(IF('AW Schüler'!$I177=0,"-",E39/'AW Schüler'!$I177)))</f>
        <v>4.8720066061106522E-2</v>
      </c>
      <c r="K39" s="155">
        <f>IF('AW Schüler'!$L159=0,"x",(IF('AW Schüler'!$L177=0,"-",F39/'AW Schüler'!$L177)))</f>
        <v>4.7986986579910532E-2</v>
      </c>
      <c r="L39" s="156">
        <f>IF('AW Schüler'!$O159=0,"x",(IF('AW Schüler'!$O177=0,"-",G39/'AW Schüler'!$O177)))</f>
        <v>5.0864295648718458E-2</v>
      </c>
    </row>
    <row r="40" spans="1:12" ht="9" customHeight="1">
      <c r="A40" s="21" t="s">
        <v>90</v>
      </c>
      <c r="B40" s="120"/>
      <c r="C40" s="23">
        <f>[41]GtS!$E$75</f>
        <v>317</v>
      </c>
      <c r="D40" s="23">
        <f>[42]GtS!$E$79</f>
        <v>299</v>
      </c>
      <c r="E40" s="23">
        <f>[43]GtS!$E$79</f>
        <v>294</v>
      </c>
      <c r="F40" s="23">
        <f>[44]GtS!$E$79</f>
        <v>330</v>
      </c>
      <c r="G40" s="34">
        <f>[45]GtS!$E$79</f>
        <v>378</v>
      </c>
      <c r="H40" s="155">
        <f>IF('AW Schüler'!$C160=0,"x",(IF('AW Schüler'!$C178=0,"-",C40/'AW Schüler'!$C178)))</f>
        <v>0.41276041666666669</v>
      </c>
      <c r="I40" s="155">
        <f>IF('AW Schüler'!$F160=0,"x",(IF('AW Schüler'!$F178=0,"-",D40/'AW Schüler'!$F178)))</f>
        <v>0.38382541720154045</v>
      </c>
      <c r="J40" s="155">
        <f>IF('AW Schüler'!$I160=0,"x",(IF('AW Schüler'!$I178=0,"-",E40/'AW Schüler'!$I178)))</f>
        <v>0.38132295719844356</v>
      </c>
      <c r="K40" s="155">
        <f>IF('AW Schüler'!$L160=0,"x",(IF('AW Schüler'!$L178=0,"-",F40/'AW Schüler'!$L178)))</f>
        <v>0.43307086614173229</v>
      </c>
      <c r="L40" s="156">
        <f>IF('AW Schüler'!$O160=0,"x",(IF('AW Schüler'!$O178=0,"-",G40/'AW Schüler'!$O178)))</f>
        <v>0.46898263027295284</v>
      </c>
    </row>
    <row r="41" spans="1:12" ht="9" customHeight="1">
      <c r="A41" s="21" t="s">
        <v>91</v>
      </c>
      <c r="B41" s="120"/>
      <c r="C41" s="23">
        <f>[46]GtS!$E$75</f>
        <v>0</v>
      </c>
      <c r="D41" s="23">
        <f>[47]GtS!$E$79</f>
        <v>0</v>
      </c>
      <c r="E41" s="23">
        <f>[48]GtS!$E$79</f>
        <v>0</v>
      </c>
      <c r="F41" s="23">
        <f>[49]GtS!$E$79</f>
        <v>0</v>
      </c>
      <c r="G41" s="34">
        <f>[50]GtS!$E$79</f>
        <v>0</v>
      </c>
      <c r="H41" s="155">
        <f>IF('AW Schüler'!$C161=0,"x",(IF('AW Schüler'!$C179=0,"-",C41/'AW Schüler'!$C179)))</f>
        <v>0</v>
      </c>
      <c r="I41" s="155">
        <f>IF('AW Schüler'!$F161=0,"x",(IF('AW Schüler'!$F179=0,"-",D41/'AW Schüler'!$F179)))</f>
        <v>0</v>
      </c>
      <c r="J41" s="155">
        <f>IF('AW Schüler'!$I161=0,"x",(IF('AW Schüler'!$I179=0,"-",E41/'AW Schüler'!$I179)))</f>
        <v>0</v>
      </c>
      <c r="K41" s="155">
        <f>IF('AW Schüler'!$L161=0,"x",(IF('AW Schüler'!$L179=0,"-",F41/'AW Schüler'!$L179)))</f>
        <v>0</v>
      </c>
      <c r="L41" s="156">
        <f>IF('AW Schüler'!$O161=0,"x",(IF('AW Schüler'!$O179=0,"-",G41/'AW Schüler'!$O179)))</f>
        <v>0</v>
      </c>
    </row>
    <row r="42" spans="1:12" ht="9" customHeight="1">
      <c r="A42" s="21" t="s">
        <v>243</v>
      </c>
      <c r="B42" s="120"/>
      <c r="C42" s="36">
        <f>[51]GtS!$E$75</f>
        <v>0</v>
      </c>
      <c r="D42" s="36">
        <f>[52]GtS!$E$79</f>
        <v>0</v>
      </c>
      <c r="E42" s="36">
        <f>[53]GtS!$E$79</f>
        <v>0</v>
      </c>
      <c r="F42" s="36">
        <f>[54]GtS!$E$79</f>
        <v>0</v>
      </c>
      <c r="G42" s="37">
        <f>[55]GtS!$E$79</f>
        <v>0</v>
      </c>
      <c r="H42" s="57">
        <f>IF('AW Schüler'!$C162=0,"x",(IF('AW Schüler'!$C180=0,"-",C42/'AW Schüler'!$C180)))</f>
        <v>0</v>
      </c>
      <c r="I42" s="57">
        <f>IF('AW Schüler'!$F162=0,"x",(IF('AW Schüler'!$F180=0,"-",D42/'AW Schüler'!$F180)))</f>
        <v>0</v>
      </c>
      <c r="J42" s="57">
        <f>IF('AW Schüler'!$I162=0,"x",(IF('AW Schüler'!$I180=0,"-",E42/'AW Schüler'!$I180)))</f>
        <v>0</v>
      </c>
      <c r="K42" s="57">
        <f>IF('AW Schüler'!$L162=0,"x",(IF('AW Schüler'!$L180=0,"-",F42/'AW Schüler'!$L180)))</f>
        <v>0</v>
      </c>
      <c r="L42" s="195">
        <f>IF('AW Schüler'!$O162=0,"x",(IF('AW Schüler'!$O180=0,"-",G42/'AW Schüler'!$O180)))</f>
        <v>0</v>
      </c>
    </row>
    <row r="43" spans="1:12" ht="9" customHeight="1">
      <c r="A43" s="21" t="s">
        <v>93</v>
      </c>
      <c r="B43" s="120"/>
      <c r="C43" s="124">
        <f>[76]GtS!$E$75</f>
        <v>0</v>
      </c>
      <c r="D43" s="124">
        <f>[77]GtS!$E$79</f>
        <v>0</v>
      </c>
      <c r="E43" s="124">
        <f>[78]GtS!$E$79</f>
        <v>0</v>
      </c>
      <c r="F43" s="124">
        <f>[79]GtS!$E$79</f>
        <v>0</v>
      </c>
      <c r="G43" s="188">
        <f>[80]GtS!$E$79</f>
        <v>0</v>
      </c>
      <c r="H43" s="57">
        <f>IF('AW Schüler'!$C163=0,"x",(IF('AW Schüler'!$C181=0,"-",C43/'AW Schüler'!$C181)))</f>
        <v>0</v>
      </c>
      <c r="I43" s="57">
        <f>IF('AW Schüler'!$F163=0,"x",(IF('AW Schüler'!$F181=0,"-",D43/'AW Schüler'!$F181)))</f>
        <v>0</v>
      </c>
      <c r="J43" s="57">
        <f>IF('AW Schüler'!$I163=0,"x",(IF('AW Schüler'!$I181=0,"-",E43/'AW Schüler'!$I181)))</f>
        <v>0</v>
      </c>
      <c r="K43" s="57">
        <f>IF('AW Schüler'!$L163=0,"x",(IF('AW Schüler'!$L181=0,"-",F43/'AW Schüler'!$L181)))</f>
        <v>0</v>
      </c>
      <c r="L43" s="195">
        <f>IF('AW Schüler'!$O163=0,"x",(IF('AW Schüler'!$O181=0,"-",G43/'AW Schüler'!$O181)))</f>
        <v>0</v>
      </c>
    </row>
    <row r="44" spans="1:12" ht="9" customHeight="1">
      <c r="A44" s="21" t="s">
        <v>94</v>
      </c>
      <c r="B44" s="120"/>
      <c r="C44" s="23">
        <f>[56]GtS!$E$75</f>
        <v>0</v>
      </c>
      <c r="D44" s="23">
        <f>[57]GtS!$E$79</f>
        <v>0</v>
      </c>
      <c r="E44" s="23">
        <f>[58]GtS!$E$79</f>
        <v>0</v>
      </c>
      <c r="F44" s="23">
        <f>[59]GtS!$E$79</f>
        <v>0</v>
      </c>
      <c r="G44" s="34">
        <f>[60]GtS!$E$79</f>
        <v>0</v>
      </c>
      <c r="H44" s="155">
        <f>IF('AW Schüler'!$C164=0,"x",(IF('AW Schüler'!$C182=0,"-",C44/'AW Schüler'!$C182)))</f>
        <v>0</v>
      </c>
      <c r="I44" s="155">
        <f>IF('AW Schüler'!$F164=0,"x",(IF('AW Schüler'!$F182=0,"-",D44/'AW Schüler'!$F182)))</f>
        <v>0</v>
      </c>
      <c r="J44" s="155">
        <f>IF('AW Schüler'!$I164=0,"x",(IF('AW Schüler'!$I182=0,"-",E44/'AW Schüler'!$I182)))</f>
        <v>0</v>
      </c>
      <c r="K44" s="155">
        <f>IF('AW Schüler'!$L164=0,"x",(IF('AW Schüler'!$L182=0,"-",F44/'AW Schüler'!$L182)))</f>
        <v>0</v>
      </c>
      <c r="L44" s="156">
        <f>IF('AW Schüler'!$O164=0,"x",(IF('AW Schüler'!$O182=0,"-",G44/'AW Schüler'!$O182)))</f>
        <v>0</v>
      </c>
    </row>
    <row r="45" spans="1:12" ht="9" customHeight="1">
      <c r="A45" s="21" t="s">
        <v>95</v>
      </c>
      <c r="B45" s="120"/>
      <c r="C45" s="23">
        <f>[61]GtS!$E$75</f>
        <v>308</v>
      </c>
      <c r="D45" s="23">
        <f>[62]GtS!$E$79</f>
        <v>316</v>
      </c>
      <c r="E45" s="23">
        <f>[63]GtS!$E$79</f>
        <v>343</v>
      </c>
      <c r="F45" s="23">
        <f>[64]GtS!$E$79</f>
        <v>263</v>
      </c>
      <c r="G45" s="34">
        <f>[65]GtS!$E$79</f>
        <v>350</v>
      </c>
      <c r="H45" s="155">
        <f>IF('AW Schüler'!$C165=0,"x",(IF('AW Schüler'!$C183=0,"-",C45/'AW Schüler'!$C183)))</f>
        <v>0.69683257918552033</v>
      </c>
      <c r="I45" s="155">
        <f>IF('AW Schüler'!$F165=0,"x",(IF('AW Schüler'!$F183=0,"-",D45/'AW Schüler'!$F183)))</f>
        <v>0.73317865429234341</v>
      </c>
      <c r="J45" s="155">
        <f>IF('AW Schüler'!$I165=0,"x",(IF('AW Schüler'!$I183=0,"-",E45/'AW Schüler'!$I183)))</f>
        <v>0.7282377919320594</v>
      </c>
      <c r="K45" s="155">
        <f>IF('AW Schüler'!$L165=0,"x",(IF('AW Schüler'!$L183=0,"-",F45/'AW Schüler'!$L183)))</f>
        <v>0.54451345755693581</v>
      </c>
      <c r="L45" s="156">
        <f>IF('AW Schüler'!$O165=0,"x",(IF('AW Schüler'!$O183=0,"-",G45/'AW Schüler'!$O183)))</f>
        <v>0.68226120857699801</v>
      </c>
    </row>
    <row r="46" spans="1:12" ht="9" customHeight="1">
      <c r="A46" s="21" t="s">
        <v>96</v>
      </c>
      <c r="B46" s="120"/>
      <c r="C46" s="23">
        <f>SUM(C30:C45)</f>
        <v>2294</v>
      </c>
      <c r="D46" s="23">
        <f>SUM(D30:D45)</f>
        <v>2116</v>
      </c>
      <c r="E46" s="23">
        <f>SUM(E30:E45)</f>
        <v>1818</v>
      </c>
      <c r="F46" s="23">
        <f>SUM(F30:F45)</f>
        <v>1594</v>
      </c>
      <c r="G46" s="34">
        <f>SUM(G30:G45)</f>
        <v>1931</v>
      </c>
      <c r="H46" s="155">
        <f>IF('AW Schüler'!$C166=0,"x",(IF('AW Schüler'!$C184=0,"-",C46/'AW Schüler'!$C184)))</f>
        <v>0.10597800979395731</v>
      </c>
      <c r="I46" s="155">
        <f>IF('AW Schüler'!$F166=0,"x",(IF('AW Schüler'!$F184=0,"-",D46/'AW Schüler'!$F184)))</f>
        <v>9.8730869727510259E-2</v>
      </c>
      <c r="J46" s="155">
        <f>IF('AW Schüler'!$I166=0,"x",(IF('AW Schüler'!$I184=0,"-",E46/'AW Schüler'!$I184)))</f>
        <v>8.3805835983957952E-2</v>
      </c>
      <c r="K46" s="155">
        <f>IF('AW Schüler'!$L166=0,"x",(IF('AW Schüler'!$L184=0,"-",F46/'AW Schüler'!$L184)))</f>
        <v>7.1954137137182322E-2</v>
      </c>
      <c r="L46" s="156">
        <f>IF('AW Schüler'!$O166=0,"x",(IF('AW Schüler'!$O184=0,"-",G46/'AW Schüler'!$O184)))</f>
        <v>8.4099124602586992E-2</v>
      </c>
    </row>
    <row r="47" spans="1:12" ht="12.75" customHeight="1">
      <c r="A47" s="391" t="s">
        <v>100</v>
      </c>
      <c r="B47" s="392"/>
      <c r="C47" s="392"/>
      <c r="D47" s="392"/>
      <c r="E47" s="392"/>
      <c r="F47" s="392"/>
      <c r="G47" s="392"/>
      <c r="H47" s="392"/>
      <c r="I47" s="392"/>
      <c r="J47" s="392"/>
      <c r="K47" s="392"/>
      <c r="L47" s="393"/>
    </row>
    <row r="48" spans="1:12" ht="9" customHeight="1">
      <c r="A48" s="21" t="s">
        <v>173</v>
      </c>
      <c r="B48" s="120"/>
      <c r="C48" s="23">
        <f>[1]GtS!$H$75</f>
        <v>308</v>
      </c>
      <c r="D48" s="23">
        <f>[2]GtS!$H$79</f>
        <v>309</v>
      </c>
      <c r="E48" s="23">
        <f>[3]GtS!$H$79</f>
        <v>305</v>
      </c>
      <c r="F48" s="23">
        <f>[4]GtS!$H$79</f>
        <v>421</v>
      </c>
      <c r="G48" s="34">
        <f>[5]GtS!$H$79</f>
        <v>444</v>
      </c>
      <c r="H48" s="155">
        <f>IF('AW Schüler'!$C150=0,"x",(IF('AW Schüler'!$C168=0,"-",C48/'AW Schüler'!$C168)))</f>
        <v>4.3650793650793648E-2</v>
      </c>
      <c r="I48" s="155">
        <f>IF('AW Schüler'!$F150=0,"x",(IF('AW Schüler'!$F168=0,"-",D48/'AW Schüler'!$F168)))</f>
        <v>4.4199685309683878E-2</v>
      </c>
      <c r="J48" s="155">
        <f>IF('AW Schüler'!$I150=0,"x",(IF('AW Schüler'!$I168=0,"-",E48/'AW Schüler'!$I168)))</f>
        <v>4.3784094171691074E-2</v>
      </c>
      <c r="K48" s="155">
        <f>IF('AW Schüler'!$L150=0,"x",(IF('AW Schüler'!$L168=0,"-",F48/'AW Schüler'!$L168)))</f>
        <v>5.9801136363636362E-2</v>
      </c>
      <c r="L48" s="156">
        <f>IF('AW Schüler'!$O150=0,"x",(IF('AW Schüler'!$O168=0,"-",G48/'AW Schüler'!$O168)))</f>
        <v>6.1709520500347462E-2</v>
      </c>
    </row>
    <row r="49" spans="1:12" ht="9" customHeight="1">
      <c r="A49" s="21" t="s">
        <v>81</v>
      </c>
      <c r="B49" s="120"/>
      <c r="C49" s="23">
        <f>[6]GtS!$H$75</f>
        <v>57</v>
      </c>
      <c r="D49" s="23">
        <f>[7]GtS!$H$79</f>
        <v>58</v>
      </c>
      <c r="E49" s="23">
        <f>[8]GtS!$H$79</f>
        <v>56</v>
      </c>
      <c r="F49" s="23">
        <f>[9]GtS!$H$79</f>
        <v>131</v>
      </c>
      <c r="G49" s="34">
        <f>[10]GtS!$H$79</f>
        <v>594</v>
      </c>
      <c r="H49" s="155">
        <f>IF('AW Schüler'!$C151=0,"x",(IF('AW Schüler'!$C169=0,"-",C49/'AW Schüler'!$C169)))</f>
        <v>2.2556390977443608E-2</v>
      </c>
      <c r="I49" s="155">
        <f>IF('AW Schüler'!$F151=0,"x",(IF('AW Schüler'!$F169=0,"-",D49/'AW Schüler'!$F169)))</f>
        <v>2.3255813953488372E-2</v>
      </c>
      <c r="J49" s="155">
        <f>IF('AW Schüler'!$I151=0,"x",(IF('AW Schüler'!$I169=0,"-",E49/'AW Schüler'!$I169)))</f>
        <v>2.1909233176838811E-2</v>
      </c>
      <c r="K49" s="155">
        <f>IF('AW Schüler'!$L151=0,"x",(IF('AW Schüler'!$L169=0,"-",F49/'AW Schüler'!$L169)))</f>
        <v>5.0893550893550896E-2</v>
      </c>
      <c r="L49" s="156">
        <f>IF('AW Schüler'!$O151=0,"x",(IF('AW Schüler'!$O169=0,"-",G49/'AW Schüler'!$O169)))</f>
        <v>0.21359223300970873</v>
      </c>
    </row>
    <row r="50" spans="1:12" ht="9" customHeight="1">
      <c r="A50" s="21" t="s">
        <v>82</v>
      </c>
      <c r="B50" s="120"/>
      <c r="C50" s="23">
        <f>[11]GtS!$H$75</f>
        <v>1126</v>
      </c>
      <c r="D50" s="23">
        <f>[12]GtS!$H$79</f>
        <v>1145</v>
      </c>
      <c r="E50" s="23">
        <f>[13]GtS!$H$79</f>
        <v>1177</v>
      </c>
      <c r="F50" s="23">
        <f>[14]GtS!$H$79</f>
        <v>1330</v>
      </c>
      <c r="G50" s="34">
        <f>[15]GtS!$H$79</f>
        <v>1363</v>
      </c>
      <c r="H50" s="155">
        <f>IF('AW Schüler'!$C152=0,"x",(IF('AW Schüler'!$C170=0,"-",C50/'AW Schüler'!$C170)))</f>
        <v>0.72974724562540505</v>
      </c>
      <c r="I50" s="155">
        <f>IF('AW Schüler'!$F152=0,"x",(IF('AW Schüler'!$F170=0,"-",D50/'AW Schüler'!$F170)))</f>
        <v>0.76486305945223776</v>
      </c>
      <c r="J50" s="155">
        <f>IF('AW Schüler'!$I152=0,"x",(IF('AW Schüler'!$I170=0,"-",E50/'AW Schüler'!$I170)))</f>
        <v>0.75303902751119645</v>
      </c>
      <c r="K50" s="155">
        <f>IF('AW Schüler'!$L152=0,"x",(IF('AW Schüler'!$L170=0,"-",F50/'AW Schüler'!$L170)))</f>
        <v>0.84177215189873422</v>
      </c>
      <c r="L50" s="156">
        <f>IF('AW Schüler'!$O152=0,"x",(IF('AW Schüler'!$O170=0,"-",G50/'AW Schüler'!$O170)))</f>
        <v>0.81616766467065871</v>
      </c>
    </row>
    <row r="51" spans="1:12" ht="9" customHeight="1">
      <c r="A51" s="21" t="s">
        <v>83</v>
      </c>
      <c r="B51" s="120"/>
      <c r="C51" s="23">
        <f>[16]GtS!$H$75</f>
        <v>374</v>
      </c>
      <c r="D51" s="23">
        <f>[17]GtS!$H$79</f>
        <v>367</v>
      </c>
      <c r="E51" s="23">
        <f>[18]GtS!$H$79</f>
        <v>371</v>
      </c>
      <c r="F51" s="23">
        <f>[19]GtS!$H$79</f>
        <v>405</v>
      </c>
      <c r="G51" s="34">
        <f>[20]GtS!$H$79</f>
        <v>420</v>
      </c>
      <c r="H51" s="155">
        <f>IF('AW Schüler'!$C153=0,"x",(IF('AW Schüler'!$C171=0,"-",C51/'AW Schüler'!$C171)))</f>
        <v>0.7857142857142857</v>
      </c>
      <c r="I51" s="155">
        <f>IF('AW Schüler'!$F153=0,"x",(IF('AW Schüler'!$F171=0,"-",D51/'AW Schüler'!$F171)))</f>
        <v>0.8191964285714286</v>
      </c>
      <c r="J51" s="155">
        <f>IF('AW Schüler'!$I153=0,"x",(IF('AW Schüler'!$I171=0,"-",E51/'AW Schüler'!$I171)))</f>
        <v>0.82261640798226165</v>
      </c>
      <c r="K51" s="155">
        <f>IF('AW Schüler'!$L153=0,"x",(IF('AW Schüler'!$L171=0,"-",F51/'AW Schüler'!$L171)))</f>
        <v>0.80516898608349896</v>
      </c>
      <c r="L51" s="156">
        <f>IF('AW Schüler'!$O153=0,"x",(IF('AW Schüler'!$O171=0,"-",G51/'AW Schüler'!$O171)))</f>
        <v>0.83333333333333337</v>
      </c>
    </row>
    <row r="52" spans="1:12" ht="9" customHeight="1">
      <c r="A52" s="21" t="s">
        <v>84</v>
      </c>
      <c r="B52" s="120"/>
      <c r="C52" s="23">
        <f>[21]GtS!$H$75</f>
        <v>0</v>
      </c>
      <c r="D52" s="23">
        <f>[22]GtS!$H$79</f>
        <v>0</v>
      </c>
      <c r="E52" s="23">
        <f>[23]GtS!$H$79</f>
        <v>0</v>
      </c>
      <c r="F52" s="23">
        <f>[24]GtS!$H$79</f>
        <v>0</v>
      </c>
      <c r="G52" s="34">
        <f>[25]GtS!$H$79</f>
        <v>0</v>
      </c>
      <c r="H52" s="155">
        <f>IF('AW Schüler'!$C154=0,"x",(IF('AW Schüler'!$C172=0,"-",C52/'AW Schüler'!$C172)))</f>
        <v>0</v>
      </c>
      <c r="I52" s="155">
        <f>IF('AW Schüler'!$F154=0,"x",(IF('AW Schüler'!$F172=0,"-",D52/'AW Schüler'!$F172)))</f>
        <v>0</v>
      </c>
      <c r="J52" s="155">
        <f>IF('AW Schüler'!$I154=0,"x",(IF('AW Schüler'!$I172=0,"-",E52/'AW Schüler'!$I172)))</f>
        <v>0</v>
      </c>
      <c r="K52" s="155">
        <f>IF('AW Schüler'!$L154=0,"x",(IF('AW Schüler'!$L172=0,"-",F52/'AW Schüler'!$L172)))</f>
        <v>0</v>
      </c>
      <c r="L52" s="156">
        <f>IF('AW Schüler'!$O154=0,"x",(IF('AW Schüler'!$O172=0,"-",G52/'AW Schüler'!$O172)))</f>
        <v>0</v>
      </c>
    </row>
    <row r="53" spans="1:12" ht="9" customHeight="1">
      <c r="A53" s="21" t="s">
        <v>85</v>
      </c>
      <c r="B53" s="120"/>
      <c r="C53" s="124">
        <f>[26]GtS!$H$75</f>
        <v>0</v>
      </c>
      <c r="D53" s="23">
        <f>[27]GtS!$H$79</f>
        <v>0</v>
      </c>
      <c r="E53" s="23">
        <f>[28]GtS!$H$79</f>
        <v>0</v>
      </c>
      <c r="F53" s="23">
        <f>[29]GtS!$H$79</f>
        <v>0</v>
      </c>
      <c r="G53" s="34">
        <f>[30]GtS!$H$79</f>
        <v>0</v>
      </c>
      <c r="H53" s="155">
        <f>IF('AW Schüler'!$C155=0,"x",(IF('AW Schüler'!$C173=0,"-",C53/'AW Schüler'!$C173)))</f>
        <v>0</v>
      </c>
      <c r="I53" s="155">
        <f>IF('AW Schüler'!$F155=0,"x",(IF('AW Schüler'!$F173=0,"-",D53/'AW Schüler'!$F173)))</f>
        <v>0</v>
      </c>
      <c r="J53" s="155">
        <f>IF('AW Schüler'!$I155=0,"x",(IF('AW Schüler'!$I173=0,"-",E53/'AW Schüler'!$I173)))</f>
        <v>0</v>
      </c>
      <c r="K53" s="155">
        <f>IF('AW Schüler'!$L155=0,"x",(IF('AW Schüler'!$L173=0,"-",F53/'AW Schüler'!$L173)))</f>
        <v>0</v>
      </c>
      <c r="L53" s="156">
        <f>IF('AW Schüler'!$O155=0,"x",(IF('AW Schüler'!$O173=0,"-",G53/'AW Schüler'!$O173)))</f>
        <v>0</v>
      </c>
    </row>
    <row r="54" spans="1:12" ht="9" customHeight="1">
      <c r="A54" s="21" t="s">
        <v>86</v>
      </c>
      <c r="B54" s="120"/>
      <c r="C54" s="124">
        <f>[66]GtS!$H$75</f>
        <v>0</v>
      </c>
      <c r="D54" s="124">
        <f>[67]GtS!$H$79</f>
        <v>0</v>
      </c>
      <c r="E54" s="124">
        <f>[68]GtS!$H$79</f>
        <v>0</v>
      </c>
      <c r="F54" s="124">
        <f>[69]GtS!$H$79</f>
        <v>0</v>
      </c>
      <c r="G54" s="188">
        <f>[70]GtS!$H$79</f>
        <v>0</v>
      </c>
      <c r="H54" s="57">
        <f>IF('AW Schüler'!$C156=0,"x",(IF('AW Schüler'!$C174=0,"-",C54/'AW Schüler'!$C174)))</f>
        <v>0</v>
      </c>
      <c r="I54" s="57">
        <f>IF('AW Schüler'!$F156=0,"x",(IF('AW Schüler'!$F174=0,"-",D54/'AW Schüler'!$F174)))</f>
        <v>0</v>
      </c>
      <c r="J54" s="57">
        <f>IF('AW Schüler'!$I156=0,"x",(IF('AW Schüler'!$I174=0,"-",E54/'AW Schüler'!$I174)))</f>
        <v>0</v>
      </c>
      <c r="K54" s="57">
        <f>IF('AW Schüler'!$L156=0,"x",(IF('AW Schüler'!$L174=0,"-",F54/'AW Schüler'!$L174)))</f>
        <v>0</v>
      </c>
      <c r="L54" s="195">
        <f>IF('AW Schüler'!$O156=0,"x",(IF('AW Schüler'!$O174=0,"-",G54/'AW Schüler'!$O174)))</f>
        <v>0</v>
      </c>
    </row>
    <row r="55" spans="1:12" ht="9" customHeight="1">
      <c r="A55" s="21" t="s">
        <v>87</v>
      </c>
      <c r="B55" s="120"/>
      <c r="C55" s="23">
        <f>[31]GtS!$H$75</f>
        <v>0</v>
      </c>
      <c r="D55" s="23">
        <f>[32]GtS!$H$79</f>
        <v>0</v>
      </c>
      <c r="E55" s="23">
        <f>[33]GtS!$H$79</f>
        <v>0</v>
      </c>
      <c r="F55" s="23">
        <f>[34]GtS!$H$79</f>
        <v>0</v>
      </c>
      <c r="G55" s="34">
        <f>[35]GtS!$H$79</f>
        <v>0</v>
      </c>
      <c r="H55" s="57">
        <f>IF('AW Schüler'!$C157=0,"x",(IF('AW Schüler'!$C175=0,"-",C55/'AW Schüler'!$C175)))</f>
        <v>0</v>
      </c>
      <c r="I55" s="57">
        <f>IF('AW Schüler'!$F157=0,"x",(IF('AW Schüler'!$F175=0,"-",D55/'AW Schüler'!$F175)))</f>
        <v>0</v>
      </c>
      <c r="J55" s="57">
        <f>IF('AW Schüler'!$I157=0,"x",(IF('AW Schüler'!$I175=0,"-",E55/'AW Schüler'!$I175)))</f>
        <v>0</v>
      </c>
      <c r="K55" s="57">
        <f>IF('AW Schüler'!$L157=0,"x",(IF('AW Schüler'!$L175=0,"-",F55/'AW Schüler'!$L175)))</f>
        <v>0</v>
      </c>
      <c r="L55" s="195">
        <f>IF('AW Schüler'!$O157=0,"x",(IF('AW Schüler'!$O175=0,"-",G55/'AW Schüler'!$O175)))</f>
        <v>0</v>
      </c>
    </row>
    <row r="56" spans="1:12" ht="9" customHeight="1">
      <c r="A56" s="21" t="s">
        <v>88</v>
      </c>
      <c r="B56" s="120"/>
      <c r="C56" s="124">
        <f>[71]GtS!$H$75</f>
        <v>0</v>
      </c>
      <c r="D56" s="124">
        <f>[72]GtS!$H$79</f>
        <v>0</v>
      </c>
      <c r="E56" s="124">
        <f>[73]GtS!$H$79</f>
        <v>0</v>
      </c>
      <c r="F56" s="124">
        <f>[74]GtS!$H$79</f>
        <v>0</v>
      </c>
      <c r="G56" s="188">
        <f>[75]GtS!$H$79</f>
        <v>0</v>
      </c>
      <c r="H56" s="57">
        <f>IF('AW Schüler'!$C158=0,"x",(IF('AW Schüler'!$C176=0,"-",C56/'AW Schüler'!$C176)))</f>
        <v>0</v>
      </c>
      <c r="I56" s="57">
        <f>IF('AW Schüler'!$F158=0,"x",(IF('AW Schüler'!$F176=0,"-",D56/'AW Schüler'!$F176)))</f>
        <v>0</v>
      </c>
      <c r="J56" s="57">
        <f>IF('AW Schüler'!$I158=0,"x",(IF('AW Schüler'!$I176=0,"-",E56/'AW Schüler'!$I176)))</f>
        <v>0</v>
      </c>
      <c r="K56" s="57">
        <f>IF('AW Schüler'!$L158=0,"x",(IF('AW Schüler'!$L176=0,"-",F56/'AW Schüler'!$L176)))</f>
        <v>0</v>
      </c>
      <c r="L56" s="195">
        <f>IF('AW Schüler'!$O158=0,"x",(IF('AW Schüler'!$O176=0,"-",G56/'AW Schüler'!$O176)))</f>
        <v>0</v>
      </c>
    </row>
    <row r="57" spans="1:12" ht="9" customHeight="1">
      <c r="A57" s="21" t="s">
        <v>89</v>
      </c>
      <c r="B57" s="120"/>
      <c r="C57" s="23">
        <f>[36]GtS!$H$75</f>
        <v>3074</v>
      </c>
      <c r="D57" s="23">
        <f>[37]GtS!$H$79</f>
        <v>3134</v>
      </c>
      <c r="E57" s="23">
        <f>[38]GtS!$H$79</f>
        <v>3039</v>
      </c>
      <c r="F57" s="23">
        <f>[39]GtS!$H$79</f>
        <v>3050</v>
      </c>
      <c r="G57" s="34">
        <f>[40]GtS!$H$79</f>
        <v>3090</v>
      </c>
      <c r="H57" s="155">
        <f>IF('AW Schüler'!$C159=0,"x",(IF('AW Schüler'!$C177=0,"-",C57/'AW Schüler'!$C177)))</f>
        <v>0.63095238095238093</v>
      </c>
      <c r="I57" s="155">
        <f>IF('AW Schüler'!$F159=0,"x",(IF('AW Schüler'!$F177=0,"-",D57/'AW Schüler'!$F177)))</f>
        <v>0.65115312694784955</v>
      </c>
      <c r="J57" s="155">
        <f>IF('AW Schüler'!$I159=0,"x",(IF('AW Schüler'!$I177=0,"-",E57/'AW Schüler'!$I177)))</f>
        <v>0.62737407101568954</v>
      </c>
      <c r="K57" s="155">
        <f>IF('AW Schüler'!$L159=0,"x",(IF('AW Schüler'!$L177=0,"-",F57/'AW Schüler'!$L177)))</f>
        <v>0.62017080113867429</v>
      </c>
      <c r="L57" s="156">
        <f>IF('AW Schüler'!$O159=0,"x",(IF('AW Schüler'!$O177=0,"-",G57/'AW Schüler'!$O177)))</f>
        <v>0.61394794357242199</v>
      </c>
    </row>
    <row r="58" spans="1:12" ht="9" customHeight="1">
      <c r="A58" s="21" t="s">
        <v>90</v>
      </c>
      <c r="B58" s="120"/>
      <c r="C58" s="23">
        <f>[41]GtS!$H$75</f>
        <v>0</v>
      </c>
      <c r="D58" s="23">
        <f>[42]GtS!$H$79</f>
        <v>0</v>
      </c>
      <c r="E58" s="23">
        <f>[43]GtS!$H$79</f>
        <v>0</v>
      </c>
      <c r="F58" s="23">
        <f>[44]GtS!$H$79</f>
        <v>0</v>
      </c>
      <c r="G58" s="34">
        <f>[45]GtS!$H$79</f>
        <v>0</v>
      </c>
      <c r="H58" s="155">
        <f>IF('AW Schüler'!$C160=0,"x",(IF('AW Schüler'!$C178=0,"-",C58/'AW Schüler'!$C178)))</f>
        <v>0</v>
      </c>
      <c r="I58" s="155">
        <f>IF('AW Schüler'!$F160=0,"x",(IF('AW Schüler'!$F178=0,"-",D58/'AW Schüler'!$F178)))</f>
        <v>0</v>
      </c>
      <c r="J58" s="155">
        <f>IF('AW Schüler'!$I160=0,"x",(IF('AW Schüler'!$I178=0,"-",E58/'AW Schüler'!$I178)))</f>
        <v>0</v>
      </c>
      <c r="K58" s="155">
        <f>IF('AW Schüler'!$L160=0,"x",(IF('AW Schüler'!$L178=0,"-",F58/'AW Schüler'!$L178)))</f>
        <v>0</v>
      </c>
      <c r="L58" s="156">
        <f>IF('AW Schüler'!$O160=0,"x",(IF('AW Schüler'!$O178=0,"-",G58/'AW Schüler'!$O178)))</f>
        <v>0</v>
      </c>
    </row>
    <row r="59" spans="1:12" ht="9" customHeight="1">
      <c r="A59" s="21" t="s">
        <v>91</v>
      </c>
      <c r="B59" s="120"/>
      <c r="C59" s="23">
        <f>[46]GtS!$H$75</f>
        <v>0</v>
      </c>
      <c r="D59" s="23">
        <f>[47]GtS!$H$79</f>
        <v>73</v>
      </c>
      <c r="E59" s="23">
        <f>[48]GtS!$H$79</f>
        <v>103</v>
      </c>
      <c r="F59" s="23">
        <f>[49]GtS!$H$79</f>
        <v>110</v>
      </c>
      <c r="G59" s="34">
        <f>[50]GtS!$H$79</f>
        <v>142</v>
      </c>
      <c r="H59" s="155">
        <f>IF('AW Schüler'!$C161=0,"x",(IF('AW Schüler'!$C179=0,"-",C59/'AW Schüler'!$C179)))</f>
        <v>0</v>
      </c>
      <c r="I59" s="155">
        <f>IF('AW Schüler'!$F161=0,"x",(IF('AW Schüler'!$F179=0,"-",D59/'AW Schüler'!$F179)))</f>
        <v>0.18911917098445596</v>
      </c>
      <c r="J59" s="155">
        <f>IF('AW Schüler'!$I161=0,"x",(IF('AW Schüler'!$I179=0,"-",E59/'AW Schüler'!$I179)))</f>
        <v>0.2689295039164491</v>
      </c>
      <c r="K59" s="155">
        <f>IF('AW Schüler'!$L161=0,"x",(IF('AW Schüler'!$L179=0,"-",F59/'AW Schüler'!$L179)))</f>
        <v>0.27777777777777779</v>
      </c>
      <c r="L59" s="156">
        <f>IF('AW Schüler'!$O161=0,"x",(IF('AW Schüler'!$O179=0,"-",G59/'AW Schüler'!$O179)))</f>
        <v>0.38069705093833778</v>
      </c>
    </row>
    <row r="60" spans="1:12" ht="9" customHeight="1">
      <c r="A60" s="21" t="s">
        <v>243</v>
      </c>
      <c r="B60" s="120"/>
      <c r="C60" s="23">
        <f>[51]GtS!$H$75</f>
        <v>0</v>
      </c>
      <c r="D60" s="23">
        <f>[52]GtS!$H$79</f>
        <v>0</v>
      </c>
      <c r="E60" s="23">
        <f>[53]GtS!$H$79</f>
        <v>0</v>
      </c>
      <c r="F60" s="23">
        <f>[54]GtS!$H$79</f>
        <v>0</v>
      </c>
      <c r="G60" s="34">
        <f>[55]GtS!$H$79</f>
        <v>0</v>
      </c>
      <c r="H60" s="57">
        <f>IF('AW Schüler'!$C162=0,"x",(IF('AW Schüler'!$C180=0,"-",C60/'AW Schüler'!$C180)))</f>
        <v>0</v>
      </c>
      <c r="I60" s="57">
        <f>IF('AW Schüler'!$F162=0,"x",(IF('AW Schüler'!$F180=0,"-",D60/'AW Schüler'!$F180)))</f>
        <v>0</v>
      </c>
      <c r="J60" s="57">
        <f>IF('AW Schüler'!$I162=0,"x",(IF('AW Schüler'!$I180=0,"-",E60/'AW Schüler'!$I180)))</f>
        <v>0</v>
      </c>
      <c r="K60" s="57">
        <f>IF('AW Schüler'!$L162=0,"x",(IF('AW Schüler'!$L180=0,"-",F60/'AW Schüler'!$L180)))</f>
        <v>0</v>
      </c>
      <c r="L60" s="195">
        <f>IF('AW Schüler'!$O162=0,"x",(IF('AW Schüler'!$O180=0,"-",G60/'AW Schüler'!$O180)))</f>
        <v>0</v>
      </c>
    </row>
    <row r="61" spans="1:12" ht="9" customHeight="1">
      <c r="A61" s="21" t="s">
        <v>93</v>
      </c>
      <c r="B61" s="120"/>
      <c r="C61" s="124">
        <f>[76]GtS!$H$75</f>
        <v>0</v>
      </c>
      <c r="D61" s="124">
        <f>[77]GtS!$H$79</f>
        <v>0</v>
      </c>
      <c r="E61" s="124">
        <f>[78]GtS!$H$79</f>
        <v>0</v>
      </c>
      <c r="F61" s="124">
        <f>[79]GtS!$H$79</f>
        <v>0</v>
      </c>
      <c r="G61" s="188">
        <f>[80]GtS!$H$79</f>
        <v>0</v>
      </c>
      <c r="H61" s="57">
        <f>IF('AW Schüler'!$C163=0,"x",(IF('AW Schüler'!$C181=0,"-",C61/'AW Schüler'!$C181)))</f>
        <v>0</v>
      </c>
      <c r="I61" s="57">
        <f>IF('AW Schüler'!$F163=0,"x",(IF('AW Schüler'!$F181=0,"-",D61/'AW Schüler'!$F181)))</f>
        <v>0</v>
      </c>
      <c r="J61" s="57">
        <f>IF('AW Schüler'!$I163=0,"x",(IF('AW Schüler'!$I181=0,"-",E61/'AW Schüler'!$I181)))</f>
        <v>0</v>
      </c>
      <c r="K61" s="57">
        <f>IF('AW Schüler'!$L163=0,"x",(IF('AW Schüler'!$L181=0,"-",F61/'AW Schüler'!$L181)))</f>
        <v>0</v>
      </c>
      <c r="L61" s="195">
        <f>IF('AW Schüler'!$O163=0,"x",(IF('AW Schüler'!$O181=0,"-",G61/'AW Schüler'!$O181)))</f>
        <v>0</v>
      </c>
    </row>
    <row r="62" spans="1:12" ht="9" customHeight="1">
      <c r="A62" s="21" t="s">
        <v>94</v>
      </c>
      <c r="B62" s="120"/>
      <c r="C62" s="23">
        <f>[56]GtS!$H$75</f>
        <v>425</v>
      </c>
      <c r="D62" s="23">
        <f>[57]GtS!$H$79</f>
        <v>410</v>
      </c>
      <c r="E62" s="23">
        <f>[58]GtS!$H$79</f>
        <v>414</v>
      </c>
      <c r="F62" s="23">
        <f>[59]GtS!$H$79</f>
        <v>412</v>
      </c>
      <c r="G62" s="34">
        <f>[60]GtS!$H$79</f>
        <v>440</v>
      </c>
      <c r="H62" s="155">
        <f>IF('AW Schüler'!$C164=0,"x",(IF('AW Schüler'!$C182=0,"-",C62/'AW Schüler'!$C182)))</f>
        <v>0.2848525469168901</v>
      </c>
      <c r="I62" s="155">
        <f>IF('AW Schüler'!$F164=0,"x",(IF('AW Schüler'!$F182=0,"-",D62/'AW Schüler'!$F182)))</f>
        <v>0.28256374913852517</v>
      </c>
      <c r="J62" s="155">
        <f>IF('AW Schüler'!$I164=0,"x",(IF('AW Schüler'!$I182=0,"-",E62/'AW Schüler'!$I182)))</f>
        <v>0.28010825439783493</v>
      </c>
      <c r="K62" s="155">
        <f>IF('AW Schüler'!$L164=0,"x",(IF('AW Schüler'!$L182=0,"-",F62/'AW Schüler'!$L182)))</f>
        <v>0.2789438050101557</v>
      </c>
      <c r="L62" s="156">
        <f>IF('AW Schüler'!$O164=0,"x",(IF('AW Schüler'!$O182=0,"-",G62/'AW Schüler'!$O182)))</f>
        <v>0.28007638446849142</v>
      </c>
    </row>
    <row r="63" spans="1:12" ht="9" customHeight="1">
      <c r="A63" s="21" t="s">
        <v>95</v>
      </c>
      <c r="B63" s="120"/>
      <c r="C63" s="23">
        <f>[61]GtS!$H$75</f>
        <v>124</v>
      </c>
      <c r="D63" s="23">
        <f>[62]GtS!$H$79</f>
        <v>115</v>
      </c>
      <c r="E63" s="23">
        <f>[63]GtS!$H$79</f>
        <v>84</v>
      </c>
      <c r="F63" s="23">
        <f>[64]GtS!$H$79</f>
        <v>111</v>
      </c>
      <c r="G63" s="34">
        <f>[65]GtS!$H$79</f>
        <v>163</v>
      </c>
      <c r="H63" s="155">
        <f>IF('AW Schüler'!$C165=0,"x",(IF('AW Schüler'!$C183=0,"-",C63/'AW Schüler'!$C183)))</f>
        <v>0.28054298642533937</v>
      </c>
      <c r="I63" s="155">
        <f>IF('AW Schüler'!$F165=0,"x",(IF('AW Schüler'!$F183=0,"-",D63/'AW Schüler'!$F183)))</f>
        <v>0.26682134570765659</v>
      </c>
      <c r="J63" s="155">
        <f>IF('AW Schüler'!$I165=0,"x",(IF('AW Schüler'!$I183=0,"-",E63/'AW Schüler'!$I183)))</f>
        <v>0.17834394904458598</v>
      </c>
      <c r="K63" s="155">
        <f>IF('AW Schüler'!$L165=0,"x",(IF('AW Schüler'!$L183=0,"-",F63/'AW Schüler'!$L183)))</f>
        <v>0.22981366459627328</v>
      </c>
      <c r="L63" s="156">
        <f>IF('AW Schüler'!$O165=0,"x",(IF('AW Schüler'!$O183=0,"-",G63/'AW Schüler'!$O183)))</f>
        <v>0.31773879142300193</v>
      </c>
    </row>
    <row r="64" spans="1:12" ht="8.65" customHeight="1">
      <c r="A64" s="24" t="s">
        <v>96</v>
      </c>
      <c r="B64" s="121"/>
      <c r="C64" s="26">
        <f>SUM(C48:C63)</f>
        <v>5488</v>
      </c>
      <c r="D64" s="26">
        <f>SUM(D48:D63)</f>
        <v>5611</v>
      </c>
      <c r="E64" s="26">
        <f>SUM(E48:E63)</f>
        <v>5549</v>
      </c>
      <c r="F64" s="26">
        <f>SUM(F48:F63)</f>
        <v>5970</v>
      </c>
      <c r="G64" s="47">
        <f>SUM(G48:G63)</f>
        <v>6656</v>
      </c>
      <c r="H64" s="157">
        <f>IF('AW Schüler'!$C166=0,"x",(IF('AW Schüler'!$C184=0,"-",C64/'AW Schüler'!$C184)))</f>
        <v>0.25353414025686039</v>
      </c>
      <c r="I64" s="157">
        <f>IF('AW Schüler'!$F166=0,"x",(IF('AW Schüler'!$F184=0,"-",D64/'AW Schüler'!$F184)))</f>
        <v>0.2618047779022023</v>
      </c>
      <c r="J64" s="157">
        <f>IF('AW Schüler'!$I166=0,"x",(IF('AW Schüler'!$I184=0,"-",E64/'AW Schüler'!$I184)))</f>
        <v>0.25579680081132161</v>
      </c>
      <c r="K64" s="157">
        <f>IF('AW Schüler'!$L166=0,"x",(IF('AW Schüler'!$L184=0,"-",F64/'AW Schüler'!$L184)))</f>
        <v>0.26948945966686227</v>
      </c>
      <c r="L64" s="158">
        <f>IF('AW Schüler'!$O166=0,"x",(IF('AW Schüler'!$O184=0,"-",G64/'AW Schüler'!$O184)))</f>
        <v>0.2898828448238317</v>
      </c>
    </row>
    <row r="65" spans="1:12" ht="18.75" customHeight="1">
      <c r="A65" s="396" t="s">
        <v>312</v>
      </c>
      <c r="B65" s="396"/>
      <c r="C65" s="396"/>
      <c r="D65" s="396"/>
      <c r="E65" s="396"/>
      <c r="F65" s="396"/>
      <c r="G65" s="396"/>
      <c r="H65" s="396"/>
      <c r="I65" s="396"/>
      <c r="J65" s="396"/>
      <c r="K65" s="396"/>
      <c r="L65" s="396"/>
    </row>
    <row r="66" spans="1:12" ht="10.15" customHeight="1">
      <c r="A66" s="408" t="s">
        <v>211</v>
      </c>
      <c r="B66" s="408"/>
      <c r="C66" s="408"/>
      <c r="D66" s="408"/>
      <c r="E66" s="408"/>
      <c r="F66" s="408"/>
      <c r="G66" s="408"/>
      <c r="H66" s="408"/>
      <c r="I66" s="408"/>
      <c r="J66" s="278"/>
      <c r="K66" s="278"/>
      <c r="L66" s="278"/>
    </row>
    <row r="67" spans="1:12" ht="10.15" customHeight="1">
      <c r="A67" s="399" t="s">
        <v>280</v>
      </c>
      <c r="B67" s="399"/>
      <c r="C67" s="399"/>
      <c r="D67" s="399"/>
      <c r="E67" s="399"/>
      <c r="F67" s="399"/>
      <c r="G67" s="399"/>
      <c r="H67" s="399"/>
      <c r="I67" s="399"/>
      <c r="J67" s="277"/>
      <c r="K67" s="325"/>
      <c r="L67" s="350"/>
    </row>
    <row r="68" spans="1:12" ht="10.15" customHeight="1">
      <c r="A68" s="305" t="s">
        <v>302</v>
      </c>
    </row>
    <row r="69" spans="1:12" ht="10.15" customHeight="1">
      <c r="A69" s="306" t="s">
        <v>308</v>
      </c>
    </row>
    <row r="70" spans="1:12" ht="10.15" customHeight="1"/>
    <row r="71" spans="1:12" ht="8.25" customHeight="1"/>
    <row r="84" spans="1:1" ht="10.5" customHeight="1"/>
    <row r="85" spans="1:1" ht="10.15" customHeight="1">
      <c r="A85" s="274"/>
    </row>
  </sheetData>
  <mergeCells count="9">
    <mergeCell ref="A1:L1"/>
    <mergeCell ref="A66:I66"/>
    <mergeCell ref="A67:I67"/>
    <mergeCell ref="C9:G9"/>
    <mergeCell ref="H9:L9"/>
    <mergeCell ref="A11:L11"/>
    <mergeCell ref="A29:L29"/>
    <mergeCell ref="A47:L47"/>
    <mergeCell ref="A65:L65"/>
  </mergeCells>
  <conditionalFormatting sqref="M25">
    <cfRule type="cellIs" dxfId="3"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M85"/>
  <sheetViews>
    <sheetView view="pageBreakPreview" topLeftCell="A52" zoomScale="175" zoomScaleNormal="115" zoomScaleSheetLayoutView="175" workbookViewId="0">
      <selection activeCell="N23" sqref="N23:N24"/>
    </sheetView>
  </sheetViews>
  <sheetFormatPr baseColWidth="10" defaultColWidth="11.42578125" defaultRowHeight="9"/>
  <cols>
    <col min="1" max="1" width="9.7109375" style="2" customWidth="1"/>
    <col min="2" max="2" width="0.42578125" style="2" customWidth="1"/>
    <col min="3" max="12" width="6.7109375" style="2" customWidth="1"/>
    <col min="13" max="16384" width="11.42578125" style="2"/>
  </cols>
  <sheetData>
    <row r="1" spans="1:13" ht="12.75" customHeight="1">
      <c r="A1" s="383">
        <f>'3.3.9.1'!A1:J1+1</f>
        <v>68</v>
      </c>
      <c r="B1" s="383"/>
      <c r="C1" s="383"/>
      <c r="D1" s="383"/>
      <c r="E1" s="383"/>
      <c r="F1" s="383"/>
      <c r="G1" s="383"/>
      <c r="H1" s="383"/>
      <c r="I1" s="383"/>
      <c r="J1" s="383"/>
      <c r="K1" s="383"/>
      <c r="L1" s="383"/>
      <c r="M1" s="58" t="s">
        <v>108</v>
      </c>
    </row>
    <row r="2" spans="1:13" ht="6" customHeight="1"/>
    <row r="3" spans="1:13" s="1" customFormat="1" ht="12.6" customHeight="1">
      <c r="A3" s="11">
        <v>3</v>
      </c>
      <c r="B3" s="12" t="s">
        <v>265</v>
      </c>
      <c r="C3" s="12"/>
      <c r="D3" s="12"/>
      <c r="E3" s="12"/>
      <c r="F3" s="12"/>
      <c r="G3" s="12"/>
    </row>
    <row r="4" spans="1:13" s="1" customFormat="1" ht="12.6" customHeight="1">
      <c r="A4" s="13" t="s">
        <v>59</v>
      </c>
      <c r="B4" s="12" t="s">
        <v>190</v>
      </c>
      <c r="C4" s="14"/>
      <c r="D4" s="14"/>
      <c r="E4" s="14"/>
      <c r="F4" s="14"/>
      <c r="G4" s="14"/>
    </row>
    <row r="5" spans="1:13" s="1" customFormat="1" ht="12.6" customHeight="1">
      <c r="A5" s="13" t="s">
        <v>69</v>
      </c>
      <c r="B5" s="39" t="s">
        <v>106</v>
      </c>
      <c r="C5" s="14"/>
      <c r="D5" s="14"/>
      <c r="E5" s="14"/>
      <c r="F5" s="14"/>
      <c r="G5" s="14"/>
    </row>
    <row r="6" spans="1:13" s="3" customFormat="1" ht="5.25" customHeight="1">
      <c r="A6" s="40"/>
      <c r="B6" s="39"/>
      <c r="C6" s="41"/>
      <c r="D6" s="41"/>
      <c r="E6" s="41"/>
      <c r="F6" s="41"/>
      <c r="G6" s="41"/>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104</v>
      </c>
      <c r="I9" s="385"/>
      <c r="J9" s="385"/>
      <c r="K9" s="385"/>
      <c r="L9" s="386"/>
    </row>
    <row r="10" spans="1:13" ht="10.15" customHeight="1">
      <c r="A10" s="352"/>
      <c r="B10" s="353"/>
      <c r="C10" s="354">
        <v>2012</v>
      </c>
      <c r="D10" s="354">
        <v>2013</v>
      </c>
      <c r="E10" s="354">
        <v>2014</v>
      </c>
      <c r="F10" s="19">
        <v>2015</v>
      </c>
      <c r="G10" s="27">
        <v>2016</v>
      </c>
      <c r="H10" s="2">
        <v>2012</v>
      </c>
      <c r="I10" s="2">
        <v>2013</v>
      </c>
      <c r="J10" s="2">
        <v>2014</v>
      </c>
      <c r="K10" s="2">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172</v>
      </c>
      <c r="B12" s="120"/>
      <c r="C12" s="42">
        <f t="shared" ref="C12:D28" si="0">SUM(C30+C48)</f>
        <v>11442</v>
      </c>
      <c r="D12" s="42">
        <f t="shared" si="0"/>
        <v>11583</v>
      </c>
      <c r="E12" s="42">
        <f t="shared" ref="E12:F12" si="1">SUM(E30+E48)</f>
        <v>11541</v>
      </c>
      <c r="F12" s="42">
        <f t="shared" si="1"/>
        <v>11830</v>
      </c>
      <c r="G12" s="44">
        <f t="shared" ref="G12" si="2">SUM(G30+G48)</f>
        <v>11712</v>
      </c>
      <c r="H12" s="153">
        <f>IF('AW Schüler'!$C186=0,"x",C12/'AW Schüler'!$C186)</f>
        <v>0.74936145130656884</v>
      </c>
      <c r="I12" s="153">
        <f>IF('AW Schüler'!$F186=0,"x",D12/'AW Schüler'!$F186)</f>
        <v>0.74412180393164584</v>
      </c>
      <c r="J12" s="153">
        <f>IF('AW Schüler'!$I186=0,"x",E12/'AW Schüler'!$I186)</f>
        <v>0.73285496570993147</v>
      </c>
      <c r="K12" s="153">
        <f>IF('AW Schüler'!$L186=0,"x",F12/'AW Schüler'!$L186)</f>
        <v>0.74486840448306257</v>
      </c>
      <c r="L12" s="154">
        <f>IF('AW Schüler'!$O186=0,"x",G12/'AW Schüler'!$O186)</f>
        <v>0.78147728030960162</v>
      </c>
    </row>
    <row r="13" spans="1:13" ht="9" customHeight="1">
      <c r="A13" s="21" t="s">
        <v>81</v>
      </c>
      <c r="B13" s="120"/>
      <c r="C13" s="42">
        <f t="shared" si="0"/>
        <v>9740</v>
      </c>
      <c r="D13" s="42">
        <f t="shared" si="0"/>
        <v>9681</v>
      </c>
      <c r="E13" s="42">
        <f t="shared" ref="E13:F13" si="3">SUM(E31+E49)</f>
        <v>11340</v>
      </c>
      <c r="F13" s="42">
        <f t="shared" si="3"/>
        <v>11423</v>
      </c>
      <c r="G13" s="44">
        <f t="shared" ref="G13" si="4">SUM(G31+G49)</f>
        <v>12288</v>
      </c>
      <c r="H13" s="153">
        <f>IF('AW Schüler'!$C187=0,"x",C13/'AW Schüler'!$C187)</f>
        <v>0.37989001131089356</v>
      </c>
      <c r="I13" s="153">
        <f>IF('AW Schüler'!$F187=0,"x",D13/'AW Schüler'!$F187)</f>
        <v>0.38425815670397712</v>
      </c>
      <c r="J13" s="153">
        <f>IF('AW Schüler'!$I187=0,"x",E13/'AW Schüler'!$I187)</f>
        <v>0.45285731400503176</v>
      </c>
      <c r="K13" s="153">
        <f>IF('AW Schüler'!$L187=0,"x",F13/'AW Schüler'!$L187)</f>
        <v>0.45593518001117583</v>
      </c>
      <c r="L13" s="154">
        <f>IF('AW Schüler'!$O187=0,"x",G13/'AW Schüler'!$O187)</f>
        <v>0.50705620203020552</v>
      </c>
    </row>
    <row r="14" spans="1:13" ht="9" customHeight="1">
      <c r="A14" s="21" t="s">
        <v>82</v>
      </c>
      <c r="B14" s="120"/>
      <c r="C14" s="42">
        <f t="shared" si="0"/>
        <v>167</v>
      </c>
      <c r="D14" s="42">
        <f t="shared" si="0"/>
        <v>317</v>
      </c>
      <c r="E14" s="42">
        <f t="shared" ref="E14:F14" si="5">SUM(E32+E50)</f>
        <v>399</v>
      </c>
      <c r="F14" s="42">
        <f t="shared" si="5"/>
        <v>135</v>
      </c>
      <c r="G14" s="44">
        <f t="shared" ref="G14" si="6">SUM(G32+G50)</f>
        <v>227</v>
      </c>
      <c r="H14" s="153">
        <f>IF('AW Schüler'!$C188=0,"x",C14/'AW Schüler'!$C188)</f>
        <v>0.21773142112125163</v>
      </c>
      <c r="I14" s="153">
        <f>IF('AW Schüler'!$F188=0,"x",D14/'AW Schüler'!$F188)</f>
        <v>0.44647887323943664</v>
      </c>
      <c r="J14" s="153">
        <f>IF('AW Schüler'!$I188=0,"x",E14/'AW Schüler'!$I188)</f>
        <v>0.55034482758620684</v>
      </c>
      <c r="K14" s="153">
        <f>IF('AW Schüler'!$L188=0,"x",F14/'AW Schüler'!$L188)</f>
        <v>0.18854748603351956</v>
      </c>
      <c r="L14" s="154">
        <f>IF('AW Schüler'!$O188=0,"x",G14/'AW Schüler'!$O188)</f>
        <v>0.42271880819366853</v>
      </c>
    </row>
    <row r="15" spans="1:13" ht="9" customHeight="1">
      <c r="A15" s="21" t="s">
        <v>83</v>
      </c>
      <c r="B15" s="120"/>
      <c r="C15" s="42">
        <f t="shared" si="0"/>
        <v>1013</v>
      </c>
      <c r="D15" s="42">
        <f t="shared" si="0"/>
        <v>1059</v>
      </c>
      <c r="E15" s="42">
        <f t="shared" ref="E15:F15" si="7">SUM(E33+E51)</f>
        <v>1099</v>
      </c>
      <c r="F15" s="42">
        <f t="shared" si="7"/>
        <v>1097</v>
      </c>
      <c r="G15" s="44">
        <f t="shared" ref="G15" si="8">SUM(G33+G51)</f>
        <v>1124</v>
      </c>
      <c r="H15" s="153">
        <f>IF('AW Schüler'!$C189=0,"x",C15/'AW Schüler'!$C189)</f>
        <v>0.96845124282982786</v>
      </c>
      <c r="I15" s="153">
        <f>IF('AW Schüler'!$F189=0,"x",D15/'AW Schüler'!$F189)</f>
        <v>0.94217081850533813</v>
      </c>
      <c r="J15" s="153">
        <f>IF('AW Schüler'!$I189=0,"x",E15/'AW Schüler'!$I189)</f>
        <v>0.93851409052092227</v>
      </c>
      <c r="K15" s="153">
        <f>IF('AW Schüler'!$L189=0,"x",F15/'AW Schüler'!$L189)</f>
        <v>0.94243986254295531</v>
      </c>
      <c r="L15" s="154">
        <f>IF('AW Schüler'!$O189=0,"x",G15/'AW Schüler'!$O189)</f>
        <v>0.95741056218057918</v>
      </c>
    </row>
    <row r="16" spans="1:13" ht="9" customHeight="1">
      <c r="A16" s="21" t="s">
        <v>84</v>
      </c>
      <c r="B16" s="120"/>
      <c r="C16" s="42">
        <f t="shared" si="0"/>
        <v>45</v>
      </c>
      <c r="D16" s="42">
        <f t="shared" si="0"/>
        <v>0</v>
      </c>
      <c r="E16" s="42">
        <f t="shared" ref="E16:F16" si="9">SUM(E34+E52)</f>
        <v>0</v>
      </c>
      <c r="F16" s="42">
        <f t="shared" si="9"/>
        <v>0</v>
      </c>
      <c r="G16" s="44">
        <f t="shared" ref="G16" si="10">SUM(G34+G52)</f>
        <v>0</v>
      </c>
      <c r="H16" s="153">
        <f>IF('AW Schüler'!$C190=0,"x",C16/'AW Schüler'!$C190)</f>
        <v>0.35714285714285715</v>
      </c>
      <c r="I16" s="153">
        <f>IF('AW Schüler'!$F190=0,"x",D16/'AW Schüler'!$F190)</f>
        <v>0</v>
      </c>
      <c r="J16" s="153">
        <f>IF('AW Schüler'!$I190=0,"x",E16/'AW Schüler'!$I190)</f>
        <v>0</v>
      </c>
      <c r="K16" s="153">
        <f>IF('AW Schüler'!$L190=0,"x",F16/'AW Schüler'!$L190)</f>
        <v>0</v>
      </c>
      <c r="L16" s="154">
        <f>IF('AW Schüler'!$O190=0,"x",G16/'AW Schüler'!$O190)</f>
        <v>0</v>
      </c>
    </row>
    <row r="17" spans="1:12" ht="9" customHeight="1">
      <c r="A17" s="21" t="s">
        <v>85</v>
      </c>
      <c r="B17" s="120"/>
      <c r="C17" s="42">
        <f t="shared" si="0"/>
        <v>533</v>
      </c>
      <c r="D17" s="42">
        <f t="shared" si="0"/>
        <v>508</v>
      </c>
      <c r="E17" s="42">
        <f t="shared" ref="E17:F17" si="11">SUM(E35+E53)</f>
        <v>513</v>
      </c>
      <c r="F17" s="42">
        <f t="shared" si="11"/>
        <v>485</v>
      </c>
      <c r="G17" s="44">
        <f t="shared" ref="G17" si="12">SUM(G35+G53)</f>
        <v>484</v>
      </c>
      <c r="H17" s="153">
        <f>IF('AW Schüler'!$C191=0,"x",C17/'AW Schüler'!$C191)</f>
        <v>0.88245033112582782</v>
      </c>
      <c r="I17" s="153">
        <f>IF('AW Schüler'!$F191=0,"x",D17/'AW Schüler'!$F191)</f>
        <v>0.86986301369863017</v>
      </c>
      <c r="J17" s="153">
        <f>IF('AW Schüler'!$I191=0,"x",E17/'AW Schüler'!$I191)</f>
        <v>0.84933774834437081</v>
      </c>
      <c r="K17" s="153">
        <f>IF('AW Schüler'!$L191=0,"x",F17/'AW Schüler'!$L191)</f>
        <v>0.82064297800338415</v>
      </c>
      <c r="L17" s="154">
        <f>IF('AW Schüler'!$O191=0,"x",G17/'AW Schüler'!$O191)</f>
        <v>0.81895093062605751</v>
      </c>
    </row>
    <row r="18" spans="1:12" ht="9" customHeight="1">
      <c r="A18" s="21" t="s">
        <v>86</v>
      </c>
      <c r="B18" s="120"/>
      <c r="C18" s="184">
        <f t="shared" si="0"/>
        <v>0</v>
      </c>
      <c r="D18" s="184">
        <f t="shared" si="0"/>
        <v>0</v>
      </c>
      <c r="E18" s="184">
        <f t="shared" ref="E18:F18" si="13">SUM(E36+E54)</f>
        <v>0</v>
      </c>
      <c r="F18" s="184">
        <f t="shared" si="13"/>
        <v>0</v>
      </c>
      <c r="G18" s="185">
        <f t="shared" ref="G18" si="14">SUM(G36+G54)</f>
        <v>0</v>
      </c>
      <c r="H18" s="186">
        <f>IF('AW Schüler'!$C192=0,"x",C18/'AW Schüler'!$C192)</f>
        <v>0</v>
      </c>
      <c r="I18" s="186">
        <f>IF('AW Schüler'!$F192=0,"x",D18/'AW Schüler'!$F192)</f>
        <v>0</v>
      </c>
      <c r="J18" s="186">
        <f>IF('AW Schüler'!$I192=0,"x",E18/'AW Schüler'!$I192)</f>
        <v>0</v>
      </c>
      <c r="K18" s="186">
        <f>IF('AW Schüler'!$L192=0,"x",F18/'AW Schüler'!$L192)</f>
        <v>0</v>
      </c>
      <c r="L18" s="187">
        <f>IF('AW Schüler'!$O192=0,"x",G18/'AW Schüler'!$O192)</f>
        <v>0</v>
      </c>
    </row>
    <row r="19" spans="1:12" ht="9" customHeight="1">
      <c r="A19" s="21" t="s">
        <v>174</v>
      </c>
      <c r="B19" s="120"/>
      <c r="C19" s="42">
        <f t="shared" si="0"/>
        <v>382</v>
      </c>
      <c r="D19" s="42">
        <f t="shared" si="0"/>
        <v>421</v>
      </c>
      <c r="E19" s="42">
        <f t="shared" ref="E19:F19" si="15">SUM(E37+E55)</f>
        <v>421</v>
      </c>
      <c r="F19" s="42">
        <f t="shared" si="15"/>
        <v>294</v>
      </c>
      <c r="G19" s="44">
        <f t="shared" ref="G19" si="16">SUM(G37+G55)</f>
        <v>258</v>
      </c>
      <c r="H19" s="153">
        <f>IF('AW Schüler'!$C193=0,"x",C19/'AW Schüler'!$C193)</f>
        <v>0.57703927492447127</v>
      </c>
      <c r="I19" s="153">
        <f>IF('AW Schüler'!$F193=0,"x",D19/'AW Schüler'!$F193)</f>
        <v>0.60750360750360755</v>
      </c>
      <c r="J19" s="153">
        <f>IF('AW Schüler'!$I193=0,"x",E19/'AW Schüler'!$I193)</f>
        <v>0.57201086956521741</v>
      </c>
      <c r="K19" s="153">
        <f>IF('AW Schüler'!$L193=0,"x",F19/'AW Schüler'!$L193)</f>
        <v>0.3843137254901961</v>
      </c>
      <c r="L19" s="154">
        <f>IF('AW Schüler'!$O193=0,"x",G19/'AW Schüler'!$O193)</f>
        <v>0.3269961977186312</v>
      </c>
    </row>
    <row r="20" spans="1:12" ht="9" customHeight="1">
      <c r="A20" s="21" t="s">
        <v>88</v>
      </c>
      <c r="B20" s="120"/>
      <c r="C20" s="184">
        <f t="shared" si="0"/>
        <v>0</v>
      </c>
      <c r="D20" s="184">
        <f t="shared" si="0"/>
        <v>0</v>
      </c>
      <c r="E20" s="184">
        <f t="shared" ref="E20:F20" si="17">SUM(E38+E56)</f>
        <v>0</v>
      </c>
      <c r="F20" s="184">
        <f t="shared" si="17"/>
        <v>0</v>
      </c>
      <c r="G20" s="185">
        <f t="shared" ref="G20" si="18">SUM(G38+G56)</f>
        <v>0</v>
      </c>
      <c r="H20" s="186">
        <f>IF('AW Schüler'!$C194=0,"x",C20/'AW Schüler'!$C194)</f>
        <v>0</v>
      </c>
      <c r="I20" s="186">
        <f>IF('AW Schüler'!$F194=0,"x",D20/'AW Schüler'!$F194)</f>
        <v>0</v>
      </c>
      <c r="J20" s="186">
        <f>IF('AW Schüler'!$I194=0,"x",E20/'AW Schüler'!$I194)</f>
        <v>0</v>
      </c>
      <c r="K20" s="186">
        <f>IF('AW Schüler'!$L194=0,"x",F20/'AW Schüler'!$L194)</f>
        <v>0</v>
      </c>
      <c r="L20" s="187">
        <f>IF('AW Schüler'!$O194=0,"x",G20/'AW Schüler'!$O194)</f>
        <v>0</v>
      </c>
    </row>
    <row r="21" spans="1:12" ht="9" customHeight="1">
      <c r="A21" s="21" t="s">
        <v>89</v>
      </c>
      <c r="B21" s="120"/>
      <c r="C21" s="42">
        <f t="shared" si="0"/>
        <v>6754</v>
      </c>
      <c r="D21" s="42">
        <f t="shared" si="0"/>
        <v>5513</v>
      </c>
      <c r="E21" s="42">
        <f t="shared" ref="E21:F21" si="19">SUM(E39+E57)</f>
        <v>6788</v>
      </c>
      <c r="F21" s="42">
        <f t="shared" si="19"/>
        <v>7117</v>
      </c>
      <c r="G21" s="44">
        <f t="shared" ref="G21" si="20">SUM(G39+G57)</f>
        <v>7316</v>
      </c>
      <c r="H21" s="153">
        <f>IF('AW Schüler'!$C195=0,"x",C21/'AW Schüler'!$C195)</f>
        <v>0.67418646436414453</v>
      </c>
      <c r="I21" s="153">
        <f>IF('AW Schüler'!$F195=0,"x",D21/'AW Schüler'!$F195)</f>
        <v>0.54562549485352341</v>
      </c>
      <c r="J21" s="153">
        <f>IF('AW Schüler'!$I195=0,"x",E21/'AW Schüler'!$I195)</f>
        <v>0.66496865203761757</v>
      </c>
      <c r="K21" s="153">
        <f>IF('AW Schüler'!$L195=0,"x",F21/'AW Schüler'!$L195)</f>
        <v>0.70319138425056815</v>
      </c>
      <c r="L21" s="154">
        <f>IF('AW Schüler'!$O195=0,"x",G21/'AW Schüler'!$O195)</f>
        <v>0.72644225995432432</v>
      </c>
    </row>
    <row r="22" spans="1:12" ht="9" customHeight="1">
      <c r="A22" s="21" t="s">
        <v>90</v>
      </c>
      <c r="B22" s="120"/>
      <c r="C22" s="42">
        <f t="shared" si="0"/>
        <v>2430</v>
      </c>
      <c r="D22" s="42">
        <f t="shared" si="0"/>
        <v>2438</v>
      </c>
      <c r="E22" s="42">
        <f t="shared" ref="E22:F22" si="21">SUM(E40+E58)</f>
        <v>2471</v>
      </c>
      <c r="F22" s="42">
        <f t="shared" si="21"/>
        <v>2470</v>
      </c>
      <c r="G22" s="44">
        <f t="shared" ref="G22" si="22">SUM(G40+G58)</f>
        <v>2451</v>
      </c>
      <c r="H22" s="153">
        <f>IF('AW Schüler'!$C196=0,"x",C22/'AW Schüler'!$C196)</f>
        <v>0.92220113851992414</v>
      </c>
      <c r="I22" s="153">
        <f>IF('AW Schüler'!$F196=0,"x",D22/'AW Schüler'!$F196)</f>
        <v>0.92383478590375145</v>
      </c>
      <c r="J22" s="153">
        <f>IF('AW Schüler'!$I196=0,"x",E22/'AW Schüler'!$I196)</f>
        <v>0.91688311688311686</v>
      </c>
      <c r="K22" s="153">
        <f>IF('AW Schüler'!$L196=0,"x",F22/'AW Schüler'!$L196)</f>
        <v>0.90244793569601756</v>
      </c>
      <c r="L22" s="154">
        <f>IF('AW Schüler'!$O196=0,"x",G22/'AW Schüler'!$O196)</f>
        <v>0.88675832127351661</v>
      </c>
    </row>
    <row r="23" spans="1:12" ht="9" customHeight="1">
      <c r="A23" s="21" t="s">
        <v>91</v>
      </c>
      <c r="B23" s="120"/>
      <c r="C23" s="42">
        <f t="shared" si="0"/>
        <v>221</v>
      </c>
      <c r="D23" s="42">
        <f t="shared" si="0"/>
        <v>275</v>
      </c>
      <c r="E23" s="42">
        <f t="shared" ref="E23:F23" si="23">SUM(E41+E59)</f>
        <v>188</v>
      </c>
      <c r="F23" s="42">
        <f t="shared" si="23"/>
        <v>182</v>
      </c>
      <c r="G23" s="44">
        <f t="shared" ref="G23" si="24">SUM(G41+G59)</f>
        <v>186</v>
      </c>
      <c r="H23" s="153">
        <f>IF('AW Schüler'!$C197=0,"x",C23/'AW Schüler'!$C197)</f>
        <v>0.63142857142857145</v>
      </c>
      <c r="I23" s="153">
        <f>IF('AW Schüler'!$F197=0,"x",D23/'AW Schüler'!$F197)</f>
        <v>0.81602373887240354</v>
      </c>
      <c r="J23" s="153">
        <f>IF('AW Schüler'!$I197=0,"x",E23/'AW Schüler'!$I197)</f>
        <v>0.54970760233918126</v>
      </c>
      <c r="K23" s="153">
        <f>IF('AW Schüler'!$L197=0,"x",F23/'AW Schüler'!$L197)</f>
        <v>0.55828220858895705</v>
      </c>
      <c r="L23" s="154">
        <f>IF('AW Schüler'!$O197=0,"x",G23/'AW Schüler'!$O197)</f>
        <v>0.58490566037735847</v>
      </c>
    </row>
    <row r="24" spans="1:12" ht="9" customHeight="1">
      <c r="A24" s="21" t="s">
        <v>92</v>
      </c>
      <c r="B24" s="120"/>
      <c r="C24" s="55">
        <f t="shared" si="0"/>
        <v>466</v>
      </c>
      <c r="D24" s="55">
        <f t="shared" si="0"/>
        <v>445</v>
      </c>
      <c r="E24" s="55">
        <f t="shared" ref="E24:F24" si="25">SUM(E42+E60)</f>
        <v>436</v>
      </c>
      <c r="F24" s="55">
        <f t="shared" si="25"/>
        <v>452</v>
      </c>
      <c r="G24" s="56">
        <f t="shared" ref="G24" si="26">SUM(G42+G60)</f>
        <v>432</v>
      </c>
      <c r="H24" s="153">
        <f>IF('AW Schüler'!$C198=0,"x",C24/'AW Schüler'!$C198)</f>
        <v>0.39829059829059826</v>
      </c>
      <c r="I24" s="153">
        <f>IF('AW Schüler'!$F198=0,"x",D24/'AW Schüler'!$F198)</f>
        <v>0.37083333333333335</v>
      </c>
      <c r="J24" s="153">
        <f>IF('AW Schüler'!$I198=0,"x",E24/'AW Schüler'!$I198)</f>
        <v>0.3449367088607595</v>
      </c>
      <c r="K24" s="153">
        <f>IF('AW Schüler'!$L198=0,"x",F24/'AW Schüler'!$L198)</f>
        <v>0.3578780680918448</v>
      </c>
      <c r="L24" s="154">
        <f>IF('AW Schüler'!$O198=0,"x",G24/'AW Schüler'!$O198)</f>
        <v>0.3377638780297107</v>
      </c>
    </row>
    <row r="25" spans="1:12" ht="9" customHeight="1">
      <c r="A25" s="21" t="s">
        <v>93</v>
      </c>
      <c r="B25" s="120"/>
      <c r="C25" s="184">
        <f t="shared" si="0"/>
        <v>0</v>
      </c>
      <c r="D25" s="184">
        <f t="shared" si="0"/>
        <v>0</v>
      </c>
      <c r="E25" s="184">
        <f t="shared" ref="E25:F25" si="27">SUM(E43+E61)</f>
        <v>0</v>
      </c>
      <c r="F25" s="184">
        <f t="shared" si="27"/>
        <v>0</v>
      </c>
      <c r="G25" s="185">
        <f t="shared" ref="G25" si="28">SUM(G43+G61)</f>
        <v>0</v>
      </c>
      <c r="H25" s="186">
        <f>IF('AW Schüler'!$C199=0,"x",C25/'AW Schüler'!$C199)</f>
        <v>0</v>
      </c>
      <c r="I25" s="186">
        <f>IF('AW Schüler'!$F199=0,"x",D25/'AW Schüler'!$F199)</f>
        <v>0</v>
      </c>
      <c r="J25" s="186">
        <f>IF('AW Schüler'!$I199=0,"x",E25/'AW Schüler'!$I199)</f>
        <v>0</v>
      </c>
      <c r="K25" s="186">
        <f>IF('AW Schüler'!$L199=0,"x",F25/'AW Schüler'!$L199)</f>
        <v>0</v>
      </c>
      <c r="L25" s="187">
        <f>IF('AW Schüler'!$O199=0,"x",G25/'AW Schüler'!$O199)</f>
        <v>0</v>
      </c>
    </row>
    <row r="26" spans="1:12" ht="9" customHeight="1">
      <c r="A26" s="21" t="s">
        <v>94</v>
      </c>
      <c r="B26" s="120"/>
      <c r="C26" s="42">
        <f t="shared" si="0"/>
        <v>81</v>
      </c>
      <c r="D26" s="42">
        <f t="shared" si="0"/>
        <v>81</v>
      </c>
      <c r="E26" s="42">
        <f t="shared" ref="E26:F26" si="29">SUM(E44+E62)</f>
        <v>0</v>
      </c>
      <c r="F26" s="42">
        <f t="shared" si="29"/>
        <v>100</v>
      </c>
      <c r="G26" s="44">
        <f t="shared" ref="G26" si="30">SUM(G44+G62)</f>
        <v>93</v>
      </c>
      <c r="H26" s="153">
        <f>IF('AW Schüler'!$C200=0,"x",C26/'AW Schüler'!$C200)</f>
        <v>0.13388429752066117</v>
      </c>
      <c r="I26" s="153">
        <f>IF('AW Schüler'!$F200=0,"x",D26/'AW Schüler'!$F200)</f>
        <v>0.13775510204081631</v>
      </c>
      <c r="J26" s="153">
        <f>IF('AW Schüler'!$I200=0,"x",E26/'AW Schüler'!$I200)</f>
        <v>0</v>
      </c>
      <c r="K26" s="153">
        <f>IF('AW Schüler'!$L200=0,"x",F26/'AW Schüler'!$L200)</f>
        <v>0.18315018315018314</v>
      </c>
      <c r="L26" s="154">
        <f>IF('AW Schüler'!$O200=0,"x",G26/'AW Schüler'!$O200)</f>
        <v>0.18902439024390244</v>
      </c>
    </row>
    <row r="27" spans="1:12" ht="9" customHeight="1">
      <c r="A27" s="21" t="s">
        <v>95</v>
      </c>
      <c r="B27" s="120"/>
      <c r="C27" s="42">
        <f t="shared" si="0"/>
        <v>2223</v>
      </c>
      <c r="D27" s="42">
        <f t="shared" si="0"/>
        <v>2228</v>
      </c>
      <c r="E27" s="42">
        <f t="shared" ref="E27:F27" si="31">SUM(E45+E63)</f>
        <v>2227</v>
      </c>
      <c r="F27" s="42">
        <f t="shared" si="31"/>
        <v>2258</v>
      </c>
      <c r="G27" s="44">
        <f t="shared" ref="G27" si="32">SUM(G45+G63)</f>
        <v>2221</v>
      </c>
      <c r="H27" s="153">
        <f>IF('AW Schüler'!$C201=0,"x",C27/'AW Schüler'!$C201)</f>
        <v>1</v>
      </c>
      <c r="I27" s="153">
        <f>IF('AW Schüler'!$F201=0,"x",D27/'AW Schüler'!$F201)</f>
        <v>1</v>
      </c>
      <c r="J27" s="153">
        <f>IF('AW Schüler'!$I201=0,"x",E27/'AW Schüler'!$I201)</f>
        <v>1</v>
      </c>
      <c r="K27" s="153">
        <f>IF('AW Schüler'!$L201=0,"x",F27/'AW Schüler'!$L201)</f>
        <v>1</v>
      </c>
      <c r="L27" s="154">
        <f>IF('AW Schüler'!$O201=0,"x",G27/'AW Schüler'!$O201)</f>
        <v>1</v>
      </c>
    </row>
    <row r="28" spans="1:12" ht="9" customHeight="1">
      <c r="A28" s="21" t="s">
        <v>96</v>
      </c>
      <c r="B28" s="120"/>
      <c r="C28" s="42">
        <f t="shared" si="0"/>
        <v>35497</v>
      </c>
      <c r="D28" s="42">
        <f t="shared" si="0"/>
        <v>34549</v>
      </c>
      <c r="E28" s="42">
        <f t="shared" ref="E28:F28" si="33">SUM(E46+E64)</f>
        <v>37423</v>
      </c>
      <c r="F28" s="42">
        <f t="shared" si="33"/>
        <v>37843</v>
      </c>
      <c r="G28" s="44">
        <f t="shared" ref="G28" si="34">SUM(G46+G64)</f>
        <v>38792</v>
      </c>
      <c r="H28" s="153">
        <f>IF('AW Schüler'!$C202=0,"x",C28/'AW Schüler'!$C202)</f>
        <v>0.58083254246162908</v>
      </c>
      <c r="I28" s="153">
        <f>IF('AW Schüler'!$F202=0,"x",D28/'AW Schüler'!$F202)</f>
        <v>0.5655148707707921</v>
      </c>
      <c r="J28" s="153">
        <f>IF('AW Schüler'!$I202=0,"x",E28/'AW Schüler'!$I202)</f>
        <v>0.6090190079416743</v>
      </c>
      <c r="K28" s="153">
        <f>IF('AW Schüler'!$L202=0,"x",F28/'AW Schüler'!$L202)</f>
        <v>0.61489340959313665</v>
      </c>
      <c r="L28" s="154">
        <f>IF('AW Schüler'!$O202=0,"x",G28/'AW Schüler'!$O202)</f>
        <v>0.65103633464798183</v>
      </c>
    </row>
    <row r="29" spans="1:12" ht="12.75" customHeight="1">
      <c r="A29" s="391" t="s">
        <v>105</v>
      </c>
      <c r="B29" s="392"/>
      <c r="C29" s="392"/>
      <c r="D29" s="392"/>
      <c r="E29" s="392"/>
      <c r="F29" s="392"/>
      <c r="G29" s="392"/>
      <c r="H29" s="392"/>
      <c r="I29" s="392"/>
      <c r="J29" s="392"/>
      <c r="K29" s="392"/>
      <c r="L29" s="393"/>
    </row>
    <row r="30" spans="1:12" ht="9" customHeight="1">
      <c r="A30" s="21" t="s">
        <v>172</v>
      </c>
      <c r="B30" s="120"/>
      <c r="C30" s="23">
        <f>[1]GtS!$E$76</f>
        <v>11433</v>
      </c>
      <c r="D30" s="23">
        <f>[2]GtS!$E$80</f>
        <v>11574</v>
      </c>
      <c r="E30" s="23">
        <f>[3]GtS!$E$80</f>
        <v>11532</v>
      </c>
      <c r="F30" s="23">
        <f>[4]GtS!$E$80</f>
        <v>11821</v>
      </c>
      <c r="G30" s="34">
        <f>[5]GtS!$E$80</f>
        <v>11702</v>
      </c>
      <c r="H30" s="155">
        <f>IF('AW Schüler'!$C186=0,"x",C30/'AW Schüler'!$C186)</f>
        <v>0.74877202174340163</v>
      </c>
      <c r="I30" s="155">
        <f>IF('AW Schüler'!$F186=0,"x",D30/'AW Schüler'!$F186)</f>
        <v>0.7435436207118078</v>
      </c>
      <c r="J30" s="155">
        <f>IF('AW Schüler'!$I186=0,"x",E30/'AW Schüler'!$I186)</f>
        <v>0.73228346456692917</v>
      </c>
      <c r="K30" s="155">
        <f>IF('AW Schüler'!$L186=0,"x",F30/'AW Schüler'!$L186)</f>
        <v>0.74430172522352345</v>
      </c>
      <c r="L30" s="156">
        <f>IF('AW Schüler'!$O186=0,"x",G30/'AW Schüler'!$O186)</f>
        <v>0.78081003536398208</v>
      </c>
    </row>
    <row r="31" spans="1:12" ht="9" customHeight="1">
      <c r="A31" s="21" t="s">
        <v>81</v>
      </c>
      <c r="B31" s="120"/>
      <c r="C31" s="23">
        <f>[6]GtS!$E$76</f>
        <v>747</v>
      </c>
      <c r="D31" s="23">
        <f>[7]GtS!$E$80</f>
        <v>864</v>
      </c>
      <c r="E31" s="23">
        <f>[8]GtS!$E$80</f>
        <v>987</v>
      </c>
      <c r="F31" s="23">
        <f>[9]GtS!$E$80</f>
        <v>1007</v>
      </c>
      <c r="G31" s="34">
        <f>[10]GtS!$E$80</f>
        <v>1026</v>
      </c>
      <c r="H31" s="155">
        <f>IF('AW Schüler'!$C187=0,"x",C31/'AW Schüler'!$C187)</f>
        <v>2.9135301688833416E-2</v>
      </c>
      <c r="I31" s="155">
        <f>IF('AW Schüler'!$F187=0,"x",D31/'AW Schüler'!$F187)</f>
        <v>3.4293879495117884E-2</v>
      </c>
      <c r="J31" s="155">
        <f>IF('AW Schüler'!$I187=0,"x",E31/'AW Schüler'!$I187)</f>
        <v>3.9415358811549062E-2</v>
      </c>
      <c r="K31" s="155">
        <f>IF('AW Schüler'!$L187=0,"x",F31/'AW Schüler'!$L187)</f>
        <v>4.0193182725313324E-2</v>
      </c>
      <c r="L31" s="156">
        <f>IF('AW Schüler'!$O187=0,"x",G31/'AW Schüler'!$O187)</f>
        <v>4.2337212181232979E-2</v>
      </c>
    </row>
    <row r="32" spans="1:12" ht="9" customHeight="1">
      <c r="A32" s="21" t="s">
        <v>82</v>
      </c>
      <c r="B32" s="120"/>
      <c r="C32" s="23">
        <f>[11]GtS!$E$76</f>
        <v>167</v>
      </c>
      <c r="D32" s="23">
        <f>[12]GtS!$E$80</f>
        <v>317</v>
      </c>
      <c r="E32" s="23">
        <f>[13]GtS!$E$80</f>
        <v>380</v>
      </c>
      <c r="F32" s="23">
        <f>[14]GtS!$E$80</f>
        <v>87</v>
      </c>
      <c r="G32" s="34">
        <f>[15]GtS!$E$80</f>
        <v>227</v>
      </c>
      <c r="H32" s="155">
        <f>IF('AW Schüler'!$C188=0,"x",C32/'AW Schüler'!$C188)</f>
        <v>0.21773142112125163</v>
      </c>
      <c r="I32" s="155">
        <f>IF('AW Schüler'!$F188=0,"x",D32/'AW Schüler'!$F188)</f>
        <v>0.44647887323943664</v>
      </c>
      <c r="J32" s="155">
        <f>IF('AW Schüler'!$I188=0,"x",E32/'AW Schüler'!$I188)</f>
        <v>0.52413793103448281</v>
      </c>
      <c r="K32" s="155">
        <f>IF('AW Schüler'!$L188=0,"x",F32/'AW Schüler'!$L188)</f>
        <v>0.12150837988826815</v>
      </c>
      <c r="L32" s="156">
        <f>IF('AW Schüler'!$O188=0,"x",G32/'AW Schüler'!$O188)</f>
        <v>0.42271880819366853</v>
      </c>
    </row>
    <row r="33" spans="1:12" ht="9" customHeight="1">
      <c r="A33" s="21" t="s">
        <v>83</v>
      </c>
      <c r="B33" s="120"/>
      <c r="C33" s="23">
        <f>[16]GtS!$E$76</f>
        <v>888</v>
      </c>
      <c r="D33" s="23">
        <f>[17]GtS!$E$80</f>
        <v>946</v>
      </c>
      <c r="E33" s="23">
        <f>[18]GtS!$E$80</f>
        <v>973</v>
      </c>
      <c r="F33" s="23">
        <f>[19]GtS!$E$80</f>
        <v>978</v>
      </c>
      <c r="G33" s="34">
        <f>[20]GtS!$E$80</f>
        <v>1028</v>
      </c>
      <c r="H33" s="155">
        <f>IF('AW Schüler'!$C189=0,"x",C33/'AW Schüler'!$C189)</f>
        <v>0.84894837476099427</v>
      </c>
      <c r="I33" s="155">
        <f>IF('AW Schüler'!$F189=0,"x",D33/'AW Schüler'!$F189)</f>
        <v>0.84163701067615659</v>
      </c>
      <c r="J33" s="155">
        <f>IF('AW Schüler'!$I189=0,"x",E33/'AW Schüler'!$I189)</f>
        <v>0.83091374893253633</v>
      </c>
      <c r="K33" s="155">
        <f>IF('AW Schüler'!$L189=0,"x",F33/'AW Schüler'!$L189)</f>
        <v>0.84020618556701032</v>
      </c>
      <c r="L33" s="156">
        <f>IF('AW Schüler'!$O189=0,"x",G33/'AW Schüler'!$O189)</f>
        <v>0.87563884156729133</v>
      </c>
    </row>
    <row r="34" spans="1:12" ht="9" customHeight="1">
      <c r="A34" s="21" t="s">
        <v>84</v>
      </c>
      <c r="B34" s="120"/>
      <c r="C34" s="23">
        <f>[21]GtS!$E$76</f>
        <v>0</v>
      </c>
      <c r="D34" s="23">
        <f>[22]GtS!$E$80</f>
        <v>0</v>
      </c>
      <c r="E34" s="23">
        <f>[23]GtS!$E$80</f>
        <v>0</v>
      </c>
      <c r="F34" s="23">
        <f>[24]GtS!$E$80</f>
        <v>0</v>
      </c>
      <c r="G34" s="34">
        <f>[25]GtS!$E$80</f>
        <v>0</v>
      </c>
      <c r="H34" s="155">
        <f>IF('AW Schüler'!$C190=0,"x",C34/'AW Schüler'!$C190)</f>
        <v>0</v>
      </c>
      <c r="I34" s="155">
        <f>IF('AW Schüler'!$F190=0,"x",D34/'AW Schüler'!$F190)</f>
        <v>0</v>
      </c>
      <c r="J34" s="155">
        <f>IF('AW Schüler'!$I190=0,"x",E34/'AW Schüler'!$I190)</f>
        <v>0</v>
      </c>
      <c r="K34" s="155">
        <f>IF('AW Schüler'!$L190=0,"x",F34/'AW Schüler'!$L190)</f>
        <v>0</v>
      </c>
      <c r="L34" s="156">
        <f>IF('AW Schüler'!$O190=0,"x",G34/'AW Schüler'!$O190)</f>
        <v>0</v>
      </c>
    </row>
    <row r="35" spans="1:12" ht="9" customHeight="1">
      <c r="A35" s="21" t="s">
        <v>85</v>
      </c>
      <c r="B35" s="120"/>
      <c r="C35" s="23">
        <f>[26]GtS!$E$76</f>
        <v>533</v>
      </c>
      <c r="D35" s="23">
        <f>[27]GtS!$E$80</f>
        <v>508</v>
      </c>
      <c r="E35" s="23">
        <f>[28]GtS!$E$80</f>
        <v>513</v>
      </c>
      <c r="F35" s="23">
        <f>[29]GtS!$E$80</f>
        <v>485</v>
      </c>
      <c r="G35" s="34">
        <f>[30]GtS!$E$80</f>
        <v>484</v>
      </c>
      <c r="H35" s="155">
        <f>IF('AW Schüler'!$C191=0,"x",C35/'AW Schüler'!$C191)</f>
        <v>0.88245033112582782</v>
      </c>
      <c r="I35" s="155">
        <f>IF('AW Schüler'!$F191=0,"x",D35/'AW Schüler'!$F191)</f>
        <v>0.86986301369863017</v>
      </c>
      <c r="J35" s="155">
        <f>IF('AW Schüler'!$I191=0,"x",E35/'AW Schüler'!$I191)</f>
        <v>0.84933774834437081</v>
      </c>
      <c r="K35" s="155">
        <f>IF('AW Schüler'!$L191=0,"x",F35/'AW Schüler'!$L191)</f>
        <v>0.82064297800338415</v>
      </c>
      <c r="L35" s="156">
        <f>IF('AW Schüler'!$O191=0,"x",G35/'AW Schüler'!$O191)</f>
        <v>0.81895093062605751</v>
      </c>
    </row>
    <row r="36" spans="1:12" ht="9" customHeight="1">
      <c r="A36" s="21" t="s">
        <v>86</v>
      </c>
      <c r="B36" s="120"/>
      <c r="C36" s="124">
        <f>[66]GtS!$E$76</f>
        <v>0</v>
      </c>
      <c r="D36" s="124">
        <f>[67]GtS!$E$80</f>
        <v>0</v>
      </c>
      <c r="E36" s="124">
        <f>[68]GtS!$E$80</f>
        <v>0</v>
      </c>
      <c r="F36" s="124">
        <f>[69]GtS!$E$80</f>
        <v>0</v>
      </c>
      <c r="G36" s="188">
        <f>[70]GtS!$E$80</f>
        <v>0</v>
      </c>
      <c r="H36" s="189">
        <f>IF('AW Schüler'!$C192=0,"x",C36/'AW Schüler'!$C192)</f>
        <v>0</v>
      </c>
      <c r="I36" s="189">
        <f>IF('AW Schüler'!$F192=0,"x",D36/'AW Schüler'!$F192)</f>
        <v>0</v>
      </c>
      <c r="J36" s="189">
        <f>IF('AW Schüler'!$I192=0,"x",E36/'AW Schüler'!$I192)</f>
        <v>0</v>
      </c>
      <c r="K36" s="189">
        <f>IF('AW Schüler'!$L192=0,"x",F36/'AW Schüler'!$L192)</f>
        <v>0</v>
      </c>
      <c r="L36" s="190">
        <f>IF('AW Schüler'!$O192=0,"x",G36/'AW Schüler'!$O192)</f>
        <v>0</v>
      </c>
    </row>
    <row r="37" spans="1:12" ht="9" customHeight="1">
      <c r="A37" s="21" t="s">
        <v>174</v>
      </c>
      <c r="B37" s="120"/>
      <c r="C37" s="23">
        <f>[31]GtS!$E$76</f>
        <v>346</v>
      </c>
      <c r="D37" s="23">
        <f>[32]GtS!$E$80</f>
        <v>374</v>
      </c>
      <c r="E37" s="23">
        <f>[33]GtS!$E$80</f>
        <v>374</v>
      </c>
      <c r="F37" s="23">
        <f>[34]GtS!$E$80</f>
        <v>245</v>
      </c>
      <c r="G37" s="34">
        <f>[35]GtS!$E$80</f>
        <v>258</v>
      </c>
      <c r="H37" s="155">
        <f>IF('AW Schüler'!$C193=0,"x",C37/'AW Schüler'!$C193)</f>
        <v>0.5226586102719033</v>
      </c>
      <c r="I37" s="155">
        <f>IF('AW Schüler'!$F193=0,"x",D37/'AW Schüler'!$F193)</f>
        <v>0.53968253968253965</v>
      </c>
      <c r="J37" s="155">
        <f>IF('AW Schüler'!$I193=0,"x",E37/'AW Schüler'!$I193)</f>
        <v>0.50815217391304346</v>
      </c>
      <c r="K37" s="155">
        <f>IF('AW Schüler'!$L193=0,"x",F37/'AW Schüler'!$L193)</f>
        <v>0.3202614379084967</v>
      </c>
      <c r="L37" s="156">
        <f>IF('AW Schüler'!$O193=0,"x",G37/'AW Schüler'!$O193)</f>
        <v>0.3269961977186312</v>
      </c>
    </row>
    <row r="38" spans="1:12" ht="9" customHeight="1">
      <c r="A38" s="21" t="s">
        <v>88</v>
      </c>
      <c r="B38" s="120"/>
      <c r="C38" s="124">
        <f>[71]GtS!$E$76</f>
        <v>0</v>
      </c>
      <c r="D38" s="124">
        <f>[72]GtS!$E$80</f>
        <v>0</v>
      </c>
      <c r="E38" s="124">
        <f>[73]GtS!$E$80</f>
        <v>0</v>
      </c>
      <c r="F38" s="124">
        <f>[74]GtS!$E$80</f>
        <v>0</v>
      </c>
      <c r="G38" s="188">
        <f>[75]GtS!$E$80</f>
        <v>0</v>
      </c>
      <c r="H38" s="189">
        <f>IF('AW Schüler'!$C194=0,"x",C38/'AW Schüler'!$C194)</f>
        <v>0</v>
      </c>
      <c r="I38" s="189">
        <f>IF('AW Schüler'!$F194=0,"x",D38/'AW Schüler'!$F194)</f>
        <v>0</v>
      </c>
      <c r="J38" s="189">
        <f>IF('AW Schüler'!$I194=0,"x",E38/'AW Schüler'!$I194)</f>
        <v>0</v>
      </c>
      <c r="K38" s="189">
        <f>IF('AW Schüler'!$L194=0,"x",F38/'AW Schüler'!$L194)</f>
        <v>0</v>
      </c>
      <c r="L38" s="190">
        <f>IF('AW Schüler'!$O194=0,"x",G38/'AW Schüler'!$O194)</f>
        <v>0</v>
      </c>
    </row>
    <row r="39" spans="1:12" ht="9" customHeight="1">
      <c r="A39" s="21" t="s">
        <v>89</v>
      </c>
      <c r="B39" s="120"/>
      <c r="C39" s="23">
        <f>[36]GtS!$E$76</f>
        <v>6696</v>
      </c>
      <c r="D39" s="23">
        <f>[37]GtS!$E$80</f>
        <v>5455</v>
      </c>
      <c r="E39" s="23">
        <f>[38]GtS!$E$80</f>
        <v>6686</v>
      </c>
      <c r="F39" s="23">
        <f>[39]GtS!$E$80</f>
        <v>6928</v>
      </c>
      <c r="G39" s="34">
        <f>[40]GtS!$E$80</f>
        <v>7140</v>
      </c>
      <c r="H39" s="155">
        <f>IF('AW Schüler'!$C195=0,"x",C39/'AW Schüler'!$C195)</f>
        <v>0.66839688560590937</v>
      </c>
      <c r="I39" s="155">
        <f>IF('AW Schüler'!$F195=0,"x",D39/'AW Schüler'!$F195)</f>
        <v>0.53988519398258117</v>
      </c>
      <c r="J39" s="155">
        <f>IF('AW Schüler'!$I195=0,"x",E39/'AW Schüler'!$I195)</f>
        <v>0.65497648902821315</v>
      </c>
      <c r="K39" s="155">
        <f>IF('AW Schüler'!$L195=0,"x",F39/'AW Schüler'!$L195)</f>
        <v>0.6845173401837763</v>
      </c>
      <c r="L39" s="156">
        <f>IF('AW Schüler'!$O195=0,"x",G39/'AW Schüler'!$O195)</f>
        <v>0.70896633899314865</v>
      </c>
    </row>
    <row r="40" spans="1:12" ht="9" customHeight="1">
      <c r="A40" s="21" t="s">
        <v>90</v>
      </c>
      <c r="B40" s="120"/>
      <c r="C40" s="23">
        <f>[41]GtS!$E$76</f>
        <v>2430</v>
      </c>
      <c r="D40" s="23">
        <f>[42]GtS!$E$80</f>
        <v>2438</v>
      </c>
      <c r="E40" s="23">
        <f>[43]GtS!$E$80</f>
        <v>2471</v>
      </c>
      <c r="F40" s="23">
        <f>[44]GtS!$E$80</f>
        <v>2470</v>
      </c>
      <c r="G40" s="34">
        <f>[45]GtS!$E$80</f>
        <v>2451</v>
      </c>
      <c r="H40" s="155">
        <f>IF('AW Schüler'!$C196=0,"x",C40/'AW Schüler'!$C196)</f>
        <v>0.92220113851992414</v>
      </c>
      <c r="I40" s="155">
        <f>IF('AW Schüler'!$F196=0,"x",D40/'AW Schüler'!$F196)</f>
        <v>0.92383478590375145</v>
      </c>
      <c r="J40" s="155">
        <f>IF('AW Schüler'!$I196=0,"x",E40/'AW Schüler'!$I196)</f>
        <v>0.91688311688311686</v>
      </c>
      <c r="K40" s="155">
        <f>IF('AW Schüler'!$L196=0,"x",F40/'AW Schüler'!$L196)</f>
        <v>0.90244793569601756</v>
      </c>
      <c r="L40" s="156">
        <f>IF('AW Schüler'!$O196=0,"x",G40/'AW Schüler'!$O196)</f>
        <v>0.88675832127351661</v>
      </c>
    </row>
    <row r="41" spans="1:12" ht="9" customHeight="1">
      <c r="A41" s="21" t="s">
        <v>91</v>
      </c>
      <c r="B41" s="120"/>
      <c r="C41" s="23">
        <f>[46]GtS!$E$76</f>
        <v>221</v>
      </c>
      <c r="D41" s="23">
        <f>[47]GtS!$E$80</f>
        <v>275</v>
      </c>
      <c r="E41" s="23">
        <f>[48]GtS!$E$80</f>
        <v>188</v>
      </c>
      <c r="F41" s="23">
        <f>[49]GtS!$E$80</f>
        <v>182</v>
      </c>
      <c r="G41" s="34">
        <f>[50]GtS!$E$80</f>
        <v>186</v>
      </c>
      <c r="H41" s="155">
        <f>IF('AW Schüler'!$C197=0,"x",C41/'AW Schüler'!$C197)</f>
        <v>0.63142857142857145</v>
      </c>
      <c r="I41" s="155">
        <f>IF('AW Schüler'!$F197=0,"x",D41/'AW Schüler'!$F197)</f>
        <v>0.81602373887240354</v>
      </c>
      <c r="J41" s="155">
        <f>IF('AW Schüler'!$I197=0,"x",E41/'AW Schüler'!$I197)</f>
        <v>0.54970760233918126</v>
      </c>
      <c r="K41" s="155">
        <f>IF('AW Schüler'!$L197=0,"x",F41/'AW Schüler'!$L197)</f>
        <v>0.55828220858895705</v>
      </c>
      <c r="L41" s="156">
        <f>IF('AW Schüler'!$O197=0,"x",G41/'AW Schüler'!$O197)</f>
        <v>0.58490566037735847</v>
      </c>
    </row>
    <row r="42" spans="1:12" ht="9" customHeight="1">
      <c r="A42" s="21" t="s">
        <v>92</v>
      </c>
      <c r="B42" s="120"/>
      <c r="C42" s="36">
        <f>[51]GtS!$E$76</f>
        <v>466</v>
      </c>
      <c r="D42" s="36">
        <f>[52]GtS!$E$80</f>
        <v>445</v>
      </c>
      <c r="E42" s="36">
        <f>[53]GtS!$E$80</f>
        <v>436</v>
      </c>
      <c r="F42" s="36">
        <f>[54]GtS!$E$80</f>
        <v>452</v>
      </c>
      <c r="G42" s="37">
        <f>[55]GtS!$E$80</f>
        <v>432</v>
      </c>
      <c r="H42" s="155">
        <f>IF('AW Schüler'!$C198=0,"x",C42/'AW Schüler'!$C198)</f>
        <v>0.39829059829059826</v>
      </c>
      <c r="I42" s="155">
        <f>IF('AW Schüler'!$F198=0,"x",D42/'AW Schüler'!$F198)</f>
        <v>0.37083333333333335</v>
      </c>
      <c r="J42" s="155">
        <f>IF('AW Schüler'!$I198=0,"x",E42/'AW Schüler'!$I198)</f>
        <v>0.3449367088607595</v>
      </c>
      <c r="K42" s="155">
        <f>IF('AW Schüler'!$L198=0,"x",F42/'AW Schüler'!$L198)</f>
        <v>0.3578780680918448</v>
      </c>
      <c r="L42" s="156">
        <f>IF('AW Schüler'!$O198=0,"x",G42/'AW Schüler'!$O198)</f>
        <v>0.3377638780297107</v>
      </c>
    </row>
    <row r="43" spans="1:12" ht="9" customHeight="1">
      <c r="A43" s="21" t="s">
        <v>93</v>
      </c>
      <c r="B43" s="120"/>
      <c r="C43" s="124">
        <f>[76]GtS!$E$76</f>
        <v>0</v>
      </c>
      <c r="D43" s="124">
        <f>[77]GtS!$E$80</f>
        <v>0</v>
      </c>
      <c r="E43" s="124">
        <f>[78]GtS!$E$80</f>
        <v>0</v>
      </c>
      <c r="F43" s="124">
        <f>[79]GtS!$E$80</f>
        <v>0</v>
      </c>
      <c r="G43" s="188">
        <f>[80]GtS!$E$80</f>
        <v>0</v>
      </c>
      <c r="H43" s="189">
        <f>IF('AW Schüler'!$C199=0,"x",C43/'AW Schüler'!$C199)</f>
        <v>0</v>
      </c>
      <c r="I43" s="189">
        <f>IF('AW Schüler'!$F199=0,"x",D43/'AW Schüler'!$F199)</f>
        <v>0</v>
      </c>
      <c r="J43" s="189">
        <f>IF('AW Schüler'!$I199=0,"x",E43/'AW Schüler'!$I199)</f>
        <v>0</v>
      </c>
      <c r="K43" s="189">
        <f>IF('AW Schüler'!$L199=0,"x",F43/'AW Schüler'!$L199)</f>
        <v>0</v>
      </c>
      <c r="L43" s="190">
        <f>IF('AW Schüler'!$O199=0,"x",G43/'AW Schüler'!$O199)</f>
        <v>0</v>
      </c>
    </row>
    <row r="44" spans="1:12" ht="9" customHeight="1">
      <c r="A44" s="21" t="s">
        <v>94</v>
      </c>
      <c r="B44" s="120"/>
      <c r="C44" s="23">
        <f>[56]GtS!$E$76</f>
        <v>0</v>
      </c>
      <c r="D44" s="23">
        <f>[57]GtS!$E$80</f>
        <v>0</v>
      </c>
      <c r="E44" s="23">
        <f>[58]GtS!$E$80</f>
        <v>0</v>
      </c>
      <c r="F44" s="23">
        <f>[59]GtS!$E$80</f>
        <v>0</v>
      </c>
      <c r="G44" s="34">
        <f>[60]GtS!$E$80</f>
        <v>0</v>
      </c>
      <c r="H44" s="155">
        <f>IF('AW Schüler'!$C200=0,"x",C44/'AW Schüler'!$C200)</f>
        <v>0</v>
      </c>
      <c r="I44" s="155">
        <f>IF('AW Schüler'!$F200=0,"x",D44/'AW Schüler'!$F200)</f>
        <v>0</v>
      </c>
      <c r="J44" s="155">
        <f>IF('AW Schüler'!$I200=0,"x",E44/'AW Schüler'!$I200)</f>
        <v>0</v>
      </c>
      <c r="K44" s="155">
        <f>IF('AW Schüler'!$L200=0,"x",F44/'AW Schüler'!$L200)</f>
        <v>0</v>
      </c>
      <c r="L44" s="156">
        <f>IF('AW Schüler'!$O200=0,"x",G44/'AW Schüler'!$O200)</f>
        <v>0</v>
      </c>
    </row>
    <row r="45" spans="1:12" ht="9" customHeight="1">
      <c r="A45" s="21" t="s">
        <v>95</v>
      </c>
      <c r="B45" s="120"/>
      <c r="C45" s="23">
        <f>[61]GtS!$E$76</f>
        <v>2223</v>
      </c>
      <c r="D45" s="23">
        <f>[62]GtS!$E$80</f>
        <v>2228</v>
      </c>
      <c r="E45" s="23">
        <f>[63]GtS!$E$80</f>
        <v>2227</v>
      </c>
      <c r="F45" s="23">
        <f>[64]GtS!$E$80</f>
        <v>2258</v>
      </c>
      <c r="G45" s="34">
        <f>[65]GtS!$E$80</f>
        <v>2221</v>
      </c>
      <c r="H45" s="155">
        <f>IF('AW Schüler'!$C201=0,"x",C45/'AW Schüler'!$C201)</f>
        <v>1</v>
      </c>
      <c r="I45" s="155">
        <f>IF('AW Schüler'!$F201=0,"x",D45/'AW Schüler'!$F201)</f>
        <v>1</v>
      </c>
      <c r="J45" s="155">
        <f>IF('AW Schüler'!$I201=0,"x",E45/'AW Schüler'!$I201)</f>
        <v>1</v>
      </c>
      <c r="K45" s="155">
        <f>IF('AW Schüler'!$L201=0,"x",F45/'AW Schüler'!$L201)</f>
        <v>1</v>
      </c>
      <c r="L45" s="156">
        <f>IF('AW Schüler'!$O201=0,"x",G45/'AW Schüler'!$O201)</f>
        <v>1</v>
      </c>
    </row>
    <row r="46" spans="1:12" ht="9" customHeight="1">
      <c r="A46" s="21" t="s">
        <v>96</v>
      </c>
      <c r="B46" s="120"/>
      <c r="C46" s="23">
        <f>SUM(C30:C45)</f>
        <v>26150</v>
      </c>
      <c r="D46" s="23">
        <f>SUM(D30:D45)</f>
        <v>25424</v>
      </c>
      <c r="E46" s="23">
        <f>SUM(E30:E45)</f>
        <v>26767</v>
      </c>
      <c r="F46" s="23">
        <f>SUM(F30:F45)</f>
        <v>26913</v>
      </c>
      <c r="G46" s="34">
        <f>SUM(G30:G45)</f>
        <v>27155</v>
      </c>
      <c r="H46" s="155">
        <f>IF('AW Schüler'!$C202=0,"x",C46/'AW Schüler'!$C202)</f>
        <v>0.42788886343554666</v>
      </c>
      <c r="I46" s="155">
        <f>IF('AW Schüler'!$F202=0,"x",D46/'AW Schüler'!$F202)</f>
        <v>0.41615242335455782</v>
      </c>
      <c r="J46" s="155">
        <f>IF('AW Schüler'!$I202=0,"x",E46/'AW Schüler'!$I202)</f>
        <v>0.43560408800937378</v>
      </c>
      <c r="K46" s="155">
        <f>IF('AW Schüler'!$L202=0,"x",F46/'AW Schüler'!$L202)</f>
        <v>0.43729689327960486</v>
      </c>
      <c r="L46" s="156">
        <f>IF('AW Schüler'!$O202=0,"x",G46/'AW Schüler'!$O202)</f>
        <v>0.45573550390198875</v>
      </c>
    </row>
    <row r="47" spans="1:12" ht="12.75" customHeight="1">
      <c r="A47" s="391" t="s">
        <v>100</v>
      </c>
      <c r="B47" s="392"/>
      <c r="C47" s="392"/>
      <c r="D47" s="392"/>
      <c r="E47" s="392"/>
      <c r="F47" s="392"/>
      <c r="G47" s="392"/>
      <c r="H47" s="392"/>
      <c r="I47" s="392"/>
      <c r="J47" s="392"/>
      <c r="K47" s="392"/>
      <c r="L47" s="393"/>
    </row>
    <row r="48" spans="1:12" ht="9" customHeight="1">
      <c r="A48" s="21" t="s">
        <v>172</v>
      </c>
      <c r="B48" s="120"/>
      <c r="C48" s="23">
        <f>[1]GtS!$H$76</f>
        <v>9</v>
      </c>
      <c r="D48" s="23">
        <f>[2]GtS!$H$80</f>
        <v>9</v>
      </c>
      <c r="E48" s="23">
        <f>[3]GtS!$H$80</f>
        <v>9</v>
      </c>
      <c r="F48" s="23">
        <f>[4]GtS!$H$80</f>
        <v>9</v>
      </c>
      <c r="G48" s="34">
        <f>[5]GtS!$H$80</f>
        <v>10</v>
      </c>
      <c r="H48" s="155">
        <f>IF('AW Schüler'!$C186=0,"x",C48/'AW Schüler'!$C186)</f>
        <v>5.894295631672015E-4</v>
      </c>
      <c r="I48" s="155">
        <f>IF('AW Schüler'!$F186=0,"x",D48/'AW Schüler'!$F186)</f>
        <v>5.7818321983810867E-4</v>
      </c>
      <c r="J48" s="155">
        <f>IF('AW Schüler'!$I186=0,"x",E48/'AW Schüler'!$I186)</f>
        <v>5.7150114300228599E-4</v>
      </c>
      <c r="K48" s="155">
        <f>IF('AW Schüler'!$L186=0,"x",F48/'AW Schüler'!$L186)</f>
        <v>5.6667925953910088E-4</v>
      </c>
      <c r="L48" s="156">
        <f>IF('AW Schüler'!$O186=0,"x",G48/'AW Schüler'!$O186)</f>
        <v>6.6724494561953688E-4</v>
      </c>
    </row>
    <row r="49" spans="1:12" ht="9" customHeight="1">
      <c r="A49" s="21" t="s">
        <v>81</v>
      </c>
      <c r="B49" s="120"/>
      <c r="C49" s="23">
        <f>[6]GtS!$H$76</f>
        <v>8993</v>
      </c>
      <c r="D49" s="23">
        <f>[7]GtS!$H$80</f>
        <v>8817</v>
      </c>
      <c r="E49" s="23">
        <f>[8]GtS!$H$80</f>
        <v>10353</v>
      </c>
      <c r="F49" s="23">
        <f>[9]GtS!$H$80</f>
        <v>10416</v>
      </c>
      <c r="G49" s="34">
        <f>[10]GtS!$H$80</f>
        <v>11262</v>
      </c>
      <c r="H49" s="155">
        <f>IF('AW Schüler'!$C187=0,"x",C49/'AW Schüler'!$C187)</f>
        <v>0.35075470962206012</v>
      </c>
      <c r="I49" s="155">
        <f>IF('AW Schüler'!$F187=0,"x",D49/'AW Schüler'!$F187)</f>
        <v>0.34996427720885925</v>
      </c>
      <c r="J49" s="155">
        <f>IF('AW Schüler'!$I187=0,"x",E49/'AW Schüler'!$I187)</f>
        <v>0.4134419551934827</v>
      </c>
      <c r="K49" s="155">
        <f>IF('AW Schüler'!$L187=0,"x",F49/'AW Schüler'!$L187)</f>
        <v>0.41574199728586253</v>
      </c>
      <c r="L49" s="156">
        <f>IF('AW Schüler'!$O187=0,"x",G49/'AW Schüler'!$O187)</f>
        <v>0.46471898984897253</v>
      </c>
    </row>
    <row r="50" spans="1:12" ht="9" customHeight="1">
      <c r="A50" s="21" t="s">
        <v>82</v>
      </c>
      <c r="B50" s="120"/>
      <c r="C50" s="23">
        <f>[11]GtS!$H$76</f>
        <v>0</v>
      </c>
      <c r="D50" s="23">
        <f>[12]GtS!$H$80</f>
        <v>0</v>
      </c>
      <c r="E50" s="23">
        <f>[13]GtS!$H$80</f>
        <v>19</v>
      </c>
      <c r="F50" s="23">
        <f>[14]GtS!$H$80</f>
        <v>48</v>
      </c>
      <c r="G50" s="34">
        <f>[15]GtS!$H$80</f>
        <v>0</v>
      </c>
      <c r="H50" s="155">
        <f>IF('AW Schüler'!$C188=0,"x",C50/'AW Schüler'!$C188)</f>
        <v>0</v>
      </c>
      <c r="I50" s="155">
        <f>IF('AW Schüler'!$F188=0,"x",D50/'AW Schüler'!$F188)</f>
        <v>0</v>
      </c>
      <c r="J50" s="155">
        <f>IF('AW Schüler'!$I188=0,"x",E50/'AW Schüler'!$I188)</f>
        <v>2.6206896551724139E-2</v>
      </c>
      <c r="K50" s="155">
        <f>IF('AW Schüler'!$L188=0,"x",F50/'AW Schüler'!$L188)</f>
        <v>6.7039106145251395E-2</v>
      </c>
      <c r="L50" s="156">
        <f>IF('AW Schüler'!$O188=0,"x",G50/'AW Schüler'!$O188)</f>
        <v>0</v>
      </c>
    </row>
    <row r="51" spans="1:12" ht="9" customHeight="1">
      <c r="A51" s="21" t="s">
        <v>83</v>
      </c>
      <c r="B51" s="120"/>
      <c r="C51" s="23">
        <f>[16]GtS!$H$76</f>
        <v>125</v>
      </c>
      <c r="D51" s="23">
        <f>[17]GtS!$H$80</f>
        <v>113</v>
      </c>
      <c r="E51" s="23">
        <f>[18]GtS!$H$80</f>
        <v>126</v>
      </c>
      <c r="F51" s="23">
        <f>[19]GtS!$H$80</f>
        <v>119</v>
      </c>
      <c r="G51" s="34">
        <f>[20]GtS!$H$80</f>
        <v>96</v>
      </c>
      <c r="H51" s="155">
        <f>IF('AW Schüler'!$C189=0,"x",C51/'AW Schüler'!$C189)</f>
        <v>0.11950286806883365</v>
      </c>
      <c r="I51" s="155">
        <f>IF('AW Schüler'!$F189=0,"x",D51/'AW Schüler'!$F189)</f>
        <v>0.10053380782918149</v>
      </c>
      <c r="J51" s="155">
        <f>IF('AW Schüler'!$I189=0,"x",E51/'AW Schüler'!$I189)</f>
        <v>0.10760034158838599</v>
      </c>
      <c r="K51" s="155">
        <f>IF('AW Schüler'!$L189=0,"x",F51/'AW Schüler'!$L189)</f>
        <v>0.10223367697594501</v>
      </c>
      <c r="L51" s="156">
        <f>IF('AW Schüler'!$O189=0,"x",G51/'AW Schüler'!$O189)</f>
        <v>8.1771720613287899E-2</v>
      </c>
    </row>
    <row r="52" spans="1:12" ht="9" customHeight="1">
      <c r="A52" s="21" t="s">
        <v>84</v>
      </c>
      <c r="B52" s="120"/>
      <c r="C52" s="23">
        <f>[21]GtS!$H$76</f>
        <v>45</v>
      </c>
      <c r="D52" s="23">
        <f>[22]GtS!$H$80</f>
        <v>0</v>
      </c>
      <c r="E52" s="23">
        <f>[23]GtS!$H$80</f>
        <v>0</v>
      </c>
      <c r="F52" s="23">
        <f>[24]GtS!$H$80</f>
        <v>0</v>
      </c>
      <c r="G52" s="34">
        <f>[25]GtS!$H$80</f>
        <v>0</v>
      </c>
      <c r="H52" s="155">
        <f>IF('AW Schüler'!$C190=0,"x",C52/'AW Schüler'!$C190)</f>
        <v>0.35714285714285715</v>
      </c>
      <c r="I52" s="155">
        <f>IF('AW Schüler'!$F190=0,"x",D52/'AW Schüler'!$F190)</f>
        <v>0</v>
      </c>
      <c r="J52" s="155">
        <f>IF('AW Schüler'!$I190=0,"x",E52/'AW Schüler'!$I190)</f>
        <v>0</v>
      </c>
      <c r="K52" s="155">
        <f>IF('AW Schüler'!$L190=0,"x",F52/'AW Schüler'!$L190)</f>
        <v>0</v>
      </c>
      <c r="L52" s="156">
        <f>IF('AW Schüler'!$O190=0,"x",G52/'AW Schüler'!$O190)</f>
        <v>0</v>
      </c>
    </row>
    <row r="53" spans="1:12" ht="9" customHeight="1">
      <c r="A53" s="21" t="s">
        <v>85</v>
      </c>
      <c r="B53" s="120"/>
      <c r="C53" s="23">
        <f>[26]GtS!$H$76</f>
        <v>0</v>
      </c>
      <c r="D53" s="23">
        <f>[27]GtS!$H$80</f>
        <v>0</v>
      </c>
      <c r="E53" s="23">
        <f>[28]GtS!$H$80</f>
        <v>0</v>
      </c>
      <c r="F53" s="23">
        <f>[29]GtS!$H$80</f>
        <v>0</v>
      </c>
      <c r="G53" s="34">
        <f>[30]GtS!$H$80</f>
        <v>0</v>
      </c>
      <c r="H53" s="155">
        <f>IF('AW Schüler'!$C191=0,"x",C53/'AW Schüler'!$C191)</f>
        <v>0</v>
      </c>
      <c r="I53" s="155">
        <f>IF('AW Schüler'!$F191=0,"x",D53/'AW Schüler'!$F191)</f>
        <v>0</v>
      </c>
      <c r="J53" s="155">
        <f>IF('AW Schüler'!$I191=0,"x",E53/'AW Schüler'!$I191)</f>
        <v>0</v>
      </c>
      <c r="K53" s="155">
        <f>IF('AW Schüler'!$L191=0,"x",F53/'AW Schüler'!$L191)</f>
        <v>0</v>
      </c>
      <c r="L53" s="156">
        <f>IF('AW Schüler'!$O191=0,"x",G53/'AW Schüler'!$O191)</f>
        <v>0</v>
      </c>
    </row>
    <row r="54" spans="1:12" ht="9" customHeight="1">
      <c r="A54" s="21" t="s">
        <v>86</v>
      </c>
      <c r="B54" s="120"/>
      <c r="C54" s="124">
        <f>[66]GtS!$H$76</f>
        <v>0</v>
      </c>
      <c r="D54" s="124">
        <f>[67]GtS!$H$80</f>
        <v>0</v>
      </c>
      <c r="E54" s="124">
        <f>[68]GtS!$H$80</f>
        <v>0</v>
      </c>
      <c r="F54" s="124">
        <f>[69]GtS!$H$80</f>
        <v>0</v>
      </c>
      <c r="G54" s="188">
        <f>[70]GtS!$H$80</f>
        <v>0</v>
      </c>
      <c r="H54" s="189">
        <f>IF('AW Schüler'!$C192=0,"x",C54/'AW Schüler'!$C192)</f>
        <v>0</v>
      </c>
      <c r="I54" s="189">
        <f>IF('AW Schüler'!$F192=0,"x",D54/'AW Schüler'!$F192)</f>
        <v>0</v>
      </c>
      <c r="J54" s="189">
        <f>IF('AW Schüler'!$I192=0,"x",E54/'AW Schüler'!$I192)</f>
        <v>0</v>
      </c>
      <c r="K54" s="189">
        <f>IF('AW Schüler'!$L192=0,"x",F54/'AW Schüler'!$L192)</f>
        <v>0</v>
      </c>
      <c r="L54" s="190">
        <f>IF('AW Schüler'!$O192=0,"x",G54/'AW Schüler'!$O192)</f>
        <v>0</v>
      </c>
    </row>
    <row r="55" spans="1:12" ht="9" customHeight="1">
      <c r="A55" s="21" t="s">
        <v>174</v>
      </c>
      <c r="B55" s="120"/>
      <c r="C55" s="23">
        <f>[31]GtS!$H$76</f>
        <v>36</v>
      </c>
      <c r="D55" s="23">
        <f>[32]GtS!$H$80</f>
        <v>47</v>
      </c>
      <c r="E55" s="23">
        <f>[33]GtS!$H$80</f>
        <v>47</v>
      </c>
      <c r="F55" s="23">
        <f>[34]GtS!$H$80</f>
        <v>49</v>
      </c>
      <c r="G55" s="34">
        <f>[35]GtS!$H$80</f>
        <v>0</v>
      </c>
      <c r="H55" s="155">
        <f>IF('AW Schüler'!$C193=0,"x",C55/'AW Schüler'!$C193)</f>
        <v>5.4380664652567974E-2</v>
      </c>
      <c r="I55" s="155">
        <f>IF('AW Schüler'!$F193=0,"x",D55/'AW Schüler'!$F193)</f>
        <v>6.7821067821067824E-2</v>
      </c>
      <c r="J55" s="155">
        <f>IF('AW Schüler'!$I193=0,"x",E55/'AW Schüler'!$I193)</f>
        <v>6.3858695652173919E-2</v>
      </c>
      <c r="K55" s="155">
        <f>IF('AW Schüler'!$L193=0,"x",F55/'AW Schüler'!$L193)</f>
        <v>6.4052287581699341E-2</v>
      </c>
      <c r="L55" s="156">
        <f>IF('AW Schüler'!$O193=0,"x",G55/'AW Schüler'!$O193)</f>
        <v>0</v>
      </c>
    </row>
    <row r="56" spans="1:12" ht="9" customHeight="1">
      <c r="A56" s="21" t="s">
        <v>88</v>
      </c>
      <c r="B56" s="120"/>
      <c r="C56" s="124">
        <f>[71]GtS!$H$76</f>
        <v>0</v>
      </c>
      <c r="D56" s="124">
        <f>[72]GtS!$H$80</f>
        <v>0</v>
      </c>
      <c r="E56" s="124">
        <f>[73]GtS!$H$80</f>
        <v>0</v>
      </c>
      <c r="F56" s="124">
        <f>[74]GtS!$H$80</f>
        <v>0</v>
      </c>
      <c r="G56" s="188">
        <f>[75]GtS!$H$80</f>
        <v>0</v>
      </c>
      <c r="H56" s="189">
        <f>IF('AW Schüler'!$C194=0,"x",C56/'AW Schüler'!$C194)</f>
        <v>0</v>
      </c>
      <c r="I56" s="189">
        <f>IF('AW Schüler'!$F194=0,"x",D56/'AW Schüler'!$F194)</f>
        <v>0</v>
      </c>
      <c r="J56" s="189">
        <f>IF('AW Schüler'!$I194=0,"x",E56/'AW Schüler'!$I194)</f>
        <v>0</v>
      </c>
      <c r="K56" s="189">
        <f>IF('AW Schüler'!$L194=0,"x",F56/'AW Schüler'!$L194)</f>
        <v>0</v>
      </c>
      <c r="L56" s="190">
        <f>IF('AW Schüler'!$O194=0,"x",G56/'AW Schüler'!$O194)</f>
        <v>0</v>
      </c>
    </row>
    <row r="57" spans="1:12" ht="9" customHeight="1">
      <c r="A57" s="21" t="s">
        <v>89</v>
      </c>
      <c r="B57" s="120"/>
      <c r="C57" s="23">
        <f>[36]GtS!$H$76</f>
        <v>58</v>
      </c>
      <c r="D57" s="23">
        <f>[37]GtS!$H$80</f>
        <v>58</v>
      </c>
      <c r="E57" s="23">
        <f>[38]GtS!$H$80</f>
        <v>102</v>
      </c>
      <c r="F57" s="23">
        <f>[39]GtS!$H$80</f>
        <v>189</v>
      </c>
      <c r="G57" s="34">
        <f>[40]GtS!$H$80</f>
        <v>176</v>
      </c>
      <c r="H57" s="155">
        <f>IF('AW Schüler'!$C195=0,"x",C57/'AW Schüler'!$C195)</f>
        <v>5.789578758235177E-3</v>
      </c>
      <c r="I57" s="155">
        <f>IF('AW Schüler'!$F195=0,"x",D57/'AW Schüler'!$F195)</f>
        <v>5.7403008709422014E-3</v>
      </c>
      <c r="J57" s="155">
        <f>IF('AW Schüler'!$I195=0,"x",E57/'AW Schüler'!$I195)</f>
        <v>9.9921630094043888E-3</v>
      </c>
      <c r="K57" s="155">
        <f>IF('AW Schüler'!$L195=0,"x",F57/'AW Schüler'!$L195)</f>
        <v>1.8674044066791819E-2</v>
      </c>
      <c r="L57" s="156">
        <f>IF('AW Schüler'!$O195=0,"x",G57/'AW Schüler'!$O195)</f>
        <v>1.7475920961175652E-2</v>
      </c>
    </row>
    <row r="58" spans="1:12" ht="9" customHeight="1">
      <c r="A58" s="21" t="s">
        <v>90</v>
      </c>
      <c r="B58" s="120"/>
      <c r="C58" s="23">
        <f>[41]GtS!$H$76</f>
        <v>0</v>
      </c>
      <c r="D58" s="23">
        <f>[42]GtS!$H$80</f>
        <v>0</v>
      </c>
      <c r="E58" s="23">
        <f>[43]GtS!$H$80</f>
        <v>0</v>
      </c>
      <c r="F58" s="23">
        <f>[44]GtS!$H$80</f>
        <v>0</v>
      </c>
      <c r="G58" s="34">
        <f>[45]GtS!$H$80</f>
        <v>0</v>
      </c>
      <c r="H58" s="155">
        <f>IF('AW Schüler'!$C196=0,"x",C58/'AW Schüler'!$C196)</f>
        <v>0</v>
      </c>
      <c r="I58" s="155">
        <f>IF('AW Schüler'!$F196=0,"x",D58/'AW Schüler'!$F196)</f>
        <v>0</v>
      </c>
      <c r="J58" s="155">
        <f>IF('AW Schüler'!$I196=0,"x",E58/'AW Schüler'!$I196)</f>
        <v>0</v>
      </c>
      <c r="K58" s="155">
        <f>IF('AW Schüler'!$L196=0,"x",F58/'AW Schüler'!$L196)</f>
        <v>0</v>
      </c>
      <c r="L58" s="156">
        <f>IF('AW Schüler'!$O196=0,"x",G58/'AW Schüler'!$O196)</f>
        <v>0</v>
      </c>
    </row>
    <row r="59" spans="1:12" ht="9" customHeight="1">
      <c r="A59" s="21" t="s">
        <v>91</v>
      </c>
      <c r="B59" s="120"/>
      <c r="C59" s="23">
        <f>[46]GtS!$H$76</f>
        <v>0</v>
      </c>
      <c r="D59" s="23">
        <f>[47]GtS!$H$80</f>
        <v>0</v>
      </c>
      <c r="E59" s="23">
        <f>[48]GtS!$H$80</f>
        <v>0</v>
      </c>
      <c r="F59" s="23">
        <f>[49]GtS!$H$80</f>
        <v>0</v>
      </c>
      <c r="G59" s="34">
        <f>[50]GtS!$H$80</f>
        <v>0</v>
      </c>
      <c r="H59" s="155">
        <f>IF('AW Schüler'!$C197=0,"x",C59/'AW Schüler'!$C197)</f>
        <v>0</v>
      </c>
      <c r="I59" s="155">
        <f>IF('AW Schüler'!$F197=0,"x",D59/'AW Schüler'!$F197)</f>
        <v>0</v>
      </c>
      <c r="J59" s="155">
        <f>IF('AW Schüler'!$I197=0,"x",E59/'AW Schüler'!$I197)</f>
        <v>0</v>
      </c>
      <c r="K59" s="155">
        <f>IF('AW Schüler'!$L197=0,"x",F59/'AW Schüler'!$L197)</f>
        <v>0</v>
      </c>
      <c r="L59" s="156">
        <f>IF('AW Schüler'!$O197=0,"x",G59/'AW Schüler'!$O197)</f>
        <v>0</v>
      </c>
    </row>
    <row r="60" spans="1:12" ht="9" customHeight="1">
      <c r="A60" s="21" t="s">
        <v>92</v>
      </c>
      <c r="B60" s="120"/>
      <c r="C60" s="23">
        <f>[51]GtS!$H$76</f>
        <v>0</v>
      </c>
      <c r="D60" s="23">
        <f>[52]GtS!$H$80</f>
        <v>0</v>
      </c>
      <c r="E60" s="23">
        <f>[53]GtS!$H$80</f>
        <v>0</v>
      </c>
      <c r="F60" s="23">
        <f>[54]GtS!$H$80</f>
        <v>0</v>
      </c>
      <c r="G60" s="34">
        <f>[55]GtS!$H$80</f>
        <v>0</v>
      </c>
      <c r="H60" s="155">
        <f>IF('AW Schüler'!$C198=0,"x",C60/'AW Schüler'!$C198)</f>
        <v>0</v>
      </c>
      <c r="I60" s="155">
        <f>IF('AW Schüler'!$F198=0,"x",D60/'AW Schüler'!$F198)</f>
        <v>0</v>
      </c>
      <c r="J60" s="155">
        <f>IF('AW Schüler'!$I198=0,"x",E60/'AW Schüler'!$I198)</f>
        <v>0</v>
      </c>
      <c r="K60" s="155">
        <f>IF('AW Schüler'!$L198=0,"x",F60/'AW Schüler'!$L198)</f>
        <v>0</v>
      </c>
      <c r="L60" s="156">
        <f>IF('AW Schüler'!$O198=0,"x",G60/'AW Schüler'!$O198)</f>
        <v>0</v>
      </c>
    </row>
    <row r="61" spans="1:12" ht="9" customHeight="1">
      <c r="A61" s="21" t="s">
        <v>93</v>
      </c>
      <c r="B61" s="120"/>
      <c r="C61" s="124">
        <f>[76]GtS!$H$76</f>
        <v>0</v>
      </c>
      <c r="D61" s="124">
        <f>[77]GtS!$H$80</f>
        <v>0</v>
      </c>
      <c r="E61" s="124">
        <f>[78]GtS!$H$80</f>
        <v>0</v>
      </c>
      <c r="F61" s="124">
        <f>[79]GtS!$H$80</f>
        <v>0</v>
      </c>
      <c r="G61" s="188">
        <f>[80]GtS!$H$80</f>
        <v>0</v>
      </c>
      <c r="H61" s="189">
        <f>IF('AW Schüler'!$C199=0,"x",C61/'AW Schüler'!$C199)</f>
        <v>0</v>
      </c>
      <c r="I61" s="189">
        <f>IF('AW Schüler'!$F199=0,"x",D61/'AW Schüler'!$F199)</f>
        <v>0</v>
      </c>
      <c r="J61" s="189">
        <f>IF('AW Schüler'!$I199=0,"x",E61/'AW Schüler'!$I199)</f>
        <v>0</v>
      </c>
      <c r="K61" s="189">
        <f>IF('AW Schüler'!$L199=0,"x",F61/'AW Schüler'!$L199)</f>
        <v>0</v>
      </c>
      <c r="L61" s="190">
        <f>IF('AW Schüler'!$O199=0,"x",G61/'AW Schüler'!$O199)</f>
        <v>0</v>
      </c>
    </row>
    <row r="62" spans="1:12" ht="9" customHeight="1">
      <c r="A62" s="21" t="s">
        <v>94</v>
      </c>
      <c r="B62" s="120"/>
      <c r="C62" s="23">
        <f>[56]GtS!$H$76</f>
        <v>81</v>
      </c>
      <c r="D62" s="23">
        <f>[57]GtS!$H$80</f>
        <v>81</v>
      </c>
      <c r="E62" s="23">
        <f>[58]GtS!$H$80</f>
        <v>0</v>
      </c>
      <c r="F62" s="23">
        <f>[59]GtS!$H$80</f>
        <v>100</v>
      </c>
      <c r="G62" s="34">
        <f>[60]GtS!$H$80</f>
        <v>93</v>
      </c>
      <c r="H62" s="155">
        <f>IF('AW Schüler'!$C200=0,"x",C62/'AW Schüler'!$C200)</f>
        <v>0.13388429752066117</v>
      </c>
      <c r="I62" s="155">
        <f>IF('AW Schüler'!$F200=0,"x",D62/'AW Schüler'!$F200)</f>
        <v>0.13775510204081631</v>
      </c>
      <c r="J62" s="155">
        <f>IF('AW Schüler'!$I200=0,"x",E62/'AW Schüler'!$I200)</f>
        <v>0</v>
      </c>
      <c r="K62" s="155">
        <f>IF('AW Schüler'!$L200=0,"x",F62/'AW Schüler'!$L200)</f>
        <v>0.18315018315018314</v>
      </c>
      <c r="L62" s="156">
        <f>IF('AW Schüler'!$O200=0,"x",G62/'AW Schüler'!$O200)</f>
        <v>0.18902439024390244</v>
      </c>
    </row>
    <row r="63" spans="1:12" ht="9" customHeight="1">
      <c r="A63" s="21" t="s">
        <v>95</v>
      </c>
      <c r="B63" s="120"/>
      <c r="C63" s="23">
        <f>[61]GtS!$H$76</f>
        <v>0</v>
      </c>
      <c r="D63" s="23">
        <f>[62]GtS!$H$80</f>
        <v>0</v>
      </c>
      <c r="E63" s="23">
        <f>[63]GtS!$H$80</f>
        <v>0</v>
      </c>
      <c r="F63" s="23">
        <f>[64]GtS!$H$80</f>
        <v>0</v>
      </c>
      <c r="G63" s="34">
        <f>[65]GtS!$H$80</f>
        <v>0</v>
      </c>
      <c r="H63" s="155">
        <f>IF('AW Schüler'!$C201=0,"x",C63/'AW Schüler'!$C201)</f>
        <v>0</v>
      </c>
      <c r="I63" s="155">
        <f>IF('AW Schüler'!$F201=0,"x",D63/'AW Schüler'!$F201)</f>
        <v>0</v>
      </c>
      <c r="J63" s="155">
        <f>IF('AW Schüler'!$I201=0,"x",E63/'AW Schüler'!$I201)</f>
        <v>0</v>
      </c>
      <c r="K63" s="155">
        <f>IF('AW Schüler'!$L201=0,"x",F63/'AW Schüler'!$L201)</f>
        <v>0</v>
      </c>
      <c r="L63" s="156">
        <f>IF('AW Schüler'!$O201=0,"x",G63/'AW Schüler'!$O201)</f>
        <v>0</v>
      </c>
    </row>
    <row r="64" spans="1:12" ht="8.65" customHeight="1">
      <c r="A64" s="24" t="s">
        <v>96</v>
      </c>
      <c r="B64" s="121"/>
      <c r="C64" s="26">
        <f>SUM(C48:C63)</f>
        <v>9347</v>
      </c>
      <c r="D64" s="26">
        <f>SUM(D48:D63)</f>
        <v>9125</v>
      </c>
      <c r="E64" s="26">
        <f>SUM(E48:E63)</f>
        <v>10656</v>
      </c>
      <c r="F64" s="26">
        <f>SUM(F48:F63)</f>
        <v>10930</v>
      </c>
      <c r="G64" s="47">
        <f>SUM(G48:G63)</f>
        <v>11637</v>
      </c>
      <c r="H64" s="157">
        <f>IF('AW Schüler'!$C202=0,"x",C64/'AW Schüler'!$C202)</f>
        <v>0.15294367902608241</v>
      </c>
      <c r="I64" s="157">
        <f>IF('AW Schüler'!$F202=0,"x",D64/'AW Schüler'!$F202)</f>
        <v>0.14936244741623428</v>
      </c>
      <c r="J64" s="157">
        <f>IF('AW Schüler'!$I202=0,"x",E64/'AW Schüler'!$I202)</f>
        <v>0.17341491993230049</v>
      </c>
      <c r="K64" s="157">
        <f>IF('AW Schüler'!$L202=0,"x",F64/'AW Schüler'!$L202)</f>
        <v>0.17759651631353179</v>
      </c>
      <c r="L64" s="158">
        <f>IF('AW Schüler'!$O202=0,"x",G64/'AW Schüler'!$O202)</f>
        <v>0.19530083074599311</v>
      </c>
    </row>
    <row r="65" spans="1:12" ht="18.75" customHeight="1">
      <c r="A65" s="396" t="s">
        <v>312</v>
      </c>
      <c r="B65" s="396"/>
      <c r="C65" s="396"/>
      <c r="D65" s="396"/>
      <c r="E65" s="396"/>
      <c r="F65" s="396"/>
      <c r="G65" s="396"/>
      <c r="H65" s="396"/>
      <c r="I65" s="396"/>
      <c r="J65" s="396"/>
      <c r="K65" s="396"/>
      <c r="L65" s="396"/>
    </row>
    <row r="66" spans="1:12" ht="10.15" customHeight="1">
      <c r="A66" s="408" t="s">
        <v>166</v>
      </c>
      <c r="B66" s="408"/>
      <c r="C66" s="408"/>
      <c r="D66" s="408"/>
      <c r="E66" s="408"/>
      <c r="F66" s="408"/>
      <c r="G66" s="408"/>
      <c r="H66" s="408"/>
      <c r="I66" s="408"/>
      <c r="J66" s="258"/>
      <c r="K66" s="278"/>
      <c r="L66" s="278"/>
    </row>
    <row r="67" spans="1:12" ht="10.15" customHeight="1">
      <c r="A67" s="399" t="s">
        <v>301</v>
      </c>
      <c r="B67" s="399"/>
      <c r="C67" s="399"/>
      <c r="D67" s="399"/>
      <c r="E67" s="399"/>
      <c r="F67" s="399"/>
      <c r="G67" s="399"/>
      <c r="H67" s="399"/>
      <c r="I67" s="399"/>
      <c r="J67" s="257"/>
      <c r="K67" s="325"/>
      <c r="L67" s="350"/>
    </row>
    <row r="68" spans="1:12" ht="10.15" customHeight="1">
      <c r="A68" s="220" t="s">
        <v>228</v>
      </c>
      <c r="B68" s="271"/>
      <c r="C68" s="271"/>
      <c r="D68" s="271"/>
      <c r="E68" s="271"/>
      <c r="F68" s="325"/>
      <c r="G68" s="350"/>
      <c r="H68" s="271"/>
      <c r="I68" s="271"/>
      <c r="J68" s="271"/>
      <c r="K68" s="325"/>
      <c r="L68" s="350"/>
    </row>
    <row r="69" spans="1:12" ht="10.15" customHeight="1">
      <c r="A69" s="305" t="s">
        <v>169</v>
      </c>
    </row>
    <row r="84" spans="1:1" ht="10.5" customHeight="1"/>
    <row r="85" spans="1:1" ht="10.15" customHeight="1">
      <c r="A85" s="214"/>
    </row>
  </sheetData>
  <mergeCells count="9">
    <mergeCell ref="A1:L1"/>
    <mergeCell ref="A66:I66"/>
    <mergeCell ref="A67:I67"/>
    <mergeCell ref="C9:G9"/>
    <mergeCell ref="H9:L9"/>
    <mergeCell ref="A11:L11"/>
    <mergeCell ref="A29:L29"/>
    <mergeCell ref="A47:L47"/>
    <mergeCell ref="A65:L65"/>
  </mergeCells>
  <phoneticPr fontId="18" type="noConversion"/>
  <conditionalFormatting sqref="M25">
    <cfRule type="cellIs" dxfId="2" priority="1" stopIfTrue="1" operator="greaterThan">
      <formula>1</formula>
    </cfRule>
  </conditionalFormatting>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tabColor rgb="FFFFFF00"/>
  </sheetPr>
  <dimension ref="A1:S102"/>
  <sheetViews>
    <sheetView view="pageBreakPreview" topLeftCell="A64" zoomScaleNormal="100" zoomScaleSheetLayoutView="100" workbookViewId="0">
      <selection sqref="A1:D1"/>
    </sheetView>
  </sheetViews>
  <sheetFormatPr baseColWidth="10" defaultRowHeight="12.75"/>
  <cols>
    <col min="3" max="3" width="6.7109375" customWidth="1"/>
    <col min="4" max="4" width="9.42578125" customWidth="1"/>
    <col min="5" max="7" width="6.7109375" customWidth="1"/>
    <col min="8" max="8" width="7.5703125" customWidth="1"/>
    <col min="9" max="16" width="6.7109375" customWidth="1"/>
    <col min="17" max="17" width="8.42578125" customWidth="1"/>
    <col min="18" max="18" width="6.7109375" customWidth="1"/>
    <col min="19" max="19" width="8.28515625" customWidth="1"/>
  </cols>
  <sheetData>
    <row r="1" spans="1:19">
      <c r="A1" s="409" t="s">
        <v>266</v>
      </c>
      <c r="B1" s="409"/>
      <c r="C1" s="409"/>
      <c r="D1" s="409"/>
    </row>
    <row r="2" spans="1:19">
      <c r="A2" s="411" t="s">
        <v>123</v>
      </c>
      <c r="B2" s="411"/>
      <c r="C2" s="411"/>
      <c r="D2" s="411"/>
      <c r="E2" s="411"/>
      <c r="F2" s="411"/>
      <c r="G2" s="411"/>
      <c r="H2" s="411"/>
      <c r="I2" s="411"/>
      <c r="J2" s="411"/>
      <c r="K2" s="411"/>
      <c r="L2" s="411"/>
      <c r="M2" s="411"/>
      <c r="N2" s="411"/>
      <c r="O2" s="411"/>
      <c r="P2" s="411"/>
      <c r="Q2" s="411"/>
      <c r="R2" s="411"/>
      <c r="S2" s="411"/>
    </row>
    <row r="3" spans="1:19" ht="13.5" thickBot="1"/>
    <row r="4" spans="1:19" ht="14.25" thickTop="1" thickBot="1">
      <c r="A4" s="67"/>
      <c r="B4" s="68"/>
      <c r="C4" s="64" t="s">
        <v>80</v>
      </c>
      <c r="D4" s="64" t="s">
        <v>81</v>
      </c>
      <c r="E4" s="64" t="s">
        <v>82</v>
      </c>
      <c r="F4" s="64" t="s">
        <v>83</v>
      </c>
      <c r="G4" s="64" t="s">
        <v>84</v>
      </c>
      <c r="H4" s="64" t="s">
        <v>120</v>
      </c>
      <c r="I4" s="219" t="s">
        <v>86</v>
      </c>
      <c r="J4" s="64" t="s">
        <v>121</v>
      </c>
      <c r="K4" s="64" t="s">
        <v>88</v>
      </c>
      <c r="L4" s="64" t="s">
        <v>89</v>
      </c>
      <c r="M4" s="64" t="s">
        <v>90</v>
      </c>
      <c r="N4" s="64" t="s">
        <v>122</v>
      </c>
      <c r="O4" s="64" t="s">
        <v>92</v>
      </c>
      <c r="P4" s="64" t="s">
        <v>93</v>
      </c>
      <c r="Q4" s="64" t="s">
        <v>94</v>
      </c>
      <c r="R4" s="64" t="s">
        <v>95</v>
      </c>
      <c r="S4" s="65" t="s">
        <v>96</v>
      </c>
    </row>
    <row r="5" spans="1:19" ht="13.5" thickTop="1">
      <c r="A5" s="415" t="s">
        <v>79</v>
      </c>
      <c r="B5" s="69" t="s">
        <v>118</v>
      </c>
      <c r="C5" s="70">
        <f>'3.2.1'!$G$12</f>
        <v>227933</v>
      </c>
      <c r="D5" s="70">
        <f>'3.2.1'!$G$13</f>
        <v>206651</v>
      </c>
      <c r="E5" s="70">
        <f>'3.2.1'!$G$14</f>
        <v>174822</v>
      </c>
      <c r="F5" s="70">
        <f>'3.2.1'!$G$15</f>
        <v>83770</v>
      </c>
      <c r="G5" s="70">
        <f>'3.2.1'!$G$16</f>
        <v>20191</v>
      </c>
      <c r="H5" s="70">
        <f>'3.2.1'!$G$17</f>
        <v>128123</v>
      </c>
      <c r="I5" s="70">
        <f>'3.2.1'!$G$18</f>
        <v>253539</v>
      </c>
      <c r="J5" s="70">
        <f>'3.2.1'!$G$19</f>
        <v>44802</v>
      </c>
      <c r="K5" s="70">
        <f>'3.2.1'!$G$20</f>
        <v>367505</v>
      </c>
      <c r="L5" s="70">
        <f>'3.2.1'!$G$21</f>
        <v>769368</v>
      </c>
      <c r="M5" s="70">
        <f>'3.2.1'!$G$22</f>
        <v>95166</v>
      </c>
      <c r="N5" s="70">
        <f>'3.2.1'!$G$23</f>
        <v>24525</v>
      </c>
      <c r="O5" s="70">
        <f>'3.2.1'!$G$24</f>
        <v>230369</v>
      </c>
      <c r="P5" s="70">
        <f>'3.2.1'!$G$25</f>
        <v>80922</v>
      </c>
      <c r="Q5" s="70">
        <f>'3.2.1'!$G$26</f>
        <v>66437</v>
      </c>
      <c r="R5" s="70">
        <f>'3.2.1'!$G$27</f>
        <v>78198</v>
      </c>
      <c r="S5" s="71">
        <f>'3.2.1'!$G$28</f>
        <v>2852321</v>
      </c>
    </row>
    <row r="6" spans="1:19">
      <c r="A6" s="413"/>
      <c r="B6" s="72" t="s">
        <v>117</v>
      </c>
      <c r="C6" s="73">
        <f>'3.3.1'!$G$12</f>
        <v>28554</v>
      </c>
      <c r="D6" s="73">
        <f>'3.3.1'!$G$13</f>
        <v>46266</v>
      </c>
      <c r="E6" s="73">
        <f>'3.3.1'!$G$14</f>
        <v>16997</v>
      </c>
      <c r="F6" s="73">
        <f>'3.3.1'!$G$15</f>
        <v>15770</v>
      </c>
      <c r="G6" s="73">
        <f>'3.3.1'!$G$16</f>
        <v>975</v>
      </c>
      <c r="H6" s="73">
        <f>'3.3.1'!$G$17</f>
        <v>11981</v>
      </c>
      <c r="I6" s="73">
        <f>'3.3.1'!$G$18</f>
        <v>0</v>
      </c>
      <c r="J6" s="73">
        <f>'3.3.1'!$G$19</f>
        <v>6094</v>
      </c>
      <c r="K6" s="73">
        <f>'3.3.1'!$G$20</f>
        <v>0</v>
      </c>
      <c r="L6" s="73">
        <f>'3.3.1'!$G$21</f>
        <v>37249</v>
      </c>
      <c r="M6" s="73">
        <f>'3.3.1'!$G$22</f>
        <v>10009</v>
      </c>
      <c r="N6" s="73">
        <f>'3.3.1'!$G$23</f>
        <v>1687</v>
      </c>
      <c r="O6" s="73">
        <f>'3.3.1'!$G$24</f>
        <v>27366</v>
      </c>
      <c r="P6" s="73">
        <f>'3.3.1'!$G$25</f>
        <v>0</v>
      </c>
      <c r="Q6" s="73">
        <f>'3.3.1'!$G$26</f>
        <v>2161</v>
      </c>
      <c r="R6" s="73">
        <f>'3.3.1'!$G$27</f>
        <v>12348</v>
      </c>
      <c r="S6" s="74">
        <f>'3.3.1'!$G$28</f>
        <v>217457</v>
      </c>
    </row>
    <row r="7" spans="1:19">
      <c r="A7" s="414"/>
      <c r="B7" s="78" t="s">
        <v>119</v>
      </c>
      <c r="C7" s="79">
        <f>'3.1.1'!$G$12</f>
        <v>256487</v>
      </c>
      <c r="D7" s="79">
        <f>'3.1.1'!$G$13</f>
        <v>252917</v>
      </c>
      <c r="E7" s="79">
        <f>'3.1.1'!$G$14</f>
        <v>191819</v>
      </c>
      <c r="F7" s="79">
        <f>'3.1.1'!$G$15</f>
        <v>99540</v>
      </c>
      <c r="G7" s="79">
        <f>'3.1.1'!$G$16</f>
        <v>21166</v>
      </c>
      <c r="H7" s="79">
        <f>'3.1.1'!$G$17</f>
        <v>140104</v>
      </c>
      <c r="I7" s="79">
        <f>'3.1.1'!$G$18</f>
        <v>253539</v>
      </c>
      <c r="J7" s="79">
        <f>'3.1.1'!$G$19</f>
        <v>50896</v>
      </c>
      <c r="K7" s="79">
        <f>'3.1.1'!$G$20</f>
        <v>367505</v>
      </c>
      <c r="L7" s="79">
        <f>'3.1.1'!$G$21</f>
        <v>806617</v>
      </c>
      <c r="M7" s="79">
        <f>'3.1.1'!$G$22</f>
        <v>105175</v>
      </c>
      <c r="N7" s="79">
        <f>'3.1.1'!$G$23</f>
        <v>26212</v>
      </c>
      <c r="O7" s="79">
        <f>'3.1.1'!$G$24</f>
        <v>257735</v>
      </c>
      <c r="P7" s="79">
        <f>'3.1.1'!$G$25</f>
        <v>80922</v>
      </c>
      <c r="Q7" s="79">
        <f>'3.1.1'!$G$26</f>
        <v>68598</v>
      </c>
      <c r="R7" s="79">
        <f>'3.1.1'!$G$27</f>
        <v>90546</v>
      </c>
      <c r="S7" s="80">
        <f>'3.1.1'!$G$28</f>
        <v>3069778</v>
      </c>
    </row>
    <row r="8" spans="1:19" ht="12.75" customHeight="1">
      <c r="A8" s="412" t="s">
        <v>124</v>
      </c>
      <c r="B8" s="81" t="s">
        <v>118</v>
      </c>
      <c r="C8" s="82">
        <f>'3.2.2'!$G$12</f>
        <v>53021</v>
      </c>
      <c r="D8" s="82">
        <f>'3.2.2'!$G$13</f>
        <v>97488</v>
      </c>
      <c r="E8" s="82">
        <f>'3.2.2'!$G$14</f>
        <v>85008</v>
      </c>
      <c r="F8" s="82">
        <f>'3.2.2'!$G$15</f>
        <v>31023</v>
      </c>
      <c r="G8" s="82">
        <f>'3.2.2'!$G$16</f>
        <v>9001</v>
      </c>
      <c r="H8" s="82">
        <f>'3.2.2'!$G$17</f>
        <v>51655</v>
      </c>
      <c r="I8" s="82">
        <f>'3.2.2'!$G$18</f>
        <v>69700</v>
      </c>
      <c r="J8" s="82">
        <f>'3.2.2'!$G$19</f>
        <v>0</v>
      </c>
      <c r="K8" s="82">
        <f>'3.2.2'!$G$20</f>
        <v>94347</v>
      </c>
      <c r="L8" s="82">
        <f>'3.2.2'!$G$21</f>
        <v>275535</v>
      </c>
      <c r="M8" s="82">
        <f>'3.2.2'!$G$22</f>
        <v>49283</v>
      </c>
      <c r="N8" s="82">
        <f>'3.2.2'!$G$23</f>
        <v>14317</v>
      </c>
      <c r="O8" s="82">
        <f>'3.2.2'!$G$24</f>
        <v>108211</v>
      </c>
      <c r="P8" s="82">
        <f>'3.2.2'!$G$25</f>
        <v>45998</v>
      </c>
      <c r="Q8" s="82">
        <f>'3.2.2'!$G$26</f>
        <v>20786</v>
      </c>
      <c r="R8" s="82">
        <f>'3.2.2'!$G$27</f>
        <v>55772</v>
      </c>
      <c r="S8" s="83">
        <f>'3.2.2'!$G$28</f>
        <v>1061145</v>
      </c>
    </row>
    <row r="9" spans="1:19">
      <c r="A9" s="413"/>
      <c r="B9" s="72" t="s">
        <v>117</v>
      </c>
      <c r="C9" s="73">
        <f>'3.3.2'!$G$12</f>
        <v>1957</v>
      </c>
      <c r="D9" s="73">
        <f>'3.3.2'!$G$13</f>
        <v>8847</v>
      </c>
      <c r="E9" s="73">
        <f>'3.3.2'!$G$14</f>
        <v>6464</v>
      </c>
      <c r="F9" s="73">
        <f>'3.3.2'!$G$15</f>
        <v>5097</v>
      </c>
      <c r="G9" s="73">
        <f>'3.3.2'!$G$16</f>
        <v>581</v>
      </c>
      <c r="H9" s="73">
        <f>'3.3.2'!$G$17</f>
        <v>4443</v>
      </c>
      <c r="I9" s="73">
        <f>'3.3.2'!$G$18</f>
        <v>0</v>
      </c>
      <c r="J9" s="73">
        <f>'3.3.2'!$G$19</f>
        <v>0</v>
      </c>
      <c r="K9" s="73">
        <f>'3.3.2'!$G$20</f>
        <v>0</v>
      </c>
      <c r="L9" s="73">
        <f>'3.3.2'!$G$21</f>
        <v>3238</v>
      </c>
      <c r="M9" s="73">
        <f>'3.3.2'!$G$22</f>
        <v>1569</v>
      </c>
      <c r="N9" s="73">
        <f>'3.3.2'!$G$23</f>
        <v>431</v>
      </c>
      <c r="O9" s="73">
        <f>'3.3.2'!$G$24</f>
        <v>8755</v>
      </c>
      <c r="P9" s="73">
        <f>'3.3.2'!$G$25</f>
        <v>0</v>
      </c>
      <c r="Q9" s="73">
        <f>'3.3.2'!$G$26</f>
        <v>335</v>
      </c>
      <c r="R9" s="73">
        <f>'3.3.2'!$G$27</f>
        <v>3570</v>
      </c>
      <c r="S9" s="74">
        <f>'3.3.2'!$G$28</f>
        <v>45287</v>
      </c>
    </row>
    <row r="10" spans="1:19" ht="10.15" customHeight="1">
      <c r="A10" s="414"/>
      <c r="B10" s="75" t="s">
        <v>119</v>
      </c>
      <c r="C10" s="76">
        <f>'3.1.2'!$G$12</f>
        <v>54978</v>
      </c>
      <c r="D10" s="76">
        <f>'3.1.2'!$G$13</f>
        <v>106335</v>
      </c>
      <c r="E10" s="76">
        <f>'3.1.2'!$G$14</f>
        <v>91472</v>
      </c>
      <c r="F10" s="76">
        <f>'3.1.2'!$G$15</f>
        <v>36120</v>
      </c>
      <c r="G10" s="76">
        <f>'3.1.2'!$G$16</f>
        <v>9582</v>
      </c>
      <c r="H10" s="76">
        <f>'3.1.2'!$G$17</f>
        <v>56098</v>
      </c>
      <c r="I10" s="76">
        <f>'3.1.2'!$G$18</f>
        <v>69700</v>
      </c>
      <c r="J10" s="76">
        <f>'3.1.2'!$G$19</f>
        <v>0</v>
      </c>
      <c r="K10" s="76">
        <f>'3.1.2'!$G$20</f>
        <v>94347</v>
      </c>
      <c r="L10" s="76">
        <f>'3.1.2'!$G$21</f>
        <v>278773</v>
      </c>
      <c r="M10" s="76">
        <f>'3.1.2'!$G$22</f>
        <v>50852</v>
      </c>
      <c r="N10" s="76">
        <f>'3.1.2'!$G$23</f>
        <v>14748</v>
      </c>
      <c r="O10" s="76">
        <f>'3.1.2'!$G$24</f>
        <v>116966</v>
      </c>
      <c r="P10" s="76">
        <f>'3.1.2'!$G$25</f>
        <v>45998</v>
      </c>
      <c r="Q10" s="76">
        <f>'3.1.2'!$G$26</f>
        <v>21121</v>
      </c>
      <c r="R10" s="76">
        <f>'3.1.2'!$G$27</f>
        <v>59342</v>
      </c>
      <c r="S10" s="77">
        <f>'3.1.2'!$G$28</f>
        <v>1106432</v>
      </c>
    </row>
    <row r="11" spans="1:19" ht="15" customHeight="1">
      <c r="A11" s="412" t="s">
        <v>9</v>
      </c>
      <c r="B11" s="81" t="s">
        <v>118</v>
      </c>
      <c r="C11" s="82">
        <f>'3.2.3'!$G$12</f>
        <v>125</v>
      </c>
      <c r="D11" s="82">
        <f>'3.2.3'!$G$13</f>
        <v>123</v>
      </c>
      <c r="E11" s="82">
        <f>'3.2.3'!$G$14</f>
        <v>13919</v>
      </c>
      <c r="F11" s="82">
        <f>'3.2.3'!$G$15</f>
        <v>13890</v>
      </c>
      <c r="G11" s="82">
        <v>0</v>
      </c>
      <c r="H11" s="82">
        <f>'3.2.3'!$G$17</f>
        <v>338</v>
      </c>
      <c r="I11" s="82">
        <f>'3.2.3'!$G$18</f>
        <v>8583</v>
      </c>
      <c r="J11" s="82">
        <v>0</v>
      </c>
      <c r="K11" s="82">
        <v>0</v>
      </c>
      <c r="L11" s="82">
        <v>0</v>
      </c>
      <c r="M11" s="82">
        <v>0</v>
      </c>
      <c r="N11" s="82">
        <v>0</v>
      </c>
      <c r="O11" s="82">
        <v>0</v>
      </c>
      <c r="P11" s="82">
        <v>0</v>
      </c>
      <c r="Q11" s="82">
        <v>0</v>
      </c>
      <c r="R11" s="82">
        <v>0</v>
      </c>
      <c r="S11" s="83">
        <f>'3.2.3'!$G$28</f>
        <v>36978</v>
      </c>
    </row>
    <row r="12" spans="1:19" ht="14.25" customHeight="1">
      <c r="A12" s="413"/>
      <c r="B12" s="72" t="s">
        <v>117</v>
      </c>
      <c r="C12" s="73">
        <f>'3.3.3'!$G$12</f>
        <v>0</v>
      </c>
      <c r="D12" s="73">
        <f>'3.3.3'!$G$13</f>
        <v>0</v>
      </c>
      <c r="E12" s="73">
        <f>'3.3.3'!$G$14</f>
        <v>1807</v>
      </c>
      <c r="F12" s="73">
        <f>'3.3.3'!$G$15</f>
        <v>2313</v>
      </c>
      <c r="G12" s="73">
        <v>0</v>
      </c>
      <c r="H12" s="73">
        <f>'3.3.3'!$G$17</f>
        <v>68</v>
      </c>
      <c r="I12" s="73">
        <f>'3.3.3'!$G$18</f>
        <v>0</v>
      </c>
      <c r="J12" s="73">
        <v>0</v>
      </c>
      <c r="K12" s="73">
        <v>0</v>
      </c>
      <c r="L12" s="73">
        <v>0</v>
      </c>
      <c r="M12" s="73">
        <v>0</v>
      </c>
      <c r="N12" s="73">
        <v>0</v>
      </c>
      <c r="O12" s="73">
        <v>0</v>
      </c>
      <c r="P12" s="73">
        <v>0</v>
      </c>
      <c r="Q12" s="73">
        <v>0</v>
      </c>
      <c r="R12" s="73">
        <v>0</v>
      </c>
      <c r="S12" s="74">
        <f>'3.3.3'!$G$28</f>
        <v>4188</v>
      </c>
    </row>
    <row r="13" spans="1:19" ht="21.75" customHeight="1">
      <c r="A13" s="414"/>
      <c r="B13" s="75" t="s">
        <v>119</v>
      </c>
      <c r="C13" s="96">
        <f>'3.1.3'!$G$12</f>
        <v>125</v>
      </c>
      <c r="D13" s="96">
        <f>'3.1.3'!$G$13</f>
        <v>123</v>
      </c>
      <c r="E13" s="96">
        <f>'3.1.3'!$G$14</f>
        <v>15726</v>
      </c>
      <c r="F13" s="96">
        <f>'3.1.3'!$G$15</f>
        <v>16203</v>
      </c>
      <c r="G13" s="159" t="s">
        <v>131</v>
      </c>
      <c r="H13" s="96">
        <f>'3.1.3'!$G$17</f>
        <v>406</v>
      </c>
      <c r="I13" s="96">
        <f>'3.1.3'!$G$18</f>
        <v>8583</v>
      </c>
      <c r="J13" s="159" t="s">
        <v>131</v>
      </c>
      <c r="K13" s="159" t="s">
        <v>131</v>
      </c>
      <c r="L13" s="159" t="s">
        <v>131</v>
      </c>
      <c r="M13" s="159" t="s">
        <v>131</v>
      </c>
      <c r="N13" s="159" t="s">
        <v>131</v>
      </c>
      <c r="O13" s="159" t="s">
        <v>131</v>
      </c>
      <c r="P13" s="159" t="s">
        <v>131</v>
      </c>
      <c r="Q13" s="159" t="s">
        <v>131</v>
      </c>
      <c r="R13" s="159" t="s">
        <v>131</v>
      </c>
      <c r="S13" s="97">
        <f>'3.1.3'!$G$28</f>
        <v>41166</v>
      </c>
    </row>
    <row r="14" spans="1:19" ht="12.75" customHeight="1">
      <c r="A14" s="412" t="s">
        <v>125</v>
      </c>
      <c r="B14" s="81" t="s">
        <v>118</v>
      </c>
      <c r="C14" s="82">
        <f>'3.2.4'!$G$12</f>
        <v>33022</v>
      </c>
      <c r="D14" s="82">
        <f>'3.2.4'!$G$13</f>
        <v>52961</v>
      </c>
      <c r="E14" s="82">
        <f>'3.2.4'!$G$14</f>
        <v>0</v>
      </c>
      <c r="F14" s="82">
        <v>0</v>
      </c>
      <c r="G14" s="82">
        <f>'3.2.4'!$G$16</f>
        <v>0</v>
      </c>
      <c r="H14" s="82">
        <f>'3.2.4'!$G$17</f>
        <v>0</v>
      </c>
      <c r="I14" s="82">
        <f>'3.2.4'!$G$18</f>
        <v>13659</v>
      </c>
      <c r="J14" s="82">
        <f>'3.2.4'!$G$19</f>
        <v>0</v>
      </c>
      <c r="K14" s="82">
        <f>'3.2.4'!$G$20</f>
        <v>18031</v>
      </c>
      <c r="L14" s="82">
        <f>'3.2.4'!$G$21</f>
        <v>51968</v>
      </c>
      <c r="M14" s="82">
        <f>'3.2.4'!$G$22</f>
        <v>0</v>
      </c>
      <c r="N14" s="82">
        <f>'3.2.4'!$G$23</f>
        <v>0</v>
      </c>
      <c r="O14" s="82">
        <v>0</v>
      </c>
      <c r="P14" s="82">
        <v>0</v>
      </c>
      <c r="Q14" s="82">
        <f>'3.2.4'!$G$26</f>
        <v>0</v>
      </c>
      <c r="R14" s="82">
        <v>0</v>
      </c>
      <c r="S14" s="83">
        <f>'3.2.4'!$G$28</f>
        <v>169641</v>
      </c>
    </row>
    <row r="15" spans="1:19">
      <c r="A15" s="413"/>
      <c r="B15" s="72" t="s">
        <v>117</v>
      </c>
      <c r="C15" s="73">
        <f>'3.3.4'!$G$12</f>
        <v>1033</v>
      </c>
      <c r="D15" s="73">
        <f>'3.3.4'!$G$13</f>
        <v>7494</v>
      </c>
      <c r="E15" s="73">
        <f>'3.3.4'!$G$14</f>
        <v>0</v>
      </c>
      <c r="F15" s="73">
        <v>0</v>
      </c>
      <c r="G15" s="73">
        <f>'3.3.4'!$G$16</f>
        <v>0</v>
      </c>
      <c r="H15" s="73">
        <f>'3.3.4'!$G$17</f>
        <v>0</v>
      </c>
      <c r="I15" s="73">
        <f>'3.3.4'!$G$18</f>
        <v>0</v>
      </c>
      <c r="J15" s="73">
        <f>'3.3.4'!$G$19</f>
        <v>0</v>
      </c>
      <c r="K15" s="73">
        <f>'3.3.4'!$G$20</f>
        <v>0</v>
      </c>
      <c r="L15" s="73">
        <f>'3.3.4'!$G$21</f>
        <v>301</v>
      </c>
      <c r="M15" s="73">
        <f>'3.3.4'!$G$22</f>
        <v>66</v>
      </c>
      <c r="N15" s="73">
        <f>'3.3.4'!$G$23</f>
        <v>0</v>
      </c>
      <c r="O15" s="73">
        <v>0</v>
      </c>
      <c r="P15" s="73">
        <v>0</v>
      </c>
      <c r="Q15" s="73">
        <f>'3.3.4'!$G$26</f>
        <v>0</v>
      </c>
      <c r="R15" s="73">
        <v>0</v>
      </c>
      <c r="S15" s="74">
        <f>'3.3.4'!$G$28</f>
        <v>8894</v>
      </c>
    </row>
    <row r="16" spans="1:19">
      <c r="A16" s="414"/>
      <c r="B16" s="75" t="s">
        <v>119</v>
      </c>
      <c r="C16" s="76">
        <f>'3.1.4'!$G$12</f>
        <v>34055</v>
      </c>
      <c r="D16" s="76">
        <f>'3.1.4'!$G$13</f>
        <v>60455</v>
      </c>
      <c r="E16" s="76">
        <f>'3.1.4'!$G$14</f>
        <v>0</v>
      </c>
      <c r="F16" s="102" t="s">
        <v>131</v>
      </c>
      <c r="G16" s="76">
        <f>'3.1.4'!$G$16</f>
        <v>0</v>
      </c>
      <c r="H16" s="76">
        <f>'3.1.4'!$G$17</f>
        <v>0</v>
      </c>
      <c r="I16" s="76">
        <f>'3.1.4'!$G$18</f>
        <v>13659</v>
      </c>
      <c r="J16" s="76">
        <f>'3.1.4'!$G$19</f>
        <v>0</v>
      </c>
      <c r="K16" s="76">
        <f>'3.1.4'!$G$20</f>
        <v>18031</v>
      </c>
      <c r="L16" s="76">
        <f>'3.1.4'!$G$21</f>
        <v>52269</v>
      </c>
      <c r="M16" s="76">
        <f>'3.1.4'!$G$22</f>
        <v>66</v>
      </c>
      <c r="N16" s="76">
        <f>'3.1.4'!$G$23</f>
        <v>0</v>
      </c>
      <c r="O16" s="102" t="s">
        <v>131</v>
      </c>
      <c r="P16" s="102" t="s">
        <v>131</v>
      </c>
      <c r="Q16" s="76">
        <f>'3.1.4'!$G$26</f>
        <v>0</v>
      </c>
      <c r="R16" s="102" t="s">
        <v>131</v>
      </c>
      <c r="S16" s="77">
        <f>'3.1.4'!$G$28</f>
        <v>178535</v>
      </c>
    </row>
    <row r="17" spans="1:19" ht="15.75" customHeight="1">
      <c r="A17" s="412" t="s">
        <v>126</v>
      </c>
      <c r="B17" s="81" t="s">
        <v>118</v>
      </c>
      <c r="C17" s="82">
        <v>0</v>
      </c>
      <c r="D17" s="82">
        <v>0</v>
      </c>
      <c r="E17" s="82">
        <v>0</v>
      </c>
      <c r="F17" s="82">
        <f>'3.2.5'!$G$15</f>
        <v>20442</v>
      </c>
      <c r="G17" s="82">
        <f>'3.2.5'!$G$16</f>
        <v>0</v>
      </c>
      <c r="H17" s="82">
        <f>'3.2.5'!$G$17</f>
        <v>0</v>
      </c>
      <c r="I17" s="82">
        <f>'3.2.5'!$G$18</f>
        <v>4425</v>
      </c>
      <c r="J17" s="82">
        <f>'3.2.5'!$G$19</f>
        <v>28082</v>
      </c>
      <c r="K17" s="82">
        <f>'3.2.5'!$G$20</f>
        <v>72428</v>
      </c>
      <c r="L17" s="82">
        <f>'3.2.5'!$G$21</f>
        <v>47049</v>
      </c>
      <c r="M17" s="82">
        <f>'3.2.5'!$G$22</f>
        <v>17169</v>
      </c>
      <c r="N17" s="82">
        <f>'3.2.5'!$G$23</f>
        <v>0</v>
      </c>
      <c r="O17" s="82">
        <f>'3.2.5'!$G$24</f>
        <v>64393</v>
      </c>
      <c r="P17" s="82">
        <f>'3.2.5'!$G$25</f>
        <v>16027</v>
      </c>
      <c r="Q17" s="82">
        <f>'3.2.5'!$G$26</f>
        <v>2636</v>
      </c>
      <c r="R17" s="82">
        <f>'3.2.5'!$G$27</f>
        <v>8117</v>
      </c>
      <c r="S17" s="83">
        <f>'3.2.5'!$G$28</f>
        <v>280768</v>
      </c>
    </row>
    <row r="18" spans="1:19" ht="16.5" customHeight="1">
      <c r="A18" s="413"/>
      <c r="B18" s="72" t="s">
        <v>117</v>
      </c>
      <c r="C18" s="73">
        <v>0</v>
      </c>
      <c r="D18" s="73">
        <v>0</v>
      </c>
      <c r="E18" s="73">
        <v>0</v>
      </c>
      <c r="F18" s="73">
        <f>'3.3.5'!$G$15</f>
        <v>1871</v>
      </c>
      <c r="G18" s="73">
        <f>'3.3.5'!$G$16</f>
        <v>0</v>
      </c>
      <c r="H18" s="73">
        <f>'3.3.5'!$G$17</f>
        <v>0</v>
      </c>
      <c r="I18" s="73">
        <f>'3.3.5'!$G$18</f>
        <v>0</v>
      </c>
      <c r="J18" s="73">
        <f>'3.3.5'!$G$19</f>
        <v>1796</v>
      </c>
      <c r="K18" s="73">
        <f>'3.3.5'!$G$20</f>
        <v>0</v>
      </c>
      <c r="L18" s="73">
        <f>'3.3.5'!$G$21</f>
        <v>3060</v>
      </c>
      <c r="M18" s="73">
        <f>'3.3.5'!$G$22</f>
        <v>541</v>
      </c>
      <c r="N18" s="73">
        <f>'3.3.5'!$G$23</f>
        <v>49</v>
      </c>
      <c r="O18" s="73">
        <f>'3.3.5'!$G$24</f>
        <v>9352</v>
      </c>
      <c r="P18" s="73">
        <f>'3.3.5'!$G$25</f>
        <v>0</v>
      </c>
      <c r="Q18" s="73">
        <v>0</v>
      </c>
      <c r="R18" s="73">
        <f>'3.3.5'!$G$27</f>
        <v>1200</v>
      </c>
      <c r="S18" s="74">
        <f>'3.3.5'!$G$28</f>
        <v>17869</v>
      </c>
    </row>
    <row r="19" spans="1:19" ht="18.75" customHeight="1">
      <c r="A19" s="414"/>
      <c r="B19" s="75" t="s">
        <v>119</v>
      </c>
      <c r="C19" s="102" t="s">
        <v>131</v>
      </c>
      <c r="D19" s="102" t="s">
        <v>131</v>
      </c>
      <c r="E19" s="102" t="s">
        <v>131</v>
      </c>
      <c r="F19" s="76">
        <f>'3.1.5'!$G$15</f>
        <v>22313</v>
      </c>
      <c r="G19" s="76">
        <f>'3.1.5'!$G$16</f>
        <v>0</v>
      </c>
      <c r="H19" s="76">
        <f>'3.1.5'!$G$17</f>
        <v>0</v>
      </c>
      <c r="I19" s="76">
        <f>'3.1.5'!$G$18</f>
        <v>4425</v>
      </c>
      <c r="J19" s="76">
        <f>'3.1.5'!$G$19</f>
        <v>29878</v>
      </c>
      <c r="K19" s="76">
        <f>'3.1.5'!$G$20</f>
        <v>72428</v>
      </c>
      <c r="L19" s="76">
        <f>'3.1.5'!$G$21</f>
        <v>50109</v>
      </c>
      <c r="M19" s="76">
        <f>'3.1.5'!$G$22</f>
        <v>17710</v>
      </c>
      <c r="N19" s="76">
        <f>'3.1.5'!$G$23</f>
        <v>49</v>
      </c>
      <c r="O19" s="76">
        <f>'3.1.5'!$G$24</f>
        <v>73745</v>
      </c>
      <c r="P19" s="76">
        <f>'3.1.5'!$G$25</f>
        <v>16027</v>
      </c>
      <c r="Q19" s="76">
        <f>'3.1.5'!$G$26</f>
        <v>2636</v>
      </c>
      <c r="R19" s="76">
        <f>'3.1.5'!$G$27</f>
        <v>9317</v>
      </c>
      <c r="S19" s="77">
        <f>'3.1.5'!$G$28</f>
        <v>298637</v>
      </c>
    </row>
    <row r="20" spans="1:19">
      <c r="A20" s="412" t="s">
        <v>15</v>
      </c>
      <c r="B20" s="81" t="s">
        <v>118</v>
      </c>
      <c r="C20" s="82">
        <f>'3.2.6'!$G$12</f>
        <v>20636</v>
      </c>
      <c r="D20" s="82">
        <f>'3.2.6'!$G$13</f>
        <v>19608</v>
      </c>
      <c r="E20" s="82">
        <f>'3.2.6'!$G$14</f>
        <v>0</v>
      </c>
      <c r="F20" s="82">
        <f>'3.2.6'!$G$15</f>
        <v>0</v>
      </c>
      <c r="G20" s="82">
        <f>'3.2.6'!$G$16</f>
        <v>0</v>
      </c>
      <c r="H20" s="82">
        <f>'3.2.6'!$G$17</f>
        <v>0</v>
      </c>
      <c r="I20" s="82">
        <f>'3.2.6'!$G$18</f>
        <v>33493</v>
      </c>
      <c r="J20" s="82">
        <f>'3.2.6'!$G$19</f>
        <v>0</v>
      </c>
      <c r="K20" s="82">
        <f>'3.2.6'!$G$20</f>
        <v>35341</v>
      </c>
      <c r="L20" s="82">
        <f>'3.2.6'!$G$21</f>
        <v>51758</v>
      </c>
      <c r="M20" s="82">
        <f>'3.2.6'!$G$22</f>
        <v>0</v>
      </c>
      <c r="N20" s="82">
        <f>'3.2.6'!$G$23</f>
        <v>0</v>
      </c>
      <c r="O20" s="82">
        <v>0</v>
      </c>
      <c r="P20" s="82">
        <v>0</v>
      </c>
      <c r="Q20" s="82">
        <f>'3.2.6'!$G$26</f>
        <v>0</v>
      </c>
      <c r="R20" s="82">
        <v>0</v>
      </c>
      <c r="S20" s="83">
        <f>'3.2.6'!$G$28</f>
        <v>160836</v>
      </c>
    </row>
    <row r="21" spans="1:19">
      <c r="A21" s="413"/>
      <c r="B21" s="72" t="s">
        <v>117</v>
      </c>
      <c r="C21" s="73">
        <f>'3.3.6'!$G$12</f>
        <v>2499</v>
      </c>
      <c r="D21" s="73">
        <f>'3.3.6'!$G$13</f>
        <v>8302</v>
      </c>
      <c r="E21" s="73">
        <f>'3.3.6'!$G$14</f>
        <v>0</v>
      </c>
      <c r="F21" s="73">
        <f>'3.3.6'!$G$15</f>
        <v>0</v>
      </c>
      <c r="G21" s="73">
        <f>'3.3.6'!$G$16</f>
        <v>0</v>
      </c>
      <c r="H21" s="73">
        <f>'3.3.6'!$G$17</f>
        <v>0</v>
      </c>
      <c r="I21" s="73">
        <f>'3.3.6'!$G$18</f>
        <v>0</v>
      </c>
      <c r="J21" s="73">
        <f>'3.3.6'!$G$19</f>
        <v>0</v>
      </c>
      <c r="K21" s="73">
        <f>'3.3.6'!$G$20</f>
        <v>0</v>
      </c>
      <c r="L21" s="73">
        <f>'3.3.6'!$G$21</f>
        <v>1772</v>
      </c>
      <c r="M21" s="73">
        <f>'3.3.6'!$G$22</f>
        <v>149</v>
      </c>
      <c r="N21" s="73">
        <f>'3.3.6'!$G$23</f>
        <v>101</v>
      </c>
      <c r="O21" s="73">
        <v>0</v>
      </c>
      <c r="P21" s="73">
        <v>0</v>
      </c>
      <c r="Q21" s="73">
        <f>'3.3.6'!$G$26</f>
        <v>0</v>
      </c>
      <c r="R21" s="73">
        <v>0</v>
      </c>
      <c r="S21" s="74">
        <f>'3.3.6'!$G$28</f>
        <v>12823</v>
      </c>
    </row>
    <row r="22" spans="1:19">
      <c r="A22" s="414"/>
      <c r="B22" s="75" t="s">
        <v>119</v>
      </c>
      <c r="C22" s="76">
        <f>'3.1.6'!$G$12</f>
        <v>23135</v>
      </c>
      <c r="D22" s="76">
        <f>'3.1.6'!$G$13</f>
        <v>27910</v>
      </c>
      <c r="E22" s="76">
        <f>'3.1.6'!$G$14</f>
        <v>0</v>
      </c>
      <c r="F22" s="76">
        <f>'3.1.6'!$G$15</f>
        <v>0</v>
      </c>
      <c r="G22" s="76">
        <f>'3.1.6'!$G$16</f>
        <v>0</v>
      </c>
      <c r="H22" s="76">
        <f>'3.1.6'!$G$17</f>
        <v>0</v>
      </c>
      <c r="I22" s="76">
        <f>'3.1.6'!$G$18</f>
        <v>33493</v>
      </c>
      <c r="J22" s="76">
        <f>'3.1.6'!$G$19</f>
        <v>0</v>
      </c>
      <c r="K22" s="76">
        <f>'3.1.6'!$G$20</f>
        <v>35341</v>
      </c>
      <c r="L22" s="76">
        <f>'3.1.6'!$G$21</f>
        <v>53530</v>
      </c>
      <c r="M22" s="76">
        <f>'3.1.6'!$G$22</f>
        <v>149</v>
      </c>
      <c r="N22" s="76">
        <f>'3.1.6'!$G$23</f>
        <v>101</v>
      </c>
      <c r="O22" s="160">
        <v>0</v>
      </c>
      <c r="P22" s="160">
        <v>0</v>
      </c>
      <c r="Q22" s="76">
        <f>'3.1.6'!$G$26</f>
        <v>0</v>
      </c>
      <c r="R22" s="160">
        <v>0</v>
      </c>
      <c r="S22" s="77">
        <f>'3.1.6'!$G$28</f>
        <v>173659</v>
      </c>
    </row>
    <row r="23" spans="1:19" ht="12.75" customHeight="1">
      <c r="A23" s="412" t="s">
        <v>73</v>
      </c>
      <c r="B23" s="81" t="s">
        <v>118</v>
      </c>
      <c r="C23" s="82">
        <f>'3.2.7'!$G$12</f>
        <v>37473</v>
      </c>
      <c r="D23" s="82">
        <f>'3.2.7'!$G$13</f>
        <v>25302</v>
      </c>
      <c r="E23" s="82">
        <f>'3.2.7'!$G$14</f>
        <v>12321</v>
      </c>
      <c r="F23" s="82">
        <f>'3.2.7'!$G$15</f>
        <v>7168</v>
      </c>
      <c r="G23" s="82">
        <f>'3.2.7'!$G$16</f>
        <v>758</v>
      </c>
      <c r="H23" s="82">
        <f>'3.2.7'!$G$17</f>
        <v>32874</v>
      </c>
      <c r="I23" s="82">
        <f>'3.2.7'!$G$18</f>
        <v>64084</v>
      </c>
      <c r="J23" s="82">
        <f>'3.2.7'!$G$19</f>
        <v>11090</v>
      </c>
      <c r="K23" s="82">
        <f>'3.2.7'!$G$20</f>
        <v>77912</v>
      </c>
      <c r="L23" s="82">
        <f>'3.2.7'!$G$21</f>
        <v>74718</v>
      </c>
      <c r="M23" s="82">
        <f>'3.2.7'!$G$22</f>
        <v>8887</v>
      </c>
      <c r="N23" s="82">
        <f>'3.2.7'!$G$23</f>
        <v>2640</v>
      </c>
      <c r="O23" s="82">
        <f>'3.2.7'!$G$24</f>
        <v>40366</v>
      </c>
      <c r="P23" s="82">
        <f>'3.2.7'!$G$25</f>
        <v>8174</v>
      </c>
      <c r="Q23" s="82">
        <f>'3.2.7'!$G$26</f>
        <v>10673</v>
      </c>
      <c r="R23" s="82">
        <f>'3.2.7'!$G$27</f>
        <v>2346</v>
      </c>
      <c r="S23" s="83">
        <f>'3.2.7'!$G$28</f>
        <v>416786</v>
      </c>
    </row>
    <row r="24" spans="1:19">
      <c r="A24" s="413"/>
      <c r="B24" s="72" t="s">
        <v>117</v>
      </c>
      <c r="C24" s="73">
        <f>'3.3.7'!$G$12</f>
        <v>6755</v>
      </c>
      <c r="D24" s="73">
        <f>'3.3.7'!$G$13</f>
        <v>5952</v>
      </c>
      <c r="E24" s="73">
        <f>'3.3.7'!$G$14</f>
        <v>1396</v>
      </c>
      <c r="F24" s="73">
        <f>'3.3.7'!$G$15</f>
        <v>2915</v>
      </c>
      <c r="G24" s="73">
        <f>'3.3.7'!$G$16</f>
        <v>0</v>
      </c>
      <c r="H24" s="73">
        <f>'3.3.7'!$G$17</f>
        <v>2305</v>
      </c>
      <c r="I24" s="73">
        <f>'3.3.7'!$G$18</f>
        <v>0</v>
      </c>
      <c r="J24" s="73">
        <f>'3.3.7'!$G$19</f>
        <v>1750</v>
      </c>
      <c r="K24" s="73">
        <f>'3.3.7'!$G$20</f>
        <v>0</v>
      </c>
      <c r="L24" s="73">
        <f>'3.3.7'!$G$21</f>
        <v>8778</v>
      </c>
      <c r="M24" s="73">
        <f>'3.3.7'!$G$22</f>
        <v>4030</v>
      </c>
      <c r="N24" s="73">
        <f>'3.3.7'!$G$23</f>
        <v>444</v>
      </c>
      <c r="O24" s="73">
        <f>'3.3.7'!$G$24</f>
        <v>7356</v>
      </c>
      <c r="P24" s="73">
        <f>'3.3.7'!$G$25</f>
        <v>0</v>
      </c>
      <c r="Q24" s="73">
        <f>'3.3.7'!$G$26</f>
        <v>0</v>
      </c>
      <c r="R24" s="73">
        <f>'3.3.7'!$G$27</f>
        <v>1095</v>
      </c>
      <c r="S24" s="74">
        <f>'3.3.7'!$G$28</f>
        <v>42776</v>
      </c>
    </row>
    <row r="25" spans="1:19">
      <c r="A25" s="414"/>
      <c r="B25" s="75" t="s">
        <v>119</v>
      </c>
      <c r="C25" s="76">
        <f>'3.1.7'!$G$12</f>
        <v>44228</v>
      </c>
      <c r="D25" s="76">
        <f>'3.1.7'!$G$13</f>
        <v>31254</v>
      </c>
      <c r="E25" s="76">
        <f>'3.1.7'!$G$14</f>
        <v>13717</v>
      </c>
      <c r="F25" s="76">
        <f>'3.1.7'!$G$15</f>
        <v>10083</v>
      </c>
      <c r="G25" s="76">
        <f>'3.1.7'!$G$16</f>
        <v>758</v>
      </c>
      <c r="H25" s="76">
        <f>'3.1.7'!$G$17</f>
        <v>35179</v>
      </c>
      <c r="I25" s="76">
        <f>'3.1.7'!$G$18</f>
        <v>64084</v>
      </c>
      <c r="J25" s="76">
        <f>'3.1.7'!$G$19</f>
        <v>12840</v>
      </c>
      <c r="K25" s="76">
        <f>'3.1.7'!$G$20</f>
        <v>77912</v>
      </c>
      <c r="L25" s="76">
        <f>'3.1.7'!$G$21</f>
        <v>83496</v>
      </c>
      <c r="M25" s="76">
        <f>'3.1.7'!$G$22</f>
        <v>12917</v>
      </c>
      <c r="N25" s="76">
        <f>'3.1.7'!$G$23</f>
        <v>3084</v>
      </c>
      <c r="O25" s="76">
        <f>'3.1.7'!$G$24</f>
        <v>47722</v>
      </c>
      <c r="P25" s="76">
        <f>'3.1.7'!$G$25</f>
        <v>8174</v>
      </c>
      <c r="Q25" s="76">
        <f>'3.1.7'!$G$26</f>
        <v>10673</v>
      </c>
      <c r="R25" s="76">
        <f>'3.1.7'!$G$27</f>
        <v>3441</v>
      </c>
      <c r="S25" s="77">
        <f>'3.1.7'!$G$28</f>
        <v>459562</v>
      </c>
    </row>
    <row r="26" spans="1:19" ht="12.75" customHeight="1">
      <c r="A26" s="412" t="s">
        <v>127</v>
      </c>
      <c r="B26" s="81" t="s">
        <v>118</v>
      </c>
      <c r="C26" s="82">
        <f>'3.2.8'!$G$12</f>
        <v>67682</v>
      </c>
      <c r="D26" s="82">
        <f>'3.2.8'!$G$13</f>
        <v>1048</v>
      </c>
      <c r="E26" s="82">
        <f>'3.2.8'!$G$14</f>
        <v>60352</v>
      </c>
      <c r="F26" s="82">
        <f>'3.2.8'!$G$15</f>
        <v>7722</v>
      </c>
      <c r="G26" s="82">
        <f>'3.2.8'!$G$16</f>
        <v>10432</v>
      </c>
      <c r="H26" s="82">
        <f>'3.2.8'!$G$17</f>
        <v>39682</v>
      </c>
      <c r="I26" s="82">
        <f>'3.2.8'!$G$18</f>
        <v>48972</v>
      </c>
      <c r="J26" s="82">
        <f>'3.2.8'!$G$19</f>
        <v>3764</v>
      </c>
      <c r="K26" s="82">
        <f>'3.2.8'!$G$20</f>
        <v>59469</v>
      </c>
      <c r="L26" s="82">
        <f>'3.2.8'!$G$21</f>
        <v>232598</v>
      </c>
      <c r="M26" s="82">
        <f>'3.2.8'!$G$22</f>
        <v>10293</v>
      </c>
      <c r="N26" s="82">
        <f>'3.2.8'!$G$23</f>
        <v>6582</v>
      </c>
      <c r="O26" s="82">
        <v>0</v>
      </c>
      <c r="P26" s="82">
        <f>'3.2.8'!$G$25</f>
        <v>4283</v>
      </c>
      <c r="Q26" s="82">
        <f>'3.2.8'!$G$26</f>
        <v>31068</v>
      </c>
      <c r="R26" s="82">
        <f>'3.2.8'!$G$27</f>
        <v>7430</v>
      </c>
      <c r="S26" s="83">
        <f>'3.2.8'!$G$28</f>
        <v>591377</v>
      </c>
    </row>
    <row r="27" spans="1:19">
      <c r="A27" s="413"/>
      <c r="B27" s="72" t="s">
        <v>117</v>
      </c>
      <c r="C27" s="73">
        <f>'3.3.8'!$G$12</f>
        <v>1225</v>
      </c>
      <c r="D27" s="73">
        <f>'3.3.8'!$G$13</f>
        <v>0</v>
      </c>
      <c r="E27" s="73">
        <f>'3.3.8'!$G$14</f>
        <v>5363</v>
      </c>
      <c r="F27" s="73">
        <f>'3.3.8'!$G$15</f>
        <v>1394</v>
      </c>
      <c r="G27" s="73">
        <f>'3.3.8'!$G$16</f>
        <v>160</v>
      </c>
      <c r="H27" s="73">
        <f>'3.3.8'!$G$17</f>
        <v>4468</v>
      </c>
      <c r="I27" s="73">
        <f>'3.3.8'!$G$18</f>
        <v>0</v>
      </c>
      <c r="J27" s="73">
        <f>'3.3.8'!$G$19</f>
        <v>2130</v>
      </c>
      <c r="K27" s="73">
        <f>'3.3.8'!$G$20</f>
        <v>0</v>
      </c>
      <c r="L27" s="73">
        <f>'3.3.8'!$G$21</f>
        <v>7709</v>
      </c>
      <c r="M27" s="73">
        <f>'3.3.8'!$G$22</f>
        <v>372</v>
      </c>
      <c r="N27" s="73">
        <f>'3.3.8'!$G$23</f>
        <v>277</v>
      </c>
      <c r="O27" s="73">
        <v>0</v>
      </c>
      <c r="P27" s="73">
        <f>'3.3.8'!$G$25</f>
        <v>0</v>
      </c>
      <c r="Q27" s="73">
        <f>'3.3.8'!$G$26</f>
        <v>633</v>
      </c>
      <c r="R27" s="73">
        <f>'3.3.8'!$G$27</f>
        <v>3248</v>
      </c>
      <c r="S27" s="74">
        <f>'3.3.8'!$G$28</f>
        <v>26979</v>
      </c>
    </row>
    <row r="28" spans="1:19">
      <c r="A28" s="414"/>
      <c r="B28" s="75" t="s">
        <v>119</v>
      </c>
      <c r="C28" s="76">
        <f>'3.1.8'!$G$12</f>
        <v>68907</v>
      </c>
      <c r="D28" s="76">
        <f>'3.1.8'!$G$13</f>
        <v>1048</v>
      </c>
      <c r="E28" s="76">
        <f>'3.1.8'!$G$14</f>
        <v>65715</v>
      </c>
      <c r="F28" s="76">
        <f>'3.1.8'!$G$15</f>
        <v>9116</v>
      </c>
      <c r="G28" s="76">
        <f>'3.1.8'!$G$16</f>
        <v>10592</v>
      </c>
      <c r="H28" s="76">
        <f>'3.1.8'!$G$17</f>
        <v>44150</v>
      </c>
      <c r="I28" s="76">
        <f>'3.1.8'!$G$18</f>
        <v>48972</v>
      </c>
      <c r="J28" s="76">
        <f>'3.1.8'!$G$19</f>
        <v>5894</v>
      </c>
      <c r="K28" s="76">
        <f>'3.1.8'!$G$20</f>
        <v>59469</v>
      </c>
      <c r="L28" s="76">
        <f>'3.1.8'!$G$21</f>
        <v>240307</v>
      </c>
      <c r="M28" s="76">
        <f>'3.1.8'!$G$22</f>
        <v>10665</v>
      </c>
      <c r="N28" s="76">
        <f>'3.1.8'!$G$23</f>
        <v>6859</v>
      </c>
      <c r="O28" s="102" t="s">
        <v>131</v>
      </c>
      <c r="P28" s="76">
        <f>'3.1.8'!$G$25</f>
        <v>4283</v>
      </c>
      <c r="Q28" s="76">
        <f>'3.1.8'!$G$26</f>
        <v>31701</v>
      </c>
      <c r="R28" s="76">
        <f>'3.1.8'!$G$27</f>
        <v>10678</v>
      </c>
      <c r="S28" s="77">
        <f>'3.1.8'!$G$28</f>
        <v>618356</v>
      </c>
    </row>
    <row r="29" spans="1:19" ht="12.75" customHeight="1">
      <c r="A29" s="412" t="s">
        <v>128</v>
      </c>
      <c r="B29" s="81" t="s">
        <v>118</v>
      </c>
      <c r="C29" s="82">
        <v>0</v>
      </c>
      <c r="D29" s="82">
        <v>0</v>
      </c>
      <c r="E29" s="82">
        <v>0</v>
      </c>
      <c r="F29" s="82">
        <v>0</v>
      </c>
      <c r="G29" s="82">
        <v>0</v>
      </c>
      <c r="H29" s="82">
        <v>0</v>
      </c>
      <c r="I29" s="82">
        <v>0</v>
      </c>
      <c r="J29" s="82">
        <v>0</v>
      </c>
      <c r="K29" s="82">
        <v>0</v>
      </c>
      <c r="L29" s="82">
        <v>0</v>
      </c>
      <c r="M29" s="82">
        <v>0</v>
      </c>
      <c r="N29" s="82">
        <v>0</v>
      </c>
      <c r="O29" s="82">
        <v>0</v>
      </c>
      <c r="P29" s="82">
        <v>0</v>
      </c>
      <c r="Q29" s="82">
        <v>0</v>
      </c>
      <c r="R29" s="82">
        <v>0</v>
      </c>
      <c r="S29" s="83">
        <v>0</v>
      </c>
    </row>
    <row r="30" spans="1:19">
      <c r="A30" s="413"/>
      <c r="B30" s="72" t="s">
        <v>117</v>
      </c>
      <c r="C30" s="73">
        <f>'3.3.9'!$G$12</f>
        <v>3373</v>
      </c>
      <c r="D30" s="73">
        <f>'3.3.9'!$G$13</f>
        <v>3383</v>
      </c>
      <c r="E30" s="73">
        <f>'3.3.9'!$G$14</f>
        <v>1740</v>
      </c>
      <c r="F30" s="73">
        <f>'3.3.9'!$G$15</f>
        <v>1056</v>
      </c>
      <c r="G30" s="73">
        <f>'3.3.9'!$G$16</f>
        <v>234</v>
      </c>
      <c r="H30" s="73">
        <f>'3.3.9'!$G$17</f>
        <v>213</v>
      </c>
      <c r="I30" s="73">
        <f>'3.3.9'!$G$18</f>
        <v>0</v>
      </c>
      <c r="J30" s="73">
        <f>'3.3.9'!$G$19</f>
        <v>160</v>
      </c>
      <c r="K30" s="73">
        <f>'3.3.9'!$G$20</f>
        <v>0</v>
      </c>
      <c r="L30" s="73">
        <f>'3.3.9'!$G$21</f>
        <v>5075</v>
      </c>
      <c r="M30" s="73">
        <f>'3.3.9'!$G$22</f>
        <v>831</v>
      </c>
      <c r="N30" s="73">
        <f>'3.3.9'!$G$23</f>
        <v>199</v>
      </c>
      <c r="O30" s="73">
        <f>'3.3.9'!$G$24</f>
        <v>1471</v>
      </c>
      <c r="P30" s="73">
        <f>'3.3.9'!$G$25</f>
        <v>0</v>
      </c>
      <c r="Q30" s="73">
        <f>'3.3.9'!$G$26</f>
        <v>1100</v>
      </c>
      <c r="R30" s="73">
        <f>'3.3.9'!$G$27</f>
        <v>1014</v>
      </c>
      <c r="S30" s="74">
        <f>'3.3.9'!$G$28</f>
        <v>19849</v>
      </c>
    </row>
    <row r="31" spans="1:19">
      <c r="A31" s="414"/>
      <c r="B31" s="75" t="s">
        <v>119</v>
      </c>
      <c r="C31" s="76">
        <f>'3.1.9'!$G$12</f>
        <v>3373</v>
      </c>
      <c r="D31" s="76">
        <f>'3.1.9'!$G$13</f>
        <v>3383</v>
      </c>
      <c r="E31" s="76">
        <f>'3.1.9'!$G$14</f>
        <v>1740</v>
      </c>
      <c r="F31" s="76">
        <f>'3.1.9'!$G$15</f>
        <v>1056</v>
      </c>
      <c r="G31" s="76">
        <f>'3.1.9'!$G$16</f>
        <v>234</v>
      </c>
      <c r="H31" s="76">
        <f>'3.1.9'!$G$17</f>
        <v>213</v>
      </c>
      <c r="I31" s="76">
        <f>'3.1.9'!$G$18</f>
        <v>0</v>
      </c>
      <c r="J31" s="76">
        <f>'3.1.9'!$G$19</f>
        <v>160</v>
      </c>
      <c r="K31" s="76">
        <f>'3.1.9'!$G$20</f>
        <v>0</v>
      </c>
      <c r="L31" s="76">
        <f>'3.1.9'!$G$21</f>
        <v>5075</v>
      </c>
      <c r="M31" s="76">
        <f>'3.1.9'!$G$22</f>
        <v>831</v>
      </c>
      <c r="N31" s="76">
        <f>'3.1.9'!$G$23</f>
        <v>199</v>
      </c>
      <c r="O31" s="76">
        <f>'3.1.9'!$G$24</f>
        <v>1471</v>
      </c>
      <c r="P31" s="76">
        <f>'3.1.9'!$G$25</f>
        <v>0</v>
      </c>
      <c r="Q31" s="76">
        <f>'3.1.9'!$G$26</f>
        <v>1100</v>
      </c>
      <c r="R31" s="76">
        <f>'3.1.9'!$G$27</f>
        <v>1014</v>
      </c>
      <c r="S31" s="77">
        <f>'3.1.9'!$G$28</f>
        <v>19849</v>
      </c>
    </row>
    <row r="32" spans="1:19" ht="12.75" customHeight="1">
      <c r="A32" s="412" t="s">
        <v>129</v>
      </c>
      <c r="B32" s="81" t="s">
        <v>118</v>
      </c>
      <c r="C32" s="82">
        <f>'3.2.9'!$G$12</f>
        <v>15974</v>
      </c>
      <c r="D32" s="82">
        <f>'3.2.9'!$G$13</f>
        <v>10121</v>
      </c>
      <c r="E32" s="82">
        <f>'3.2.9'!$G$14</f>
        <v>3222</v>
      </c>
      <c r="F32" s="82">
        <f>'3.2.9'!$G$15</f>
        <v>3525</v>
      </c>
      <c r="G32" s="82">
        <f>'3.2.9'!$G$16</f>
        <v>0</v>
      </c>
      <c r="H32" s="82">
        <f>'3.2.9'!$G$17</f>
        <v>3574</v>
      </c>
      <c r="I32" s="82">
        <f>'3.2.9'!$G$18</f>
        <v>10623</v>
      </c>
      <c r="J32" s="82">
        <f>'3.2.9'!$G$19</f>
        <v>1866</v>
      </c>
      <c r="K32" s="82">
        <f>'3.2.9'!$G$20</f>
        <v>9977</v>
      </c>
      <c r="L32" s="82">
        <f>'3.2.9'!$G$21</f>
        <v>35742</v>
      </c>
      <c r="M32" s="82">
        <f>'3.2.9'!$G$22</f>
        <v>9534</v>
      </c>
      <c r="N32" s="82">
        <f>'3.2.9'!$G$23</f>
        <v>986</v>
      </c>
      <c r="O32" s="82">
        <f>'3.2.9'!$G$24</f>
        <v>17399</v>
      </c>
      <c r="P32" s="82">
        <f>'3.2.9'!$G$25</f>
        <v>6440</v>
      </c>
      <c r="Q32" s="82">
        <f>'3.2.9'!$G$26</f>
        <v>1274</v>
      </c>
      <c r="R32" s="82">
        <f>'3.2.9'!$G$27</f>
        <v>4533</v>
      </c>
      <c r="S32" s="83">
        <f>'3.2.9'!$G$28</f>
        <v>134790</v>
      </c>
    </row>
    <row r="33" spans="1:19">
      <c r="A33" s="413"/>
      <c r="B33" s="72" t="s">
        <v>117</v>
      </c>
      <c r="C33" s="73">
        <f>'3.3.10'!$G$12</f>
        <v>11712</v>
      </c>
      <c r="D33" s="73">
        <f>'3.3.10'!$G$13</f>
        <v>12288</v>
      </c>
      <c r="E33" s="73">
        <f>'3.3.10'!$G$14</f>
        <v>227</v>
      </c>
      <c r="F33" s="73">
        <f>'3.3.10'!$G$15</f>
        <v>1124</v>
      </c>
      <c r="G33" s="73">
        <f>'3.3.10'!$G$16</f>
        <v>0</v>
      </c>
      <c r="H33" s="73">
        <f>'3.3.10'!$G$17</f>
        <v>484</v>
      </c>
      <c r="I33" s="73">
        <f>'3.3.10'!$G$18</f>
        <v>0</v>
      </c>
      <c r="J33" s="73">
        <f>'3.3.10'!$G$19</f>
        <v>258</v>
      </c>
      <c r="K33" s="73">
        <f>'3.3.10'!$G$20</f>
        <v>0</v>
      </c>
      <c r="L33" s="73">
        <f>'3.3.10'!$G$21</f>
        <v>7316</v>
      </c>
      <c r="M33" s="73">
        <f>'3.3.10'!$G$22</f>
        <v>2451</v>
      </c>
      <c r="N33" s="73">
        <f>'3.3.10'!$G$23</f>
        <v>186</v>
      </c>
      <c r="O33" s="73">
        <f>'3.3.10'!$G$24</f>
        <v>432</v>
      </c>
      <c r="P33" s="73">
        <f>'3.3.10'!$G$25</f>
        <v>0</v>
      </c>
      <c r="Q33" s="73">
        <f>'3.3.10'!$G$26</f>
        <v>93</v>
      </c>
      <c r="R33" s="73">
        <f>'3.3.10'!$G$27</f>
        <v>2221</v>
      </c>
      <c r="S33" s="74">
        <f>'3.3.10'!$G$28</f>
        <v>38792</v>
      </c>
    </row>
    <row r="34" spans="1:19" ht="13.5" thickBot="1">
      <c r="A34" s="416"/>
      <c r="B34" s="84" t="s">
        <v>119</v>
      </c>
      <c r="C34" s="103">
        <f>'3.1.10'!$G$12</f>
        <v>27686</v>
      </c>
      <c r="D34" s="85">
        <f>'3.1.10'!$G$13</f>
        <v>22409</v>
      </c>
      <c r="E34" s="85">
        <f>'3.1.10'!$G$14</f>
        <v>3449</v>
      </c>
      <c r="F34" s="85">
        <f>'3.1.10'!$G$15</f>
        <v>4649</v>
      </c>
      <c r="G34" s="85">
        <f>'3.1.10'!$G$16</f>
        <v>0</v>
      </c>
      <c r="H34" s="85">
        <f>'3.1.10'!$G$17</f>
        <v>4058</v>
      </c>
      <c r="I34" s="85">
        <f>'3.1.10'!$G$18</f>
        <v>10623</v>
      </c>
      <c r="J34" s="85">
        <f>'3.1.10'!$G$19</f>
        <v>2124</v>
      </c>
      <c r="K34" s="85">
        <f>'3.1.10'!$G$20</f>
        <v>9977</v>
      </c>
      <c r="L34" s="85">
        <f>'3.1.10'!$G$21</f>
        <v>43058</v>
      </c>
      <c r="M34" s="85">
        <f>'3.1.10'!$G$22</f>
        <v>11985</v>
      </c>
      <c r="N34" s="85">
        <f>'3.1.10'!$G$23</f>
        <v>1172</v>
      </c>
      <c r="O34" s="85">
        <f>'3.1.10'!$G$24</f>
        <v>17831</v>
      </c>
      <c r="P34" s="85">
        <f>'3.1.10'!$G$25</f>
        <v>6440</v>
      </c>
      <c r="Q34" s="85">
        <f>'3.1.10'!$G$26</f>
        <v>1367</v>
      </c>
      <c r="R34" s="85">
        <f>'3.1.10'!$G$27</f>
        <v>6754</v>
      </c>
      <c r="S34" s="86">
        <f>'3.1.10'!$G$28</f>
        <v>173582</v>
      </c>
    </row>
    <row r="35" spans="1:19" ht="13.5" thickTop="1">
      <c r="A35" s="87"/>
      <c r="B35" s="66"/>
      <c r="C35" s="66"/>
      <c r="D35" s="66"/>
      <c r="E35" s="66"/>
      <c r="F35" s="66"/>
      <c r="G35" s="66"/>
      <c r="H35" s="66"/>
      <c r="I35" s="66"/>
      <c r="J35" s="66"/>
      <c r="K35" s="66"/>
      <c r="L35" s="66"/>
      <c r="M35" s="66"/>
      <c r="N35" s="66"/>
      <c r="O35" s="66"/>
      <c r="P35" s="66"/>
      <c r="Q35" s="66"/>
      <c r="R35" s="66"/>
      <c r="S35" s="66"/>
    </row>
    <row r="36" spans="1:19">
      <c r="A36" s="421" t="s">
        <v>130</v>
      </c>
      <c r="B36" s="421"/>
      <c r="C36" s="421"/>
      <c r="D36" s="421"/>
      <c r="E36" s="421"/>
      <c r="F36" s="421"/>
      <c r="G36" s="421"/>
      <c r="H36" s="421"/>
      <c r="I36" s="421"/>
      <c r="J36" s="421"/>
      <c r="K36" s="421"/>
      <c r="L36" s="421"/>
      <c r="M36" s="421"/>
      <c r="N36" s="421"/>
      <c r="O36" s="421"/>
      <c r="P36" s="421"/>
      <c r="Q36" s="421"/>
      <c r="R36" s="421"/>
      <c r="S36" s="421"/>
    </row>
    <row r="37" spans="1:19" ht="13.5" thickBot="1"/>
    <row r="38" spans="1:19" ht="14.25" thickTop="1" thickBot="1">
      <c r="A38" s="67"/>
      <c r="B38" s="68"/>
      <c r="C38" s="64" t="s">
        <v>80</v>
      </c>
      <c r="D38" s="64" t="s">
        <v>81</v>
      </c>
      <c r="E38" s="64" t="s">
        <v>82</v>
      </c>
      <c r="F38" s="64" t="s">
        <v>83</v>
      </c>
      <c r="G38" s="64" t="s">
        <v>84</v>
      </c>
      <c r="H38" s="64" t="s">
        <v>120</v>
      </c>
      <c r="I38" s="64" t="s">
        <v>86</v>
      </c>
      <c r="J38" s="64" t="s">
        <v>121</v>
      </c>
      <c r="K38" s="64" t="s">
        <v>88</v>
      </c>
      <c r="L38" s="64" t="s">
        <v>89</v>
      </c>
      <c r="M38" s="64" t="s">
        <v>90</v>
      </c>
      <c r="N38" s="64" t="s">
        <v>122</v>
      </c>
      <c r="O38" s="64" t="s">
        <v>92</v>
      </c>
      <c r="P38" s="64" t="s">
        <v>93</v>
      </c>
      <c r="Q38" s="64" t="s">
        <v>94</v>
      </c>
      <c r="R38" s="64" t="s">
        <v>95</v>
      </c>
      <c r="S38" s="65" t="s">
        <v>96</v>
      </c>
    </row>
    <row r="39" spans="1:19" ht="13.5" thickTop="1">
      <c r="A39" s="417" t="s">
        <v>79</v>
      </c>
      <c r="B39" s="69" t="s">
        <v>118</v>
      </c>
      <c r="C39" s="70">
        <f>C42+C45+C48+C51+C54+C57+C60+C63+C66</f>
        <v>227933</v>
      </c>
      <c r="D39" s="70">
        <f t="shared" ref="D39:R39" si="0">D42+D45+D48+D51+D54+D57+D60+D63+D66</f>
        <v>206651</v>
      </c>
      <c r="E39" s="70">
        <f t="shared" si="0"/>
        <v>174822</v>
      </c>
      <c r="F39" s="70">
        <f t="shared" si="0"/>
        <v>83770</v>
      </c>
      <c r="G39" s="70">
        <f t="shared" si="0"/>
        <v>20191</v>
      </c>
      <c r="H39" s="70">
        <f t="shared" si="0"/>
        <v>128123</v>
      </c>
      <c r="I39" s="70">
        <f t="shared" si="0"/>
        <v>253539</v>
      </c>
      <c r="J39" s="70">
        <f t="shared" si="0"/>
        <v>44802</v>
      </c>
      <c r="K39" s="70">
        <f t="shared" si="0"/>
        <v>367505</v>
      </c>
      <c r="L39" s="70">
        <f t="shared" si="0"/>
        <v>769368</v>
      </c>
      <c r="M39" s="70">
        <f t="shared" si="0"/>
        <v>95166</v>
      </c>
      <c r="N39" s="70">
        <f t="shared" si="0"/>
        <v>24525</v>
      </c>
      <c r="O39" s="70">
        <f t="shared" si="0"/>
        <v>230369</v>
      </c>
      <c r="P39" s="70">
        <f t="shared" si="0"/>
        <v>80922</v>
      </c>
      <c r="Q39" s="70">
        <f t="shared" si="0"/>
        <v>66437</v>
      </c>
      <c r="R39" s="70">
        <f t="shared" si="0"/>
        <v>78198</v>
      </c>
      <c r="S39" s="71">
        <f t="shared" ref="S39:S45" si="1">SUM(C39:R39)</f>
        <v>2852321</v>
      </c>
    </row>
    <row r="40" spans="1:19">
      <c r="A40" s="418"/>
      <c r="B40" s="72" t="s">
        <v>117</v>
      </c>
      <c r="C40" s="73">
        <f>C43+C46+C49+C52+C55+C58+C61+C64+C67</f>
        <v>28554</v>
      </c>
      <c r="D40" s="73">
        <f t="shared" ref="D40:R40" si="2">D43+D46+D49+D52+D55+D58+D61+D64+D67</f>
        <v>46266</v>
      </c>
      <c r="E40" s="73">
        <f t="shared" si="2"/>
        <v>16997</v>
      </c>
      <c r="F40" s="73">
        <f t="shared" si="2"/>
        <v>15770</v>
      </c>
      <c r="G40" s="73">
        <f t="shared" si="2"/>
        <v>975</v>
      </c>
      <c r="H40" s="73">
        <f t="shared" si="2"/>
        <v>11981</v>
      </c>
      <c r="I40" s="73">
        <f t="shared" si="2"/>
        <v>0</v>
      </c>
      <c r="J40" s="73">
        <f t="shared" si="2"/>
        <v>6094</v>
      </c>
      <c r="K40" s="73">
        <f t="shared" si="2"/>
        <v>0</v>
      </c>
      <c r="L40" s="73">
        <f t="shared" si="2"/>
        <v>37249</v>
      </c>
      <c r="M40" s="73">
        <f t="shared" si="2"/>
        <v>10009</v>
      </c>
      <c r="N40" s="73">
        <f t="shared" si="2"/>
        <v>1687</v>
      </c>
      <c r="O40" s="73">
        <f t="shared" si="2"/>
        <v>27366</v>
      </c>
      <c r="P40" s="73">
        <f t="shared" si="2"/>
        <v>0</v>
      </c>
      <c r="Q40" s="73">
        <f t="shared" si="2"/>
        <v>2161</v>
      </c>
      <c r="R40" s="73">
        <f t="shared" si="2"/>
        <v>12348</v>
      </c>
      <c r="S40" s="74">
        <f t="shared" si="1"/>
        <v>217457</v>
      </c>
    </row>
    <row r="41" spans="1:19">
      <c r="A41" s="419"/>
      <c r="B41" s="78" t="s">
        <v>119</v>
      </c>
      <c r="C41" s="79">
        <f>C44+C47+C50+C53+C56+C59+C62+C65+C68</f>
        <v>256487</v>
      </c>
      <c r="D41" s="79">
        <f t="shared" ref="D41:R41" si="3">D44+D47+D50+D53+D56+D59+D62+D65+D68</f>
        <v>252917</v>
      </c>
      <c r="E41" s="79">
        <f t="shared" si="3"/>
        <v>191819</v>
      </c>
      <c r="F41" s="79">
        <f t="shared" si="3"/>
        <v>99540</v>
      </c>
      <c r="G41" s="79">
        <f t="shared" si="3"/>
        <v>21166</v>
      </c>
      <c r="H41" s="79">
        <f t="shared" si="3"/>
        <v>140104</v>
      </c>
      <c r="I41" s="79">
        <f t="shared" si="3"/>
        <v>253539</v>
      </c>
      <c r="J41" s="79">
        <f t="shared" si="3"/>
        <v>50896</v>
      </c>
      <c r="K41" s="79">
        <f t="shared" si="3"/>
        <v>367505</v>
      </c>
      <c r="L41" s="79">
        <f t="shared" si="3"/>
        <v>806617</v>
      </c>
      <c r="M41" s="79">
        <f t="shared" si="3"/>
        <v>105175</v>
      </c>
      <c r="N41" s="79">
        <f t="shared" si="3"/>
        <v>26212</v>
      </c>
      <c r="O41" s="79">
        <f t="shared" si="3"/>
        <v>257735</v>
      </c>
      <c r="P41" s="79">
        <f t="shared" si="3"/>
        <v>80922</v>
      </c>
      <c r="Q41" s="79">
        <f t="shared" si="3"/>
        <v>68598</v>
      </c>
      <c r="R41" s="79">
        <f t="shared" si="3"/>
        <v>90546</v>
      </c>
      <c r="S41" s="80">
        <f t="shared" si="1"/>
        <v>3069778</v>
      </c>
    </row>
    <row r="42" spans="1:19">
      <c r="A42" s="410" t="s">
        <v>124</v>
      </c>
      <c r="B42" s="81" t="s">
        <v>118</v>
      </c>
      <c r="C42" s="82">
        <f>[5]GtS!$D$26</f>
        <v>53021</v>
      </c>
      <c r="D42" s="82">
        <f>[10]GtS!$D$26</f>
        <v>97488</v>
      </c>
      <c r="E42" s="82">
        <f>[15]GtS!$D$26</f>
        <v>85008</v>
      </c>
      <c r="F42" s="82">
        <f>[20]GtS!$D$26</f>
        <v>31023</v>
      </c>
      <c r="G42" s="82">
        <f>[25]GtS!$D$26</f>
        <v>9001</v>
      </c>
      <c r="H42" s="82">
        <f>[30]GtS!$D$26</f>
        <v>51655</v>
      </c>
      <c r="I42" s="82">
        <f>[70]GtS!$D$26</f>
        <v>69700</v>
      </c>
      <c r="J42" s="82">
        <f>[35]GtS!$D$26</f>
        <v>0</v>
      </c>
      <c r="K42" s="82">
        <f>[75]GtS!$D$26</f>
        <v>94347</v>
      </c>
      <c r="L42" s="82">
        <f>[40]GtS!$D$26</f>
        <v>275535</v>
      </c>
      <c r="M42" s="82">
        <f>[45]GtS!$D$26</f>
        <v>49283</v>
      </c>
      <c r="N42" s="82">
        <f>[50]GtS!$D$26</f>
        <v>14317</v>
      </c>
      <c r="O42" s="82">
        <f>[55]GtS!$D$26</f>
        <v>108211</v>
      </c>
      <c r="P42" s="82">
        <f>[80]GtS!$D$26</f>
        <v>45998</v>
      </c>
      <c r="Q42" s="82">
        <f>[60]GtS!$D$26</f>
        <v>20786</v>
      </c>
      <c r="R42" s="82">
        <f>[65]GtS!$D$26</f>
        <v>55772</v>
      </c>
      <c r="S42" s="83">
        <f t="shared" si="1"/>
        <v>1061145</v>
      </c>
    </row>
    <row r="43" spans="1:19">
      <c r="A43" s="410"/>
      <c r="B43" s="72" t="s">
        <v>117</v>
      </c>
      <c r="C43" s="73">
        <f>[5]GtS!$D$70</f>
        <v>1957</v>
      </c>
      <c r="D43" s="73">
        <f>[10]GtS!$D$70</f>
        <v>8847</v>
      </c>
      <c r="E43" s="73">
        <f>[15]GtS!$D$70</f>
        <v>6464</v>
      </c>
      <c r="F43" s="73">
        <f>[20]GtS!$D$70</f>
        <v>5097</v>
      </c>
      <c r="G43" s="73">
        <f>[25]GtS!$D$70</f>
        <v>581</v>
      </c>
      <c r="H43" s="73">
        <f>[30]GtS!$D$70</f>
        <v>4443</v>
      </c>
      <c r="I43" s="73">
        <f>[70]GtS!$D$70</f>
        <v>0</v>
      </c>
      <c r="J43" s="73">
        <f>[35]GtS!$D$70</f>
        <v>0</v>
      </c>
      <c r="K43" s="73">
        <f>[75]GtS!$D$70</f>
        <v>0</v>
      </c>
      <c r="L43" s="73">
        <f>[40]GtS!$D$70</f>
        <v>3238</v>
      </c>
      <c r="M43" s="73">
        <f>[45]GtS!$D$70</f>
        <v>1569</v>
      </c>
      <c r="N43" s="73">
        <f>[50]GtS!$D$70</f>
        <v>431</v>
      </c>
      <c r="O43" s="73">
        <f>[55]GtS!$D$70</f>
        <v>8755</v>
      </c>
      <c r="P43" s="73">
        <f>[80]GtS!$D$70</f>
        <v>0</v>
      </c>
      <c r="Q43" s="73">
        <f>[60]GtS!$D$70</f>
        <v>335</v>
      </c>
      <c r="R43" s="73">
        <f>[65]GtS!$D$70</f>
        <v>3570</v>
      </c>
      <c r="S43" s="74">
        <f t="shared" si="1"/>
        <v>45287</v>
      </c>
    </row>
    <row r="44" spans="1:19">
      <c r="A44" s="410"/>
      <c r="B44" s="75" t="s">
        <v>119</v>
      </c>
      <c r="C44" s="76">
        <f>[5]GtS!$D$114</f>
        <v>54978</v>
      </c>
      <c r="D44" s="76">
        <f>[10]GtS!$D$114</f>
        <v>106335</v>
      </c>
      <c r="E44" s="76">
        <f>[15]GtS!$D$114</f>
        <v>91472</v>
      </c>
      <c r="F44" s="76">
        <f>[20]GtS!$D$114</f>
        <v>36120</v>
      </c>
      <c r="G44" s="76">
        <f>[25]GtS!$D$114</f>
        <v>9582</v>
      </c>
      <c r="H44" s="76">
        <f>[30]GtS!$D$114</f>
        <v>56098</v>
      </c>
      <c r="I44" s="76">
        <f>[70]GtS!$D$114</f>
        <v>69700</v>
      </c>
      <c r="J44" s="76">
        <f>[35]GtS!$D$114</f>
        <v>0</v>
      </c>
      <c r="K44" s="76">
        <f>[75]GtS!$D$114</f>
        <v>94347</v>
      </c>
      <c r="L44" s="76">
        <f>[40]GtS!$D$114</f>
        <v>278773</v>
      </c>
      <c r="M44" s="76">
        <f>[45]GtS!$D$114</f>
        <v>50852</v>
      </c>
      <c r="N44" s="76">
        <f>[50]GtS!$D$114</f>
        <v>14748</v>
      </c>
      <c r="O44" s="76">
        <f>[55]GtS!$D$114</f>
        <v>116966</v>
      </c>
      <c r="P44" s="76">
        <f>[80]GtS!$D$114</f>
        <v>45998</v>
      </c>
      <c r="Q44" s="76">
        <f>[60]GtS!$D$114</f>
        <v>21121</v>
      </c>
      <c r="R44" s="76">
        <f>[65]GtS!$D$114</f>
        <v>59342</v>
      </c>
      <c r="S44" s="77">
        <f t="shared" si="1"/>
        <v>1106432</v>
      </c>
    </row>
    <row r="45" spans="1:19">
      <c r="A45" s="410" t="s">
        <v>9</v>
      </c>
      <c r="B45" s="81" t="s">
        <v>118</v>
      </c>
      <c r="C45" s="82">
        <f>[5]GtS!$D$27</f>
        <v>125</v>
      </c>
      <c r="D45" s="82">
        <f>[10]GtS!$D$27</f>
        <v>123</v>
      </c>
      <c r="E45" s="82">
        <f>[15]GtS!$D$27</f>
        <v>13919</v>
      </c>
      <c r="F45" s="82">
        <f>[20]GtS!$D$27</f>
        <v>13890</v>
      </c>
      <c r="G45" s="82">
        <f>[25]GtS!$D$27</f>
        <v>0</v>
      </c>
      <c r="H45" s="82">
        <f>[30]GtS!$D$27</f>
        <v>338</v>
      </c>
      <c r="I45" s="82">
        <f>[70]GtS!$D$27</f>
        <v>8583</v>
      </c>
      <c r="J45" s="82">
        <f>[35]GtS!$D$27</f>
        <v>0</v>
      </c>
      <c r="K45" s="82">
        <f>[75]GtS!$D$27</f>
        <v>0</v>
      </c>
      <c r="L45" s="82">
        <f>[40]GtS!$D$27</f>
        <v>0</v>
      </c>
      <c r="M45" s="82">
        <f>[45]GtS!$D$27</f>
        <v>0</v>
      </c>
      <c r="N45" s="82">
        <f>[50]GtS!$D$27</f>
        <v>0</v>
      </c>
      <c r="O45" s="82">
        <f>[55]GtS!$D$27</f>
        <v>0</v>
      </c>
      <c r="P45" s="82">
        <f>[80]GtS!$D$27</f>
        <v>0</v>
      </c>
      <c r="Q45" s="82">
        <f>[60]GtS!$D$27</f>
        <v>0</v>
      </c>
      <c r="R45" s="82">
        <f>[65]GtS!$D$27</f>
        <v>0</v>
      </c>
      <c r="S45" s="83">
        <f t="shared" si="1"/>
        <v>36978</v>
      </c>
    </row>
    <row r="46" spans="1:19">
      <c r="A46" s="410"/>
      <c r="B46" s="72" t="s">
        <v>117</v>
      </c>
      <c r="C46" s="73">
        <f>[5]GtS!$D$71</f>
        <v>0</v>
      </c>
      <c r="D46" s="73">
        <f>[10]GtS!$D$71</f>
        <v>0</v>
      </c>
      <c r="E46" s="73">
        <f>[15]GtS!$D$71</f>
        <v>1807</v>
      </c>
      <c r="F46" s="73">
        <f>[20]GtS!$D$71</f>
        <v>2313</v>
      </c>
      <c r="G46" s="73">
        <f>[25]GtS!$D$71</f>
        <v>0</v>
      </c>
      <c r="H46" s="73">
        <f>[30]GtS!$D$71</f>
        <v>68</v>
      </c>
      <c r="I46" s="73">
        <f>[70]GtS!$D$71</f>
        <v>0</v>
      </c>
      <c r="J46" s="73">
        <f>[35]GtS!$D$71</f>
        <v>0</v>
      </c>
      <c r="K46" s="73">
        <f>[75]GtS!$D$71</f>
        <v>0</v>
      </c>
      <c r="L46" s="73">
        <f>[40]GtS!$D$71</f>
        <v>0</v>
      </c>
      <c r="M46" s="73">
        <f>[45]GtS!$D$71</f>
        <v>0</v>
      </c>
      <c r="N46" s="73">
        <f>[50]GtS!$D$71</f>
        <v>0</v>
      </c>
      <c r="O46" s="73">
        <f>[55]GtS!$D$71</f>
        <v>0</v>
      </c>
      <c r="P46" s="73">
        <f>[80]GtS!$D$71</f>
        <v>0</v>
      </c>
      <c r="Q46" s="73">
        <f>[60]GtS!$D$71</f>
        <v>0</v>
      </c>
      <c r="R46" s="73">
        <f>[65]GtS!$D$71</f>
        <v>0</v>
      </c>
      <c r="S46" s="74">
        <f t="shared" ref="S46:S68" si="4">SUM(C46:R46)</f>
        <v>4188</v>
      </c>
    </row>
    <row r="47" spans="1:19">
      <c r="A47" s="410"/>
      <c r="B47" s="75" t="s">
        <v>119</v>
      </c>
      <c r="C47" s="76">
        <f>[5]GtS!$D$115</f>
        <v>125</v>
      </c>
      <c r="D47" s="76">
        <f>[10]GtS!$D$115</f>
        <v>123</v>
      </c>
      <c r="E47" s="76">
        <f>[15]GtS!$D$115</f>
        <v>15726</v>
      </c>
      <c r="F47" s="76">
        <f>[20]GtS!$D$115</f>
        <v>16203</v>
      </c>
      <c r="G47" s="76">
        <f>[25]GtS!$D$115</f>
        <v>0</v>
      </c>
      <c r="H47" s="76">
        <f>[30]GtS!$D$115</f>
        <v>406</v>
      </c>
      <c r="I47" s="76">
        <f>[70]GtS!$D$115</f>
        <v>8583</v>
      </c>
      <c r="J47" s="76">
        <f>[35]GtS!$D$115</f>
        <v>0</v>
      </c>
      <c r="K47" s="76">
        <f>[75]GtS!$D$115</f>
        <v>0</v>
      </c>
      <c r="L47" s="76">
        <f>[40]GtS!$D$115</f>
        <v>0</v>
      </c>
      <c r="M47" s="76">
        <f>[45]GtS!$D$115</f>
        <v>0</v>
      </c>
      <c r="N47" s="76">
        <f>[50]GtS!$D$115</f>
        <v>0</v>
      </c>
      <c r="O47" s="76">
        <f>[55]GtS!$D$115</f>
        <v>0</v>
      </c>
      <c r="P47" s="76">
        <f>[80]GtS!$D$115</f>
        <v>0</v>
      </c>
      <c r="Q47" s="76">
        <f>[60]GtS!$D$115</f>
        <v>0</v>
      </c>
      <c r="R47" s="76">
        <f>[65]GtS!$D$115</f>
        <v>0</v>
      </c>
      <c r="S47" s="77">
        <f t="shared" si="4"/>
        <v>41166</v>
      </c>
    </row>
    <row r="48" spans="1:19">
      <c r="A48" s="410" t="s">
        <v>125</v>
      </c>
      <c r="B48" s="81" t="s">
        <v>118</v>
      </c>
      <c r="C48" s="82">
        <f>[5]GtS!$D$28</f>
        <v>33022</v>
      </c>
      <c r="D48" s="82">
        <f>[10]GtS!$D$28</f>
        <v>52961</v>
      </c>
      <c r="E48" s="82">
        <f>[15]GtS!$D$28</f>
        <v>0</v>
      </c>
      <c r="F48" s="82">
        <f>[20]GtS!$D$28</f>
        <v>0</v>
      </c>
      <c r="G48" s="82">
        <f>[25]GtS!$D$28</f>
        <v>0</v>
      </c>
      <c r="H48" s="82">
        <f>[30]GtS!$D$28</f>
        <v>0</v>
      </c>
      <c r="I48" s="82">
        <f>[70]GtS!$D$28</f>
        <v>13659</v>
      </c>
      <c r="J48" s="82">
        <f>[35]GtS!$D$28</f>
        <v>0</v>
      </c>
      <c r="K48" s="82">
        <f>[75]GtS!$D$28</f>
        <v>18031</v>
      </c>
      <c r="L48" s="82">
        <f>[40]GtS!$D$28</f>
        <v>51968</v>
      </c>
      <c r="M48" s="82">
        <f>[45]GtS!$D$28</f>
        <v>0</v>
      </c>
      <c r="N48" s="82">
        <f>[50]GtS!$D$28</f>
        <v>0</v>
      </c>
      <c r="O48" s="82">
        <f>[55]GtS!$D$28</f>
        <v>0</v>
      </c>
      <c r="P48" s="82">
        <f>[80]GtS!$D$28</f>
        <v>0</v>
      </c>
      <c r="Q48" s="82">
        <f>[60]GtS!$D$28</f>
        <v>0</v>
      </c>
      <c r="R48" s="82">
        <f>[65]GtS!$D$28</f>
        <v>0</v>
      </c>
      <c r="S48" s="83">
        <f t="shared" si="4"/>
        <v>169641</v>
      </c>
    </row>
    <row r="49" spans="1:19">
      <c r="A49" s="410"/>
      <c r="B49" s="72" t="s">
        <v>117</v>
      </c>
      <c r="C49" s="73">
        <f>[5]GtS!$D$72</f>
        <v>1033</v>
      </c>
      <c r="D49" s="73">
        <f>[10]GtS!$D$72</f>
        <v>7494</v>
      </c>
      <c r="E49" s="73">
        <f>[15]GtS!$D$72</f>
        <v>0</v>
      </c>
      <c r="F49" s="73">
        <f>[20]GtS!$D$72</f>
        <v>0</v>
      </c>
      <c r="G49" s="73">
        <f>[25]GtS!$D$72</f>
        <v>0</v>
      </c>
      <c r="H49" s="73">
        <f>[30]GtS!$D$72</f>
        <v>0</v>
      </c>
      <c r="I49" s="73">
        <f>[70]GtS!$D$72</f>
        <v>0</v>
      </c>
      <c r="J49" s="73">
        <f>[35]GtS!$D$72</f>
        <v>0</v>
      </c>
      <c r="K49" s="73">
        <f>[75]GtS!$D$72</f>
        <v>0</v>
      </c>
      <c r="L49" s="73">
        <f>[40]GtS!$D$72</f>
        <v>301</v>
      </c>
      <c r="M49" s="73">
        <f>[45]GtS!$D$72</f>
        <v>66</v>
      </c>
      <c r="N49" s="73">
        <f>[50]GtS!$D$72</f>
        <v>0</v>
      </c>
      <c r="O49" s="73">
        <f>[55]GtS!$D$72</f>
        <v>0</v>
      </c>
      <c r="P49" s="73">
        <f>[80]GtS!$D$72</f>
        <v>0</v>
      </c>
      <c r="Q49" s="73">
        <f>[60]GtS!$D$72</f>
        <v>0</v>
      </c>
      <c r="R49" s="73">
        <f>[65]GtS!$D$72</f>
        <v>0</v>
      </c>
      <c r="S49" s="74">
        <f t="shared" si="4"/>
        <v>8894</v>
      </c>
    </row>
    <row r="50" spans="1:19">
      <c r="A50" s="410"/>
      <c r="B50" s="75" t="s">
        <v>119</v>
      </c>
      <c r="C50" s="76">
        <f>[5]GtS!$D$116</f>
        <v>34055</v>
      </c>
      <c r="D50" s="76">
        <f>[10]GtS!$D$116</f>
        <v>60455</v>
      </c>
      <c r="E50" s="76">
        <f>[15]GtS!$D$116</f>
        <v>0</v>
      </c>
      <c r="F50" s="76">
        <f>[20]GtS!$D$116</f>
        <v>0</v>
      </c>
      <c r="G50" s="76">
        <f>[25]GtS!$D$116</f>
        <v>0</v>
      </c>
      <c r="H50" s="76">
        <f>[30]GtS!$D$116</f>
        <v>0</v>
      </c>
      <c r="I50" s="76">
        <f>[70]GtS!$D$116</f>
        <v>13659</v>
      </c>
      <c r="J50" s="76">
        <f>[35]GtS!$D$116</f>
        <v>0</v>
      </c>
      <c r="K50" s="76">
        <f>[75]GtS!$D$116</f>
        <v>18031</v>
      </c>
      <c r="L50" s="76">
        <f>[40]GtS!$D$116</f>
        <v>52269</v>
      </c>
      <c r="M50" s="76">
        <f>[45]GtS!$D$116</f>
        <v>66</v>
      </c>
      <c r="N50" s="76">
        <f>[50]GtS!$D$116</f>
        <v>0</v>
      </c>
      <c r="O50" s="76">
        <f>[55]GtS!$D$116</f>
        <v>0</v>
      </c>
      <c r="P50" s="76">
        <f>[80]GtS!$D$116</f>
        <v>0</v>
      </c>
      <c r="Q50" s="76">
        <f>[60]GtS!$D$116</f>
        <v>0</v>
      </c>
      <c r="R50" s="76">
        <f>[65]GtS!$D$116</f>
        <v>0</v>
      </c>
      <c r="S50" s="77">
        <f t="shared" si="4"/>
        <v>178535</v>
      </c>
    </row>
    <row r="51" spans="1:19">
      <c r="A51" s="410" t="s">
        <v>126</v>
      </c>
      <c r="B51" s="81" t="s">
        <v>118</v>
      </c>
      <c r="C51" s="82">
        <f>[5]GtS!$D$29</f>
        <v>0</v>
      </c>
      <c r="D51" s="82">
        <f>[10]GtS!$D$29</f>
        <v>0</v>
      </c>
      <c r="E51" s="82">
        <f>[15]GtS!$D$29</f>
        <v>0</v>
      </c>
      <c r="F51" s="82">
        <f>[20]GtS!$D$29</f>
        <v>20442</v>
      </c>
      <c r="G51" s="82">
        <f>[25]GtS!$D$29</f>
        <v>0</v>
      </c>
      <c r="H51" s="82">
        <f>[30]GtS!$D$29</f>
        <v>0</v>
      </c>
      <c r="I51" s="82">
        <f>[70]GtS!$D$29</f>
        <v>4425</v>
      </c>
      <c r="J51" s="82">
        <f>[35]GtS!$D$29</f>
        <v>28082</v>
      </c>
      <c r="K51" s="82">
        <f>[75]GtS!$D$29</f>
        <v>72428</v>
      </c>
      <c r="L51" s="82">
        <f>[40]GtS!$D$29</f>
        <v>47049</v>
      </c>
      <c r="M51" s="82">
        <f>[45]GtS!$D$29</f>
        <v>17169</v>
      </c>
      <c r="N51" s="82">
        <f>[50]GtS!$D$29</f>
        <v>0</v>
      </c>
      <c r="O51" s="82">
        <f>[55]GtS!$D$29</f>
        <v>64393</v>
      </c>
      <c r="P51" s="82">
        <f>[80]GtS!$D$29</f>
        <v>16027</v>
      </c>
      <c r="Q51" s="82">
        <f>[60]GtS!$D$29</f>
        <v>2636</v>
      </c>
      <c r="R51" s="82">
        <f>[65]GtS!$D$29</f>
        <v>8117</v>
      </c>
      <c r="S51" s="83">
        <f t="shared" si="4"/>
        <v>280768</v>
      </c>
    </row>
    <row r="52" spans="1:19">
      <c r="A52" s="410"/>
      <c r="B52" s="72" t="s">
        <v>117</v>
      </c>
      <c r="C52" s="73">
        <f>[5]GtS!$D$73</f>
        <v>0</v>
      </c>
      <c r="D52" s="73">
        <f>[10]GtS!$D$73</f>
        <v>0</v>
      </c>
      <c r="E52" s="73">
        <f>[15]GtS!$D$73</f>
        <v>0</v>
      </c>
      <c r="F52" s="73">
        <f>[20]GtS!$D$73</f>
        <v>1871</v>
      </c>
      <c r="G52" s="73">
        <f>[25]GtS!$D$73</f>
        <v>0</v>
      </c>
      <c r="H52" s="73">
        <f>[30]GtS!$D$73</f>
        <v>0</v>
      </c>
      <c r="I52" s="73">
        <f>[70]GtS!$D$73</f>
        <v>0</v>
      </c>
      <c r="J52" s="73">
        <f>[35]GtS!$D$73</f>
        <v>1796</v>
      </c>
      <c r="K52" s="73">
        <f>[75]GtS!$D$73</f>
        <v>0</v>
      </c>
      <c r="L52" s="73">
        <f>[40]GtS!$D$73</f>
        <v>3060</v>
      </c>
      <c r="M52" s="73">
        <f>[45]GtS!$D$73</f>
        <v>541</v>
      </c>
      <c r="N52" s="73">
        <f>[50]GtS!$D$73</f>
        <v>49</v>
      </c>
      <c r="O52" s="73">
        <f>[55]GtS!$D$73</f>
        <v>9352</v>
      </c>
      <c r="P52" s="73">
        <f>[80]GtS!$D$73</f>
        <v>0</v>
      </c>
      <c r="Q52" s="73">
        <f>[60]GtS!$D$73</f>
        <v>0</v>
      </c>
      <c r="R52" s="73">
        <f>[65]GtS!$D$73</f>
        <v>1200</v>
      </c>
      <c r="S52" s="74">
        <f t="shared" si="4"/>
        <v>17869</v>
      </c>
    </row>
    <row r="53" spans="1:19">
      <c r="A53" s="410"/>
      <c r="B53" s="75" t="s">
        <v>119</v>
      </c>
      <c r="C53" s="76">
        <f>[5]GtS!$D$117</f>
        <v>0</v>
      </c>
      <c r="D53" s="76">
        <f>[10]GtS!$D$117</f>
        <v>0</v>
      </c>
      <c r="E53" s="76">
        <f>[15]GtS!$D$117</f>
        <v>0</v>
      </c>
      <c r="F53" s="76">
        <f>[20]GtS!$D$117</f>
        <v>22313</v>
      </c>
      <c r="G53" s="76">
        <f>[25]GtS!$D$117</f>
        <v>0</v>
      </c>
      <c r="H53" s="76">
        <f>[30]GtS!$D$117</f>
        <v>0</v>
      </c>
      <c r="I53" s="76">
        <f>[70]GtS!$D$117</f>
        <v>4425</v>
      </c>
      <c r="J53" s="76">
        <f>[35]GtS!$D$117</f>
        <v>29878</v>
      </c>
      <c r="K53" s="76">
        <f>[75]GtS!$D$117</f>
        <v>72428</v>
      </c>
      <c r="L53" s="76">
        <f>[40]GtS!$D$117</f>
        <v>50109</v>
      </c>
      <c r="M53" s="76">
        <f>[45]GtS!$D$117</f>
        <v>17710</v>
      </c>
      <c r="N53" s="76">
        <f>[50]GtS!$D$117</f>
        <v>49</v>
      </c>
      <c r="O53" s="76">
        <f>[55]GtS!$D$117</f>
        <v>73745</v>
      </c>
      <c r="P53" s="76">
        <f>[80]GtS!$D$117</f>
        <v>16027</v>
      </c>
      <c r="Q53" s="76">
        <f>[60]GtS!$D$117</f>
        <v>2636</v>
      </c>
      <c r="R53" s="76">
        <f>[65]GtS!$D$117</f>
        <v>9317</v>
      </c>
      <c r="S53" s="77">
        <f t="shared" si="4"/>
        <v>298637</v>
      </c>
    </row>
    <row r="54" spans="1:19">
      <c r="A54" s="410" t="s">
        <v>15</v>
      </c>
      <c r="B54" s="81" t="s">
        <v>118</v>
      </c>
      <c r="C54" s="82">
        <f>[5]GtS!$D$30</f>
        <v>20636</v>
      </c>
      <c r="D54" s="82">
        <f>[10]GtS!$D$30</f>
        <v>19608</v>
      </c>
      <c r="E54" s="82">
        <f>[15]GtS!$D$30</f>
        <v>0</v>
      </c>
      <c r="F54" s="82">
        <f>[20]GtS!$D$30</f>
        <v>0</v>
      </c>
      <c r="G54" s="82">
        <f>[25]GtS!$D$30</f>
        <v>0</v>
      </c>
      <c r="H54" s="82">
        <f>[30]GtS!$D$30</f>
        <v>0</v>
      </c>
      <c r="I54" s="82">
        <f>[70]GtS!$D$30</f>
        <v>33493</v>
      </c>
      <c r="J54" s="82">
        <f>[35]GtS!$D$30</f>
        <v>0</v>
      </c>
      <c r="K54" s="82">
        <f>[75]GtS!$D$30</f>
        <v>35341</v>
      </c>
      <c r="L54" s="82">
        <f>[40]GtS!$D$30</f>
        <v>51758</v>
      </c>
      <c r="M54" s="82">
        <f>[45]GtS!$D$30</f>
        <v>0</v>
      </c>
      <c r="N54" s="82">
        <f>[50]GtS!$D$30</f>
        <v>0</v>
      </c>
      <c r="O54" s="82">
        <f>[55]GtS!$D$30</f>
        <v>0</v>
      </c>
      <c r="P54" s="82">
        <f>[80]GtS!$D$30</f>
        <v>0</v>
      </c>
      <c r="Q54" s="82">
        <f>[60]GtS!$D$30</f>
        <v>0</v>
      </c>
      <c r="R54" s="82">
        <f>[65]GtS!$D$30</f>
        <v>0</v>
      </c>
      <c r="S54" s="83">
        <f t="shared" si="4"/>
        <v>160836</v>
      </c>
    </row>
    <row r="55" spans="1:19">
      <c r="A55" s="410"/>
      <c r="B55" s="72" t="s">
        <v>117</v>
      </c>
      <c r="C55" s="73">
        <f>[5]GtS!$D$74</f>
        <v>2499</v>
      </c>
      <c r="D55" s="73">
        <f>[10]GtS!$D$74</f>
        <v>8302</v>
      </c>
      <c r="E55" s="73">
        <f>[15]GtS!$D$74</f>
        <v>0</v>
      </c>
      <c r="F55" s="73">
        <f>[20]GtS!$D$74</f>
        <v>0</v>
      </c>
      <c r="G55" s="73">
        <f>[25]GtS!$D$74</f>
        <v>0</v>
      </c>
      <c r="H55" s="73">
        <f>[30]GtS!$D$74</f>
        <v>0</v>
      </c>
      <c r="I55" s="73">
        <f>[70]GtS!$D$74</f>
        <v>0</v>
      </c>
      <c r="J55" s="73">
        <f>[35]GtS!$D$74</f>
        <v>0</v>
      </c>
      <c r="K55" s="73">
        <f>[75]GtS!$D$74</f>
        <v>0</v>
      </c>
      <c r="L55" s="73">
        <f>[40]GtS!$D$74</f>
        <v>1772</v>
      </c>
      <c r="M55" s="73">
        <f>[45]GtS!$D$74</f>
        <v>149</v>
      </c>
      <c r="N55" s="73">
        <f>[50]GtS!$D$74</f>
        <v>101</v>
      </c>
      <c r="O55" s="73">
        <f>[55]GtS!$D$74</f>
        <v>0</v>
      </c>
      <c r="P55" s="73">
        <f>[80]GtS!$D$74</f>
        <v>0</v>
      </c>
      <c r="Q55" s="73">
        <f>[60]GtS!$D$74</f>
        <v>0</v>
      </c>
      <c r="R55" s="73">
        <f>[65]GtS!$D$74</f>
        <v>0</v>
      </c>
      <c r="S55" s="74">
        <f t="shared" si="4"/>
        <v>12823</v>
      </c>
    </row>
    <row r="56" spans="1:19">
      <c r="A56" s="410"/>
      <c r="B56" s="75" t="s">
        <v>119</v>
      </c>
      <c r="C56" s="76">
        <f>[5]GtS!$D$118</f>
        <v>23135</v>
      </c>
      <c r="D56" s="76">
        <f>[10]GtS!$D$118</f>
        <v>27910</v>
      </c>
      <c r="E56" s="76">
        <f>[15]GtS!$D$118</f>
        <v>0</v>
      </c>
      <c r="F56" s="76">
        <f>[20]GtS!$D$118</f>
        <v>0</v>
      </c>
      <c r="G56" s="76">
        <f>[25]GtS!$D$118</f>
        <v>0</v>
      </c>
      <c r="H56" s="76">
        <f>[30]GtS!$D$118</f>
        <v>0</v>
      </c>
      <c r="I56" s="76">
        <f>[70]GtS!$D$118</f>
        <v>33493</v>
      </c>
      <c r="J56" s="76">
        <f>[35]GtS!$D$118</f>
        <v>0</v>
      </c>
      <c r="K56" s="76">
        <f>[75]GtS!$D$118</f>
        <v>35341</v>
      </c>
      <c r="L56" s="76">
        <f>[40]GtS!$D$118</f>
        <v>53530</v>
      </c>
      <c r="M56" s="76">
        <f>[45]GtS!$D$118</f>
        <v>149</v>
      </c>
      <c r="N56" s="76">
        <f>[50]GtS!$D$118</f>
        <v>101</v>
      </c>
      <c r="O56" s="76">
        <f>[55]GtS!$D$118</f>
        <v>0</v>
      </c>
      <c r="P56" s="76">
        <f>[80]GtS!$D$118</f>
        <v>0</v>
      </c>
      <c r="Q56" s="76">
        <f>[60]GtS!$D$118</f>
        <v>0</v>
      </c>
      <c r="R56" s="76">
        <f>[65]GtS!$D$118</f>
        <v>0</v>
      </c>
      <c r="S56" s="77">
        <f t="shared" si="4"/>
        <v>173659</v>
      </c>
    </row>
    <row r="57" spans="1:19">
      <c r="A57" s="410" t="s">
        <v>73</v>
      </c>
      <c r="B57" s="81" t="s">
        <v>118</v>
      </c>
      <c r="C57" s="82">
        <f>[5]GtS!$D$31</f>
        <v>37473</v>
      </c>
      <c r="D57" s="82">
        <f>[10]GtS!$D$31</f>
        <v>25302</v>
      </c>
      <c r="E57" s="82">
        <f>[15]GtS!$D$31</f>
        <v>12321</v>
      </c>
      <c r="F57" s="82">
        <f>[20]GtS!$D$31</f>
        <v>7168</v>
      </c>
      <c r="G57" s="82">
        <f>[25]GtS!$D$31</f>
        <v>758</v>
      </c>
      <c r="H57" s="82">
        <f>[30]GtS!$D$31</f>
        <v>32874</v>
      </c>
      <c r="I57" s="82">
        <f>[70]GtS!$D$31</f>
        <v>64084</v>
      </c>
      <c r="J57" s="82">
        <f>[35]GtS!$D$31</f>
        <v>11090</v>
      </c>
      <c r="K57" s="82">
        <f>[75]GtS!$D$31</f>
        <v>77912</v>
      </c>
      <c r="L57" s="82">
        <f>[40]GtS!$D$31</f>
        <v>74718</v>
      </c>
      <c r="M57" s="82">
        <f>[45]GtS!$D$31</f>
        <v>8887</v>
      </c>
      <c r="N57" s="82">
        <f>[50]GtS!$D$31</f>
        <v>2640</v>
      </c>
      <c r="O57" s="82">
        <f>[55]GtS!$D$31</f>
        <v>40366</v>
      </c>
      <c r="P57" s="82">
        <f>[80]GtS!$D$31</f>
        <v>8174</v>
      </c>
      <c r="Q57" s="82">
        <f>[60]GtS!$D$31</f>
        <v>10673</v>
      </c>
      <c r="R57" s="82">
        <f>[65]GtS!$D$31</f>
        <v>2346</v>
      </c>
      <c r="S57" s="83">
        <f t="shared" si="4"/>
        <v>416786</v>
      </c>
    </row>
    <row r="58" spans="1:19">
      <c r="A58" s="410"/>
      <c r="B58" s="72" t="s">
        <v>117</v>
      </c>
      <c r="C58" s="73">
        <f>[5]GtS!$D$75</f>
        <v>6755</v>
      </c>
      <c r="D58" s="73">
        <f>[10]GtS!$D$75</f>
        <v>5952</v>
      </c>
      <c r="E58" s="73">
        <f>[15]GtS!$D$75</f>
        <v>1396</v>
      </c>
      <c r="F58" s="73">
        <f>[20]GtS!$D$75</f>
        <v>2915</v>
      </c>
      <c r="G58" s="73">
        <f>[25]GtS!$D$75</f>
        <v>0</v>
      </c>
      <c r="H58" s="73">
        <f>[30]GtS!$D$75</f>
        <v>2305</v>
      </c>
      <c r="I58" s="73">
        <f>[70]GtS!$D$75</f>
        <v>0</v>
      </c>
      <c r="J58" s="73">
        <f>[35]GtS!$D$75</f>
        <v>1750</v>
      </c>
      <c r="K58" s="73">
        <f>[75]GtS!$D$75</f>
        <v>0</v>
      </c>
      <c r="L58" s="73">
        <f>[40]GtS!$D$75</f>
        <v>8778</v>
      </c>
      <c r="M58" s="73">
        <f>[45]GtS!$D$75</f>
        <v>4030</v>
      </c>
      <c r="N58" s="73">
        <f>[50]GtS!$D$75</f>
        <v>444</v>
      </c>
      <c r="O58" s="73">
        <f>[55]GtS!$D$75</f>
        <v>7356</v>
      </c>
      <c r="P58" s="73">
        <f>[80]GtS!$D$75</f>
        <v>0</v>
      </c>
      <c r="Q58" s="73">
        <f>[60]GtS!$D$75</f>
        <v>0</v>
      </c>
      <c r="R58" s="73">
        <f>[65]GtS!$D$75</f>
        <v>1095</v>
      </c>
      <c r="S58" s="74">
        <f t="shared" si="4"/>
        <v>42776</v>
      </c>
    </row>
    <row r="59" spans="1:19">
      <c r="A59" s="410"/>
      <c r="B59" s="75" t="s">
        <v>119</v>
      </c>
      <c r="C59" s="76">
        <f>[5]GtS!$D$119</f>
        <v>44228</v>
      </c>
      <c r="D59" s="76">
        <f>[10]GtS!$D$119</f>
        <v>31254</v>
      </c>
      <c r="E59" s="76">
        <f>[15]GtS!$D$119</f>
        <v>13717</v>
      </c>
      <c r="F59" s="76">
        <f>[20]GtS!$D$119</f>
        <v>10083</v>
      </c>
      <c r="G59" s="76">
        <f>[25]GtS!$D$119</f>
        <v>758</v>
      </c>
      <c r="H59" s="76">
        <f>[30]GtS!$D$119</f>
        <v>35179</v>
      </c>
      <c r="I59" s="76">
        <f>[70]GtS!$D$119</f>
        <v>64084</v>
      </c>
      <c r="J59" s="76">
        <f>[35]GtS!$D$119</f>
        <v>12840</v>
      </c>
      <c r="K59" s="76">
        <f>[75]GtS!$D$119</f>
        <v>77912</v>
      </c>
      <c r="L59" s="76">
        <f>[40]GtS!$D$119</f>
        <v>83496</v>
      </c>
      <c r="M59" s="76">
        <f>[45]GtS!$D$119</f>
        <v>12917</v>
      </c>
      <c r="N59" s="76">
        <f>[50]GtS!$D$119</f>
        <v>3084</v>
      </c>
      <c r="O59" s="76">
        <f>[55]GtS!$D$119</f>
        <v>47722</v>
      </c>
      <c r="P59" s="76">
        <f>[80]GtS!$D$119</f>
        <v>8174</v>
      </c>
      <c r="Q59" s="76">
        <f>[60]GtS!$D$119</f>
        <v>10673</v>
      </c>
      <c r="R59" s="76">
        <f>[65]GtS!$D$119</f>
        <v>3441</v>
      </c>
      <c r="S59" s="77">
        <f t="shared" si="4"/>
        <v>459562</v>
      </c>
    </row>
    <row r="60" spans="1:19">
      <c r="A60" s="410" t="s">
        <v>127</v>
      </c>
      <c r="B60" s="81" t="s">
        <v>118</v>
      </c>
      <c r="C60" s="82">
        <f>[5]GtS!$D$32</f>
        <v>67682</v>
      </c>
      <c r="D60" s="82">
        <f>[10]GtS!$D$32</f>
        <v>1048</v>
      </c>
      <c r="E60" s="82">
        <f>[15]GtS!$D$32</f>
        <v>60352</v>
      </c>
      <c r="F60" s="82">
        <f>[20]GtS!$D$32</f>
        <v>7722</v>
      </c>
      <c r="G60" s="82">
        <f>[25]GtS!$D$32</f>
        <v>10432</v>
      </c>
      <c r="H60" s="82">
        <f>[30]GtS!$D$32</f>
        <v>39682</v>
      </c>
      <c r="I60" s="82">
        <f>[70]GtS!$D$32</f>
        <v>48972</v>
      </c>
      <c r="J60" s="82">
        <f>[35]GtS!$D$32</f>
        <v>3764</v>
      </c>
      <c r="K60" s="82">
        <f>[75]GtS!$D$32</f>
        <v>59469</v>
      </c>
      <c r="L60" s="82">
        <f>[40]GtS!$D$32</f>
        <v>232598</v>
      </c>
      <c r="M60" s="82">
        <f>[45]GtS!$D$32</f>
        <v>10293</v>
      </c>
      <c r="N60" s="82">
        <f>[50]GtS!$D$32</f>
        <v>6582</v>
      </c>
      <c r="O60" s="82">
        <f>[55]GtS!$D$32</f>
        <v>0</v>
      </c>
      <c r="P60" s="82">
        <f>[80]GtS!$D$32</f>
        <v>4283</v>
      </c>
      <c r="Q60" s="82">
        <f>[60]GtS!$D$32</f>
        <v>31068</v>
      </c>
      <c r="R60" s="82">
        <f>[65]GtS!$D$32</f>
        <v>7430</v>
      </c>
      <c r="S60" s="83">
        <f t="shared" si="4"/>
        <v>591377</v>
      </c>
    </row>
    <row r="61" spans="1:19">
      <c r="A61" s="410"/>
      <c r="B61" s="72" t="s">
        <v>117</v>
      </c>
      <c r="C61" s="73">
        <f>[5]GtS!$D$76</f>
        <v>1225</v>
      </c>
      <c r="D61" s="73">
        <f>[10]GtS!$D$76</f>
        <v>0</v>
      </c>
      <c r="E61" s="73">
        <f>[15]GtS!$D$76</f>
        <v>5363</v>
      </c>
      <c r="F61" s="73">
        <f>[20]GtS!$D$76</f>
        <v>1394</v>
      </c>
      <c r="G61" s="73">
        <f>[25]GtS!$D$76</f>
        <v>160</v>
      </c>
      <c r="H61" s="73">
        <f>[30]GtS!$D$76</f>
        <v>4468</v>
      </c>
      <c r="I61" s="73">
        <f>[70]GtS!$D$76</f>
        <v>0</v>
      </c>
      <c r="J61" s="73">
        <f>[35]GtS!$D$76</f>
        <v>2130</v>
      </c>
      <c r="K61" s="73">
        <f>[75]GtS!$D$76</f>
        <v>0</v>
      </c>
      <c r="L61" s="73">
        <f>[40]GtS!$D$76</f>
        <v>7709</v>
      </c>
      <c r="M61" s="73">
        <f>[45]GtS!$D$76</f>
        <v>372</v>
      </c>
      <c r="N61" s="73">
        <f>[50]GtS!$D$76</f>
        <v>277</v>
      </c>
      <c r="O61" s="73">
        <f>[55]GtS!$D$76</f>
        <v>0</v>
      </c>
      <c r="P61" s="73">
        <f>[80]GtS!$D$76</f>
        <v>0</v>
      </c>
      <c r="Q61" s="73">
        <f>[60]GtS!$D$76</f>
        <v>633</v>
      </c>
      <c r="R61" s="73">
        <f>[65]GtS!$D$76</f>
        <v>3248</v>
      </c>
      <c r="S61" s="74">
        <f t="shared" si="4"/>
        <v>26979</v>
      </c>
    </row>
    <row r="62" spans="1:19">
      <c r="A62" s="410"/>
      <c r="B62" s="75" t="s">
        <v>119</v>
      </c>
      <c r="C62" s="76">
        <f>[5]GtS!$D$120</f>
        <v>68907</v>
      </c>
      <c r="D62" s="76">
        <f>[10]GtS!$D$120</f>
        <v>1048</v>
      </c>
      <c r="E62" s="76">
        <f>[15]GtS!$D$120</f>
        <v>65715</v>
      </c>
      <c r="F62" s="76">
        <f>[20]GtS!$D$120</f>
        <v>9116</v>
      </c>
      <c r="G62" s="76">
        <f>[25]GtS!$D$120</f>
        <v>10592</v>
      </c>
      <c r="H62" s="76">
        <f>[30]GtS!$D$120</f>
        <v>44150</v>
      </c>
      <c r="I62" s="76">
        <f>[70]GtS!$D$120</f>
        <v>48972</v>
      </c>
      <c r="J62" s="76">
        <f>[35]GtS!$D$120</f>
        <v>5894</v>
      </c>
      <c r="K62" s="76">
        <f>[75]GtS!$D$120</f>
        <v>59469</v>
      </c>
      <c r="L62" s="76">
        <f>[40]GtS!$D$120</f>
        <v>240307</v>
      </c>
      <c r="M62" s="76">
        <f>[45]GtS!$D$120</f>
        <v>10665</v>
      </c>
      <c r="N62" s="76">
        <f>[50]GtS!$D$120</f>
        <v>6859</v>
      </c>
      <c r="O62" s="76">
        <f>[55]GtS!$D$120</f>
        <v>0</v>
      </c>
      <c r="P62" s="76">
        <f>[80]GtS!$D$120</f>
        <v>4283</v>
      </c>
      <c r="Q62" s="76">
        <f>[60]GtS!$D$120</f>
        <v>31701</v>
      </c>
      <c r="R62" s="76">
        <f>[65]GtS!$D$120</f>
        <v>10678</v>
      </c>
      <c r="S62" s="77">
        <f t="shared" si="4"/>
        <v>618356</v>
      </c>
    </row>
    <row r="63" spans="1:19">
      <c r="A63" s="410" t="s">
        <v>128</v>
      </c>
      <c r="B63" s="81" t="s">
        <v>118</v>
      </c>
      <c r="C63" s="82">
        <f>[5]GtS!$D$34</f>
        <v>0</v>
      </c>
      <c r="D63" s="82">
        <f>[10]GtS!$D$34</f>
        <v>0</v>
      </c>
      <c r="E63" s="82">
        <f>[15]GtS!$D$34</f>
        <v>0</v>
      </c>
      <c r="F63" s="82">
        <f>[20]GtS!$D$34</f>
        <v>0</v>
      </c>
      <c r="G63" s="82">
        <f>[25]GtS!$D$34</f>
        <v>0</v>
      </c>
      <c r="H63" s="82">
        <f>[30]GtS!$D$34</f>
        <v>0</v>
      </c>
      <c r="I63" s="82">
        <f>[70]GtS!$D$34</f>
        <v>0</v>
      </c>
      <c r="J63" s="82">
        <f>[35]GtS!$D$34</f>
        <v>0</v>
      </c>
      <c r="K63" s="82">
        <f>[75]GtS!$D$34</f>
        <v>0</v>
      </c>
      <c r="L63" s="82">
        <f>[40]GtS!$D$34</f>
        <v>0</v>
      </c>
      <c r="M63" s="82">
        <f>[45]GtS!$D$34</f>
        <v>0</v>
      </c>
      <c r="N63" s="82">
        <f>[50]GtS!$D$34</f>
        <v>0</v>
      </c>
      <c r="O63" s="82">
        <f>[55]GtS!$D$34</f>
        <v>0</v>
      </c>
      <c r="P63" s="82">
        <f>[80]GtS!$D$34</f>
        <v>0</v>
      </c>
      <c r="Q63" s="82">
        <f>[60]GtS!$D$34</f>
        <v>0</v>
      </c>
      <c r="R63" s="82">
        <f>[65]GtS!$D$34</f>
        <v>0</v>
      </c>
      <c r="S63" s="83">
        <f t="shared" si="4"/>
        <v>0</v>
      </c>
    </row>
    <row r="64" spans="1:19" ht="8.65" customHeight="1">
      <c r="A64" s="410"/>
      <c r="B64" s="72" t="s">
        <v>117</v>
      </c>
      <c r="C64" s="73">
        <f>[5]GtS!$D$78</f>
        <v>3373</v>
      </c>
      <c r="D64" s="73">
        <f>[10]GtS!$D$78</f>
        <v>3383</v>
      </c>
      <c r="E64" s="73">
        <f>[15]GtS!$D$78</f>
        <v>1740</v>
      </c>
      <c r="F64" s="73">
        <f>[20]GtS!$D$78</f>
        <v>1056</v>
      </c>
      <c r="G64" s="73">
        <f>[25]GtS!$D$78</f>
        <v>234</v>
      </c>
      <c r="H64" s="73">
        <f>[30]GtS!$D$78</f>
        <v>213</v>
      </c>
      <c r="I64" s="73">
        <f>[70]GtS!$D$78</f>
        <v>0</v>
      </c>
      <c r="J64" s="73">
        <f>[35]GtS!$D$78</f>
        <v>160</v>
      </c>
      <c r="K64" s="73">
        <f>[75]GtS!$D$78</f>
        <v>0</v>
      </c>
      <c r="L64" s="73">
        <f>[40]GtS!$D$78</f>
        <v>5075</v>
      </c>
      <c r="M64" s="73">
        <f>[45]GtS!$D$78</f>
        <v>831</v>
      </c>
      <c r="N64" s="73">
        <f>[50]GtS!$D$78</f>
        <v>199</v>
      </c>
      <c r="O64" s="73">
        <f>[55]GtS!$D$78</f>
        <v>1471</v>
      </c>
      <c r="P64" s="73">
        <f>[80]GtS!$D$78</f>
        <v>0</v>
      </c>
      <c r="Q64" s="73">
        <f>[60]GtS!$D$78</f>
        <v>1100</v>
      </c>
      <c r="R64" s="73">
        <f>[65]GtS!$D$78</f>
        <v>1014</v>
      </c>
      <c r="S64" s="74">
        <f t="shared" si="4"/>
        <v>19849</v>
      </c>
    </row>
    <row r="65" spans="1:19" ht="12.6" customHeight="1">
      <c r="A65" s="410"/>
      <c r="B65" s="75" t="s">
        <v>119</v>
      </c>
      <c r="C65" s="76">
        <f>[5]GtS!$D$122</f>
        <v>3373</v>
      </c>
      <c r="D65" s="76">
        <f>[10]GtS!$D$122</f>
        <v>3383</v>
      </c>
      <c r="E65" s="76">
        <f>[15]GtS!$D$122</f>
        <v>1740</v>
      </c>
      <c r="F65" s="76">
        <f>[20]GtS!$D$122</f>
        <v>1056</v>
      </c>
      <c r="G65" s="76">
        <f>[25]GtS!$D$122</f>
        <v>234</v>
      </c>
      <c r="H65" s="76">
        <f>[30]GtS!$D$122</f>
        <v>213</v>
      </c>
      <c r="I65" s="76">
        <f>[70]GtS!$D$122</f>
        <v>0</v>
      </c>
      <c r="J65" s="76">
        <f>[35]GtS!$D$122</f>
        <v>160</v>
      </c>
      <c r="K65" s="76">
        <f>[75]GtS!$D$122</f>
        <v>0</v>
      </c>
      <c r="L65" s="76">
        <f>[40]GtS!$D$122</f>
        <v>5075</v>
      </c>
      <c r="M65" s="76">
        <f>[45]GtS!$D$122</f>
        <v>831</v>
      </c>
      <c r="N65" s="76">
        <f>[50]GtS!$D$122</f>
        <v>199</v>
      </c>
      <c r="O65" s="76">
        <f>[55]GtS!$D$122</f>
        <v>1471</v>
      </c>
      <c r="P65" s="76">
        <f>[80]GtS!$D$122</f>
        <v>0</v>
      </c>
      <c r="Q65" s="76">
        <f>[60]GtS!$D$122</f>
        <v>1100</v>
      </c>
      <c r="R65" s="76">
        <f>[65]GtS!$D$122</f>
        <v>1014</v>
      </c>
      <c r="S65" s="77">
        <f t="shared" si="4"/>
        <v>19849</v>
      </c>
    </row>
    <row r="66" spans="1:19" ht="10.15" customHeight="1">
      <c r="A66" s="226" t="s">
        <v>129</v>
      </c>
      <c r="B66" s="81" t="s">
        <v>118</v>
      </c>
      <c r="C66" s="100">
        <f>[5]GtS!$D$36</f>
        <v>15974</v>
      </c>
      <c r="D66" s="82">
        <f>[10]GtS!$D$36</f>
        <v>10121</v>
      </c>
      <c r="E66" s="82">
        <f>[15]GtS!$D$36</f>
        <v>3222</v>
      </c>
      <c r="F66" s="82">
        <f>[20]GtS!$D$36</f>
        <v>3525</v>
      </c>
      <c r="G66" s="82">
        <f>[25]GtS!$D$36</f>
        <v>0</v>
      </c>
      <c r="H66" s="82">
        <f>[30]GtS!$D$36</f>
        <v>3574</v>
      </c>
      <c r="I66" s="82">
        <f>[70]GtS!$D$36</f>
        <v>10623</v>
      </c>
      <c r="J66" s="82">
        <f>[35]GtS!$D$36</f>
        <v>1866</v>
      </c>
      <c r="K66" s="82">
        <f>[75]GtS!$D$36</f>
        <v>9977</v>
      </c>
      <c r="L66" s="82">
        <f>[40]GtS!$D$36</f>
        <v>35742</v>
      </c>
      <c r="M66" s="82">
        <f>[45]GtS!$D$36</f>
        <v>9534</v>
      </c>
      <c r="N66" s="82">
        <f>[50]GtS!$D$36</f>
        <v>986</v>
      </c>
      <c r="O66" s="82">
        <f>[55]GtS!$D$36</f>
        <v>17399</v>
      </c>
      <c r="P66" s="82">
        <f>[80]GtS!$D$36</f>
        <v>6440</v>
      </c>
      <c r="Q66" s="82">
        <f>[60]GtS!$D$36</f>
        <v>1274</v>
      </c>
      <c r="R66" s="82">
        <f>[65]GtS!$D$36</f>
        <v>4533</v>
      </c>
      <c r="S66" s="83">
        <f t="shared" si="4"/>
        <v>134790</v>
      </c>
    </row>
    <row r="67" spans="1:19" ht="10.15" customHeight="1">
      <c r="A67" s="226"/>
      <c r="B67" s="72" t="s">
        <v>117</v>
      </c>
      <c r="C67" s="104">
        <f>[5]GtS!$D$80</f>
        <v>11712</v>
      </c>
      <c r="D67" s="73">
        <f>[10]GtS!$D$80</f>
        <v>12288</v>
      </c>
      <c r="E67" s="73">
        <f>[15]GtS!$D$80</f>
        <v>227</v>
      </c>
      <c r="F67" s="73">
        <f>[20]GtS!$D$80</f>
        <v>1124</v>
      </c>
      <c r="G67" s="73">
        <f>[25]GtS!$D$80</f>
        <v>0</v>
      </c>
      <c r="H67" s="73">
        <f>[30]GtS!$D$80</f>
        <v>484</v>
      </c>
      <c r="I67" s="73">
        <f>[70]GtS!$D$80</f>
        <v>0</v>
      </c>
      <c r="J67" s="73">
        <f>[35]GtS!$D$80</f>
        <v>258</v>
      </c>
      <c r="K67" s="73">
        <f>[75]GtS!$D$80</f>
        <v>0</v>
      </c>
      <c r="L67" s="73">
        <f>[40]GtS!$D$80</f>
        <v>7316</v>
      </c>
      <c r="M67" s="73">
        <f>[45]GtS!$D$80</f>
        <v>2451</v>
      </c>
      <c r="N67" s="73">
        <f>[50]GtS!$D$80</f>
        <v>186</v>
      </c>
      <c r="O67" s="73">
        <f>[55]GtS!$D$80</f>
        <v>432</v>
      </c>
      <c r="P67" s="73">
        <f>[80]GtS!$D$80</f>
        <v>0</v>
      </c>
      <c r="Q67" s="73">
        <f>[60]GtS!$D$80</f>
        <v>93</v>
      </c>
      <c r="R67" s="73">
        <f>[65]GtS!$D$80</f>
        <v>2221</v>
      </c>
      <c r="S67" s="74">
        <f t="shared" si="4"/>
        <v>38792</v>
      </c>
    </row>
    <row r="68" spans="1:19" ht="10.15" customHeight="1" thickBot="1">
      <c r="A68" s="223"/>
      <c r="B68" s="84" t="s">
        <v>119</v>
      </c>
      <c r="C68" s="103">
        <f>[5]GtS!$D$124</f>
        <v>27686</v>
      </c>
      <c r="D68" s="85">
        <f>[10]GtS!$D$124</f>
        <v>22409</v>
      </c>
      <c r="E68" s="85">
        <f>[15]GtS!$D$124</f>
        <v>3449</v>
      </c>
      <c r="F68" s="85">
        <f>[20]GtS!$D$124</f>
        <v>4649</v>
      </c>
      <c r="G68" s="85">
        <f>[25]GtS!$D$124</f>
        <v>0</v>
      </c>
      <c r="H68" s="85">
        <f>[30]GtS!$D$124</f>
        <v>4058</v>
      </c>
      <c r="I68" s="85">
        <f>[70]GtS!$D$124</f>
        <v>10623</v>
      </c>
      <c r="J68" s="85">
        <f>[35]GtS!$D$124</f>
        <v>2124</v>
      </c>
      <c r="K68" s="85">
        <f>[75]GtS!$D$124</f>
        <v>9977</v>
      </c>
      <c r="L68" s="85">
        <f>[40]GtS!$D$124</f>
        <v>43058</v>
      </c>
      <c r="M68" s="85">
        <f>[45]GtS!$D$124</f>
        <v>11985</v>
      </c>
      <c r="N68" s="85">
        <f>[50]GtS!$D$124</f>
        <v>1172</v>
      </c>
      <c r="O68" s="85">
        <f>[55]GtS!$D$124</f>
        <v>17831</v>
      </c>
      <c r="P68" s="85">
        <f>[80]GtS!$D$124</f>
        <v>6440</v>
      </c>
      <c r="Q68" s="85">
        <f>[60]GtS!$D$124</f>
        <v>1367</v>
      </c>
      <c r="R68" s="85">
        <f>[65]GtS!$D$124</f>
        <v>6754</v>
      </c>
      <c r="S68" s="86">
        <f t="shared" si="4"/>
        <v>173582</v>
      </c>
    </row>
    <row r="69" spans="1:19" ht="13.5" thickTop="1"/>
    <row r="70" spans="1:19" ht="13.5" thickBot="1"/>
    <row r="71" spans="1:19" ht="14.25" thickTop="1" thickBot="1">
      <c r="A71" s="67"/>
      <c r="B71" s="68"/>
      <c r="C71" s="64" t="s">
        <v>80</v>
      </c>
      <c r="D71" s="64" t="s">
        <v>81</v>
      </c>
      <c r="E71" s="64" t="s">
        <v>82</v>
      </c>
      <c r="F71" s="64" t="s">
        <v>83</v>
      </c>
      <c r="G71" s="64" t="s">
        <v>84</v>
      </c>
      <c r="H71" s="64" t="s">
        <v>120</v>
      </c>
      <c r="I71" s="64" t="s">
        <v>86</v>
      </c>
      <c r="J71" s="64" t="s">
        <v>121</v>
      </c>
      <c r="K71" s="64" t="s">
        <v>88</v>
      </c>
      <c r="L71" s="64" t="s">
        <v>89</v>
      </c>
      <c r="M71" s="64" t="s">
        <v>90</v>
      </c>
      <c r="N71" s="64" t="s">
        <v>122</v>
      </c>
      <c r="O71" s="64" t="s">
        <v>92</v>
      </c>
      <c r="P71" s="64" t="s">
        <v>93</v>
      </c>
      <c r="Q71" s="64" t="s">
        <v>94</v>
      </c>
      <c r="R71" s="64" t="s">
        <v>95</v>
      </c>
      <c r="S71" s="65" t="s">
        <v>96</v>
      </c>
    </row>
    <row r="72" spans="1:19" ht="13.5" thickTop="1">
      <c r="A72" s="417" t="s">
        <v>79</v>
      </c>
      <c r="B72" s="69" t="s">
        <v>118</v>
      </c>
      <c r="C72" s="88" t="str">
        <f t="shared" ref="C72:C99" si="5">IF(C5-C39=0,"OK",C5-C39)</f>
        <v>OK</v>
      </c>
      <c r="D72" s="88" t="str">
        <f t="shared" ref="D72:S72" si="6">IF(D5-D39=0,"OK",D5-D39)</f>
        <v>OK</v>
      </c>
      <c r="E72" s="88" t="str">
        <f t="shared" si="6"/>
        <v>OK</v>
      </c>
      <c r="F72" s="88" t="str">
        <f t="shared" si="6"/>
        <v>OK</v>
      </c>
      <c r="G72" s="88" t="str">
        <f t="shared" si="6"/>
        <v>OK</v>
      </c>
      <c r="H72" s="88" t="str">
        <f t="shared" si="6"/>
        <v>OK</v>
      </c>
      <c r="I72" s="88" t="str">
        <f t="shared" si="6"/>
        <v>OK</v>
      </c>
      <c r="J72" s="88" t="str">
        <f t="shared" si="6"/>
        <v>OK</v>
      </c>
      <c r="K72" s="88" t="str">
        <f t="shared" si="6"/>
        <v>OK</v>
      </c>
      <c r="L72" s="88" t="str">
        <f t="shared" si="6"/>
        <v>OK</v>
      </c>
      <c r="M72" s="88" t="str">
        <f t="shared" si="6"/>
        <v>OK</v>
      </c>
      <c r="N72" s="88" t="str">
        <f t="shared" si="6"/>
        <v>OK</v>
      </c>
      <c r="O72" s="88" t="str">
        <f t="shared" si="6"/>
        <v>OK</v>
      </c>
      <c r="P72" s="88" t="str">
        <f t="shared" si="6"/>
        <v>OK</v>
      </c>
      <c r="Q72" s="88" t="str">
        <f t="shared" si="6"/>
        <v>OK</v>
      </c>
      <c r="R72" s="88" t="str">
        <f t="shared" si="6"/>
        <v>OK</v>
      </c>
      <c r="S72" s="89" t="str">
        <f t="shared" si="6"/>
        <v>OK</v>
      </c>
    </row>
    <row r="73" spans="1:19">
      <c r="A73" s="418"/>
      <c r="B73" s="72" t="s">
        <v>117</v>
      </c>
      <c r="C73" s="90" t="str">
        <f t="shared" si="5"/>
        <v>OK</v>
      </c>
      <c r="D73" s="90" t="str">
        <f t="shared" ref="D73:S73" si="7">IF(D6-D40=0,"OK",D6-D40)</f>
        <v>OK</v>
      </c>
      <c r="E73" s="90" t="str">
        <f t="shared" si="7"/>
        <v>OK</v>
      </c>
      <c r="F73" s="90" t="str">
        <f t="shared" si="7"/>
        <v>OK</v>
      </c>
      <c r="G73" s="90" t="str">
        <f t="shared" si="7"/>
        <v>OK</v>
      </c>
      <c r="H73" s="90" t="str">
        <f t="shared" si="7"/>
        <v>OK</v>
      </c>
      <c r="I73" s="90" t="str">
        <f t="shared" si="7"/>
        <v>OK</v>
      </c>
      <c r="J73" s="90" t="str">
        <f t="shared" si="7"/>
        <v>OK</v>
      </c>
      <c r="K73" s="90" t="str">
        <f t="shared" si="7"/>
        <v>OK</v>
      </c>
      <c r="L73" s="90" t="str">
        <f t="shared" si="7"/>
        <v>OK</v>
      </c>
      <c r="M73" s="90" t="str">
        <f t="shared" si="7"/>
        <v>OK</v>
      </c>
      <c r="N73" s="90" t="str">
        <f t="shared" si="7"/>
        <v>OK</v>
      </c>
      <c r="O73" s="90" t="str">
        <f t="shared" si="7"/>
        <v>OK</v>
      </c>
      <c r="P73" s="90" t="str">
        <f t="shared" si="7"/>
        <v>OK</v>
      </c>
      <c r="Q73" s="90" t="str">
        <f t="shared" si="7"/>
        <v>OK</v>
      </c>
      <c r="R73" s="90" t="str">
        <f t="shared" si="7"/>
        <v>OK</v>
      </c>
      <c r="S73" s="91" t="str">
        <f t="shared" si="7"/>
        <v>OK</v>
      </c>
    </row>
    <row r="74" spans="1:19">
      <c r="A74" s="419"/>
      <c r="B74" s="78" t="s">
        <v>119</v>
      </c>
      <c r="C74" s="92" t="str">
        <f t="shared" si="5"/>
        <v>OK</v>
      </c>
      <c r="D74" s="92" t="str">
        <f t="shared" ref="D74:S74" si="8">IF(D7-D41=0,"OK",D7-D41)</f>
        <v>OK</v>
      </c>
      <c r="E74" s="92" t="str">
        <f t="shared" si="8"/>
        <v>OK</v>
      </c>
      <c r="F74" s="92" t="str">
        <f t="shared" si="8"/>
        <v>OK</v>
      </c>
      <c r="G74" s="92" t="str">
        <f t="shared" si="8"/>
        <v>OK</v>
      </c>
      <c r="H74" s="92" t="str">
        <f t="shared" si="8"/>
        <v>OK</v>
      </c>
      <c r="I74" s="92" t="str">
        <f t="shared" si="8"/>
        <v>OK</v>
      </c>
      <c r="J74" s="92" t="str">
        <f t="shared" si="8"/>
        <v>OK</v>
      </c>
      <c r="K74" s="92" t="str">
        <f t="shared" si="8"/>
        <v>OK</v>
      </c>
      <c r="L74" s="92" t="str">
        <f t="shared" si="8"/>
        <v>OK</v>
      </c>
      <c r="M74" s="92" t="str">
        <f t="shared" si="8"/>
        <v>OK</v>
      </c>
      <c r="N74" s="92" t="str">
        <f t="shared" si="8"/>
        <v>OK</v>
      </c>
      <c r="O74" s="92" t="str">
        <f t="shared" si="8"/>
        <v>OK</v>
      </c>
      <c r="P74" s="92" t="str">
        <f t="shared" si="8"/>
        <v>OK</v>
      </c>
      <c r="Q74" s="92" t="str">
        <f t="shared" si="8"/>
        <v>OK</v>
      </c>
      <c r="R74" s="92" t="str">
        <f t="shared" si="8"/>
        <v>OK</v>
      </c>
      <c r="S74" s="93" t="str">
        <f t="shared" si="8"/>
        <v>OK</v>
      </c>
    </row>
    <row r="75" spans="1:19">
      <c r="A75" s="410" t="s">
        <v>124</v>
      </c>
      <c r="B75" s="81" t="s">
        <v>118</v>
      </c>
      <c r="C75" s="94" t="str">
        <f t="shared" si="5"/>
        <v>OK</v>
      </c>
      <c r="D75" s="94" t="str">
        <f t="shared" ref="D75:S75" si="9">IF(D8-D42=0,"OK",D8-D42)</f>
        <v>OK</v>
      </c>
      <c r="E75" s="94" t="str">
        <f t="shared" si="9"/>
        <v>OK</v>
      </c>
      <c r="F75" s="94" t="str">
        <f t="shared" si="9"/>
        <v>OK</v>
      </c>
      <c r="G75" s="94" t="str">
        <f t="shared" si="9"/>
        <v>OK</v>
      </c>
      <c r="H75" s="94" t="str">
        <f t="shared" si="9"/>
        <v>OK</v>
      </c>
      <c r="I75" s="94" t="str">
        <f t="shared" si="9"/>
        <v>OK</v>
      </c>
      <c r="J75" s="94" t="str">
        <f t="shared" si="9"/>
        <v>OK</v>
      </c>
      <c r="K75" s="94" t="str">
        <f t="shared" si="9"/>
        <v>OK</v>
      </c>
      <c r="L75" s="94" t="str">
        <f t="shared" si="9"/>
        <v>OK</v>
      </c>
      <c r="M75" s="94" t="str">
        <f t="shared" si="9"/>
        <v>OK</v>
      </c>
      <c r="N75" s="94" t="str">
        <f t="shared" si="9"/>
        <v>OK</v>
      </c>
      <c r="O75" s="94" t="str">
        <f t="shared" si="9"/>
        <v>OK</v>
      </c>
      <c r="P75" s="94" t="str">
        <f t="shared" si="9"/>
        <v>OK</v>
      </c>
      <c r="Q75" s="94" t="str">
        <f t="shared" si="9"/>
        <v>OK</v>
      </c>
      <c r="R75" s="94" t="str">
        <f t="shared" si="9"/>
        <v>OK</v>
      </c>
      <c r="S75" s="95" t="str">
        <f t="shared" si="9"/>
        <v>OK</v>
      </c>
    </row>
    <row r="76" spans="1:19">
      <c r="A76" s="410"/>
      <c r="B76" s="72" t="s">
        <v>117</v>
      </c>
      <c r="C76" s="90" t="str">
        <f t="shared" si="5"/>
        <v>OK</v>
      </c>
      <c r="D76" s="90" t="str">
        <f t="shared" ref="D76:S76" si="10">IF(D9-D43=0,"OK",D9-D43)</f>
        <v>OK</v>
      </c>
      <c r="E76" s="90" t="str">
        <f t="shared" si="10"/>
        <v>OK</v>
      </c>
      <c r="F76" s="90" t="str">
        <f t="shared" si="10"/>
        <v>OK</v>
      </c>
      <c r="G76" s="90" t="str">
        <f t="shared" si="10"/>
        <v>OK</v>
      </c>
      <c r="H76" s="90" t="str">
        <f t="shared" si="10"/>
        <v>OK</v>
      </c>
      <c r="I76" s="90" t="str">
        <f t="shared" si="10"/>
        <v>OK</v>
      </c>
      <c r="J76" s="90" t="str">
        <f t="shared" si="10"/>
        <v>OK</v>
      </c>
      <c r="K76" s="90" t="str">
        <f t="shared" si="10"/>
        <v>OK</v>
      </c>
      <c r="L76" s="90" t="str">
        <f t="shared" si="10"/>
        <v>OK</v>
      </c>
      <c r="M76" s="90" t="str">
        <f t="shared" si="10"/>
        <v>OK</v>
      </c>
      <c r="N76" s="90" t="str">
        <f t="shared" si="10"/>
        <v>OK</v>
      </c>
      <c r="O76" s="90" t="str">
        <f t="shared" si="10"/>
        <v>OK</v>
      </c>
      <c r="P76" s="90" t="str">
        <f t="shared" si="10"/>
        <v>OK</v>
      </c>
      <c r="Q76" s="90" t="str">
        <f t="shared" si="10"/>
        <v>OK</v>
      </c>
      <c r="R76" s="90" t="str">
        <f t="shared" si="10"/>
        <v>OK</v>
      </c>
      <c r="S76" s="91" t="str">
        <f t="shared" si="10"/>
        <v>OK</v>
      </c>
    </row>
    <row r="77" spans="1:19">
      <c r="A77" s="410"/>
      <c r="B77" s="75" t="s">
        <v>119</v>
      </c>
      <c r="C77" s="96" t="str">
        <f t="shared" si="5"/>
        <v>OK</v>
      </c>
      <c r="D77" s="96" t="str">
        <f t="shared" ref="D77:S77" si="11">IF(D10-D44=0,"OK",D10-D44)</f>
        <v>OK</v>
      </c>
      <c r="E77" s="96" t="str">
        <f t="shared" si="11"/>
        <v>OK</v>
      </c>
      <c r="F77" s="96" t="str">
        <f t="shared" si="11"/>
        <v>OK</v>
      </c>
      <c r="G77" s="96" t="str">
        <f t="shared" si="11"/>
        <v>OK</v>
      </c>
      <c r="H77" s="96" t="str">
        <f t="shared" si="11"/>
        <v>OK</v>
      </c>
      <c r="I77" s="96" t="str">
        <f t="shared" si="11"/>
        <v>OK</v>
      </c>
      <c r="J77" s="96" t="str">
        <f t="shared" si="11"/>
        <v>OK</v>
      </c>
      <c r="K77" s="96" t="str">
        <f t="shared" si="11"/>
        <v>OK</v>
      </c>
      <c r="L77" s="96" t="str">
        <f t="shared" si="11"/>
        <v>OK</v>
      </c>
      <c r="M77" s="96" t="str">
        <f t="shared" si="11"/>
        <v>OK</v>
      </c>
      <c r="N77" s="96" t="str">
        <f t="shared" si="11"/>
        <v>OK</v>
      </c>
      <c r="O77" s="96" t="str">
        <f t="shared" si="11"/>
        <v>OK</v>
      </c>
      <c r="P77" s="96" t="str">
        <f t="shared" si="11"/>
        <v>OK</v>
      </c>
      <c r="Q77" s="96" t="str">
        <f t="shared" si="11"/>
        <v>OK</v>
      </c>
      <c r="R77" s="96" t="str">
        <f t="shared" si="11"/>
        <v>OK</v>
      </c>
      <c r="S77" s="97" t="str">
        <f t="shared" si="11"/>
        <v>OK</v>
      </c>
    </row>
    <row r="78" spans="1:19">
      <c r="A78" s="410" t="s">
        <v>9</v>
      </c>
      <c r="B78" s="81" t="s">
        <v>118</v>
      </c>
      <c r="C78" s="94" t="str">
        <f t="shared" si="5"/>
        <v>OK</v>
      </c>
      <c r="D78" s="94" t="str">
        <f t="shared" ref="D78:S78" si="12">IF(D11-D45=0,"OK",D11-D45)</f>
        <v>OK</v>
      </c>
      <c r="E78" s="94" t="str">
        <f t="shared" si="12"/>
        <v>OK</v>
      </c>
      <c r="F78" s="94" t="str">
        <f t="shared" si="12"/>
        <v>OK</v>
      </c>
      <c r="G78" s="94" t="str">
        <f t="shared" si="12"/>
        <v>OK</v>
      </c>
      <c r="H78" s="94" t="str">
        <f t="shared" si="12"/>
        <v>OK</v>
      </c>
      <c r="I78" s="94" t="str">
        <f t="shared" si="12"/>
        <v>OK</v>
      </c>
      <c r="J78" s="94" t="str">
        <f t="shared" si="12"/>
        <v>OK</v>
      </c>
      <c r="K78" s="94" t="str">
        <f t="shared" si="12"/>
        <v>OK</v>
      </c>
      <c r="L78" s="94" t="str">
        <f t="shared" si="12"/>
        <v>OK</v>
      </c>
      <c r="M78" s="94" t="str">
        <f t="shared" si="12"/>
        <v>OK</v>
      </c>
      <c r="N78" s="94" t="str">
        <f t="shared" si="12"/>
        <v>OK</v>
      </c>
      <c r="O78" s="94" t="str">
        <f t="shared" si="12"/>
        <v>OK</v>
      </c>
      <c r="P78" s="94" t="str">
        <f t="shared" si="12"/>
        <v>OK</v>
      </c>
      <c r="Q78" s="94" t="str">
        <f t="shared" si="12"/>
        <v>OK</v>
      </c>
      <c r="R78" s="94" t="str">
        <f t="shared" si="12"/>
        <v>OK</v>
      </c>
      <c r="S78" s="95" t="str">
        <f t="shared" si="12"/>
        <v>OK</v>
      </c>
    </row>
    <row r="79" spans="1:19">
      <c r="A79" s="410"/>
      <c r="B79" s="72" t="s">
        <v>117</v>
      </c>
      <c r="C79" s="90" t="str">
        <f t="shared" si="5"/>
        <v>OK</v>
      </c>
      <c r="D79" s="90" t="str">
        <f t="shared" ref="D79:S79" si="13">IF(D12-D46=0,"OK",D12-D46)</f>
        <v>OK</v>
      </c>
      <c r="E79" s="90" t="str">
        <f t="shared" si="13"/>
        <v>OK</v>
      </c>
      <c r="F79" s="90" t="str">
        <f t="shared" si="13"/>
        <v>OK</v>
      </c>
      <c r="G79" s="90" t="str">
        <f t="shared" si="13"/>
        <v>OK</v>
      </c>
      <c r="H79" s="90" t="str">
        <f t="shared" si="13"/>
        <v>OK</v>
      </c>
      <c r="I79" s="90" t="str">
        <f t="shared" si="13"/>
        <v>OK</v>
      </c>
      <c r="J79" s="90" t="str">
        <f t="shared" si="13"/>
        <v>OK</v>
      </c>
      <c r="K79" s="90" t="str">
        <f t="shared" si="13"/>
        <v>OK</v>
      </c>
      <c r="L79" s="90" t="str">
        <f t="shared" si="13"/>
        <v>OK</v>
      </c>
      <c r="M79" s="90" t="str">
        <f t="shared" si="13"/>
        <v>OK</v>
      </c>
      <c r="N79" s="90" t="str">
        <f t="shared" si="13"/>
        <v>OK</v>
      </c>
      <c r="O79" s="90" t="str">
        <f t="shared" si="13"/>
        <v>OK</v>
      </c>
      <c r="P79" s="90" t="str">
        <f t="shared" si="13"/>
        <v>OK</v>
      </c>
      <c r="Q79" s="90" t="str">
        <f t="shared" si="13"/>
        <v>OK</v>
      </c>
      <c r="R79" s="90" t="str">
        <f t="shared" si="13"/>
        <v>OK</v>
      </c>
      <c r="S79" s="91" t="str">
        <f t="shared" si="13"/>
        <v>OK</v>
      </c>
    </row>
    <row r="80" spans="1:19">
      <c r="A80" s="410"/>
      <c r="B80" s="75" t="s">
        <v>119</v>
      </c>
      <c r="C80" s="96" t="str">
        <f t="shared" si="5"/>
        <v>OK</v>
      </c>
      <c r="D80" s="96" t="str">
        <f t="shared" ref="D80:S80" si="14">IF(D13-D47=0,"OK",D13-D47)</f>
        <v>OK</v>
      </c>
      <c r="E80" s="96" t="str">
        <f t="shared" si="14"/>
        <v>OK</v>
      </c>
      <c r="F80" s="96" t="str">
        <f t="shared" si="14"/>
        <v>OK</v>
      </c>
      <c r="G80" s="96" t="str">
        <f t="shared" si="14"/>
        <v>OK</v>
      </c>
      <c r="H80" s="96" t="str">
        <f t="shared" si="14"/>
        <v>OK</v>
      </c>
      <c r="I80" s="96" t="str">
        <f t="shared" si="14"/>
        <v>OK</v>
      </c>
      <c r="J80" s="96" t="str">
        <f t="shared" si="14"/>
        <v>OK</v>
      </c>
      <c r="K80" s="96" t="str">
        <f t="shared" si="14"/>
        <v>OK</v>
      </c>
      <c r="L80" s="96" t="str">
        <f t="shared" si="14"/>
        <v>OK</v>
      </c>
      <c r="M80" s="96" t="str">
        <f t="shared" si="14"/>
        <v>OK</v>
      </c>
      <c r="N80" s="96" t="str">
        <f t="shared" si="14"/>
        <v>OK</v>
      </c>
      <c r="O80" s="96" t="str">
        <f t="shared" si="14"/>
        <v>OK</v>
      </c>
      <c r="P80" s="96" t="str">
        <f t="shared" si="14"/>
        <v>OK</v>
      </c>
      <c r="Q80" s="96" t="str">
        <f t="shared" si="14"/>
        <v>OK</v>
      </c>
      <c r="R80" s="96" t="str">
        <f t="shared" si="14"/>
        <v>OK</v>
      </c>
      <c r="S80" s="97" t="str">
        <f t="shared" si="14"/>
        <v>OK</v>
      </c>
    </row>
    <row r="81" spans="1:19">
      <c r="A81" s="410" t="s">
        <v>125</v>
      </c>
      <c r="B81" s="81" t="s">
        <v>118</v>
      </c>
      <c r="C81" s="94" t="str">
        <f t="shared" si="5"/>
        <v>OK</v>
      </c>
      <c r="D81" s="94" t="str">
        <f t="shared" ref="D81:S81" si="15">IF(D14-D48=0,"OK",D14-D48)</f>
        <v>OK</v>
      </c>
      <c r="E81" s="94" t="str">
        <f t="shared" si="15"/>
        <v>OK</v>
      </c>
      <c r="F81" s="94" t="str">
        <f t="shared" si="15"/>
        <v>OK</v>
      </c>
      <c r="G81" s="94" t="str">
        <f t="shared" si="15"/>
        <v>OK</v>
      </c>
      <c r="H81" s="94" t="str">
        <f t="shared" si="15"/>
        <v>OK</v>
      </c>
      <c r="I81" s="94" t="str">
        <f t="shared" si="15"/>
        <v>OK</v>
      </c>
      <c r="J81" s="94" t="str">
        <f t="shared" si="15"/>
        <v>OK</v>
      </c>
      <c r="K81" s="94" t="str">
        <f t="shared" si="15"/>
        <v>OK</v>
      </c>
      <c r="L81" s="94" t="str">
        <f t="shared" si="15"/>
        <v>OK</v>
      </c>
      <c r="M81" s="94" t="str">
        <f t="shared" si="15"/>
        <v>OK</v>
      </c>
      <c r="N81" s="94" t="str">
        <f t="shared" si="15"/>
        <v>OK</v>
      </c>
      <c r="O81" s="94" t="str">
        <f t="shared" si="15"/>
        <v>OK</v>
      </c>
      <c r="P81" s="94" t="str">
        <f t="shared" si="15"/>
        <v>OK</v>
      </c>
      <c r="Q81" s="94" t="str">
        <f t="shared" si="15"/>
        <v>OK</v>
      </c>
      <c r="R81" s="94" t="str">
        <f t="shared" si="15"/>
        <v>OK</v>
      </c>
      <c r="S81" s="95" t="str">
        <f t="shared" si="15"/>
        <v>OK</v>
      </c>
    </row>
    <row r="82" spans="1:19">
      <c r="A82" s="410"/>
      <c r="B82" s="72" t="s">
        <v>117</v>
      </c>
      <c r="C82" s="90" t="str">
        <f t="shared" si="5"/>
        <v>OK</v>
      </c>
      <c r="D82" s="90" t="str">
        <f t="shared" ref="D82:S82" si="16">IF(D15-D49=0,"OK",D15-D49)</f>
        <v>OK</v>
      </c>
      <c r="E82" s="90" t="str">
        <f t="shared" si="16"/>
        <v>OK</v>
      </c>
      <c r="F82" s="90" t="str">
        <f t="shared" si="16"/>
        <v>OK</v>
      </c>
      <c r="G82" s="90" t="str">
        <f t="shared" si="16"/>
        <v>OK</v>
      </c>
      <c r="H82" s="90" t="str">
        <f t="shared" si="16"/>
        <v>OK</v>
      </c>
      <c r="I82" s="90" t="str">
        <f t="shared" si="16"/>
        <v>OK</v>
      </c>
      <c r="J82" s="90" t="str">
        <f t="shared" si="16"/>
        <v>OK</v>
      </c>
      <c r="K82" s="90" t="str">
        <f t="shared" si="16"/>
        <v>OK</v>
      </c>
      <c r="L82" s="90" t="str">
        <f t="shared" si="16"/>
        <v>OK</v>
      </c>
      <c r="M82" s="90" t="str">
        <f t="shared" si="16"/>
        <v>OK</v>
      </c>
      <c r="N82" s="90" t="str">
        <f t="shared" si="16"/>
        <v>OK</v>
      </c>
      <c r="O82" s="90" t="str">
        <f t="shared" si="16"/>
        <v>OK</v>
      </c>
      <c r="P82" s="90" t="str">
        <f t="shared" si="16"/>
        <v>OK</v>
      </c>
      <c r="Q82" s="90" t="str">
        <f t="shared" si="16"/>
        <v>OK</v>
      </c>
      <c r="R82" s="90" t="str">
        <f t="shared" si="16"/>
        <v>OK</v>
      </c>
      <c r="S82" s="91" t="str">
        <f t="shared" si="16"/>
        <v>OK</v>
      </c>
    </row>
    <row r="83" spans="1:19" ht="10.5" customHeight="1">
      <c r="A83" s="410"/>
      <c r="B83" s="75" t="s">
        <v>119</v>
      </c>
      <c r="C83" s="96" t="str">
        <f t="shared" si="5"/>
        <v>OK</v>
      </c>
      <c r="D83" s="96" t="str">
        <f t="shared" ref="D83:S83" si="17">IF(D16-D50=0,"OK",D16-D50)</f>
        <v>OK</v>
      </c>
      <c r="E83" s="96" t="str">
        <f t="shared" si="17"/>
        <v>OK</v>
      </c>
      <c r="F83" s="96" t="str">
        <f t="shared" si="17"/>
        <v>OK</v>
      </c>
      <c r="G83" s="96" t="str">
        <f t="shared" si="17"/>
        <v>OK</v>
      </c>
      <c r="H83" s="96" t="str">
        <f t="shared" si="17"/>
        <v>OK</v>
      </c>
      <c r="I83" s="96" t="str">
        <f t="shared" si="17"/>
        <v>OK</v>
      </c>
      <c r="J83" s="96" t="str">
        <f t="shared" si="17"/>
        <v>OK</v>
      </c>
      <c r="K83" s="96" t="str">
        <f t="shared" si="17"/>
        <v>OK</v>
      </c>
      <c r="L83" s="96" t="str">
        <f t="shared" si="17"/>
        <v>OK</v>
      </c>
      <c r="M83" s="96" t="str">
        <f t="shared" si="17"/>
        <v>OK</v>
      </c>
      <c r="N83" s="96" t="str">
        <f t="shared" si="17"/>
        <v>OK</v>
      </c>
      <c r="O83" s="96" t="str">
        <f t="shared" si="17"/>
        <v>OK</v>
      </c>
      <c r="P83" s="96" t="str">
        <f t="shared" si="17"/>
        <v>OK</v>
      </c>
      <c r="Q83" s="96" t="str">
        <f t="shared" si="17"/>
        <v>OK</v>
      </c>
      <c r="R83" s="96" t="str">
        <f t="shared" si="17"/>
        <v>OK</v>
      </c>
      <c r="S83" s="97" t="str">
        <f t="shared" si="17"/>
        <v>OK</v>
      </c>
    </row>
    <row r="84" spans="1:19" ht="10.15" customHeight="1">
      <c r="A84" s="422" t="s">
        <v>126</v>
      </c>
      <c r="B84" s="81" t="s">
        <v>118</v>
      </c>
      <c r="C84" s="94" t="str">
        <f t="shared" si="5"/>
        <v>OK</v>
      </c>
      <c r="D84" s="94" t="str">
        <f t="shared" ref="D84:S84" si="18">IF(D17-D51=0,"OK",D17-D51)</f>
        <v>OK</v>
      </c>
      <c r="E84" s="94" t="str">
        <f t="shared" si="18"/>
        <v>OK</v>
      </c>
      <c r="F84" s="94" t="str">
        <f t="shared" si="18"/>
        <v>OK</v>
      </c>
      <c r="G84" s="94" t="str">
        <f t="shared" si="18"/>
        <v>OK</v>
      </c>
      <c r="H84" s="94" t="str">
        <f t="shared" si="18"/>
        <v>OK</v>
      </c>
      <c r="I84" s="94" t="str">
        <f t="shared" si="18"/>
        <v>OK</v>
      </c>
      <c r="J84" s="94" t="str">
        <f t="shared" si="18"/>
        <v>OK</v>
      </c>
      <c r="K84" s="94" t="str">
        <f t="shared" si="18"/>
        <v>OK</v>
      </c>
      <c r="L84" s="94" t="str">
        <f t="shared" si="18"/>
        <v>OK</v>
      </c>
      <c r="M84" s="94" t="str">
        <f t="shared" si="18"/>
        <v>OK</v>
      </c>
      <c r="N84" s="94" t="str">
        <f t="shared" si="18"/>
        <v>OK</v>
      </c>
      <c r="O84" s="94" t="str">
        <f t="shared" si="18"/>
        <v>OK</v>
      </c>
      <c r="P84" s="94" t="str">
        <f t="shared" si="18"/>
        <v>OK</v>
      </c>
      <c r="Q84" s="94" t="str">
        <f t="shared" si="18"/>
        <v>OK</v>
      </c>
      <c r="R84" s="94" t="str">
        <f t="shared" si="18"/>
        <v>OK</v>
      </c>
      <c r="S84" s="95" t="str">
        <f t="shared" si="18"/>
        <v>OK</v>
      </c>
    </row>
    <row r="85" spans="1:19">
      <c r="A85" s="410"/>
      <c r="B85" s="72" t="s">
        <v>117</v>
      </c>
      <c r="C85" s="90" t="str">
        <f t="shared" si="5"/>
        <v>OK</v>
      </c>
      <c r="D85" s="90" t="str">
        <f t="shared" ref="D85:S85" si="19">IF(D18-D52=0,"OK",D18-D52)</f>
        <v>OK</v>
      </c>
      <c r="E85" s="90" t="str">
        <f t="shared" si="19"/>
        <v>OK</v>
      </c>
      <c r="F85" s="90" t="str">
        <f t="shared" si="19"/>
        <v>OK</v>
      </c>
      <c r="G85" s="90" t="str">
        <f t="shared" si="19"/>
        <v>OK</v>
      </c>
      <c r="H85" s="90" t="str">
        <f t="shared" si="19"/>
        <v>OK</v>
      </c>
      <c r="I85" s="90" t="str">
        <f t="shared" si="19"/>
        <v>OK</v>
      </c>
      <c r="J85" s="90" t="str">
        <f t="shared" si="19"/>
        <v>OK</v>
      </c>
      <c r="K85" s="90" t="str">
        <f t="shared" si="19"/>
        <v>OK</v>
      </c>
      <c r="L85" s="90" t="str">
        <f t="shared" si="19"/>
        <v>OK</v>
      </c>
      <c r="M85" s="90" t="str">
        <f t="shared" si="19"/>
        <v>OK</v>
      </c>
      <c r="N85" s="90" t="str">
        <f t="shared" si="19"/>
        <v>OK</v>
      </c>
      <c r="O85" s="90" t="str">
        <f t="shared" si="19"/>
        <v>OK</v>
      </c>
      <c r="P85" s="90" t="str">
        <f t="shared" si="19"/>
        <v>OK</v>
      </c>
      <c r="Q85" s="90" t="str">
        <f t="shared" si="19"/>
        <v>OK</v>
      </c>
      <c r="R85" s="108" t="str">
        <f t="shared" si="19"/>
        <v>OK</v>
      </c>
      <c r="S85" s="91" t="str">
        <f t="shared" si="19"/>
        <v>OK</v>
      </c>
    </row>
    <row r="86" spans="1:19">
      <c r="A86" s="410"/>
      <c r="B86" s="75" t="s">
        <v>119</v>
      </c>
      <c r="C86" s="96" t="str">
        <f t="shared" si="5"/>
        <v>OK</v>
      </c>
      <c r="D86" s="96" t="str">
        <f t="shared" ref="D86:S86" si="20">IF(D19-D53=0,"OK",D19-D53)</f>
        <v>OK</v>
      </c>
      <c r="E86" s="96" t="str">
        <f t="shared" si="20"/>
        <v>OK</v>
      </c>
      <c r="F86" s="96" t="str">
        <f t="shared" si="20"/>
        <v>OK</v>
      </c>
      <c r="G86" s="96" t="str">
        <f t="shared" si="20"/>
        <v>OK</v>
      </c>
      <c r="H86" s="96" t="str">
        <f t="shared" si="20"/>
        <v>OK</v>
      </c>
      <c r="I86" s="96" t="str">
        <f t="shared" si="20"/>
        <v>OK</v>
      </c>
      <c r="J86" s="96" t="str">
        <f t="shared" si="20"/>
        <v>OK</v>
      </c>
      <c r="K86" s="96" t="str">
        <f t="shared" si="20"/>
        <v>OK</v>
      </c>
      <c r="L86" s="96" t="str">
        <f t="shared" si="20"/>
        <v>OK</v>
      </c>
      <c r="M86" s="96" t="str">
        <f t="shared" si="20"/>
        <v>OK</v>
      </c>
      <c r="N86" s="96" t="str">
        <f t="shared" si="20"/>
        <v>OK</v>
      </c>
      <c r="O86" s="96" t="str">
        <f t="shared" si="20"/>
        <v>OK</v>
      </c>
      <c r="P86" s="96" t="str">
        <f t="shared" si="20"/>
        <v>OK</v>
      </c>
      <c r="Q86" s="110" t="str">
        <f t="shared" si="20"/>
        <v>OK</v>
      </c>
      <c r="R86" s="96" t="str">
        <f t="shared" si="20"/>
        <v>OK</v>
      </c>
      <c r="S86" s="97" t="str">
        <f t="shared" si="20"/>
        <v>OK</v>
      </c>
    </row>
    <row r="87" spans="1:19">
      <c r="A87" s="410" t="s">
        <v>15</v>
      </c>
      <c r="B87" s="81" t="s">
        <v>118</v>
      </c>
      <c r="C87" s="94" t="str">
        <f t="shared" si="5"/>
        <v>OK</v>
      </c>
      <c r="D87" s="94" t="str">
        <f t="shared" ref="D87:S87" si="21">IF(D20-D54=0,"OK",D20-D54)</f>
        <v>OK</v>
      </c>
      <c r="E87" s="94" t="str">
        <f t="shared" si="21"/>
        <v>OK</v>
      </c>
      <c r="F87" s="94" t="str">
        <f t="shared" si="21"/>
        <v>OK</v>
      </c>
      <c r="G87" s="94" t="str">
        <f t="shared" si="21"/>
        <v>OK</v>
      </c>
      <c r="H87" s="94" t="str">
        <f t="shared" si="21"/>
        <v>OK</v>
      </c>
      <c r="I87" s="94" t="str">
        <f t="shared" si="21"/>
        <v>OK</v>
      </c>
      <c r="J87" s="94" t="str">
        <f t="shared" si="21"/>
        <v>OK</v>
      </c>
      <c r="K87" s="94" t="str">
        <f t="shared" si="21"/>
        <v>OK</v>
      </c>
      <c r="L87" s="94" t="str">
        <f t="shared" si="21"/>
        <v>OK</v>
      </c>
      <c r="M87" s="94" t="str">
        <f t="shared" si="21"/>
        <v>OK</v>
      </c>
      <c r="N87" s="94" t="str">
        <f t="shared" si="21"/>
        <v>OK</v>
      </c>
      <c r="O87" s="94" t="str">
        <f t="shared" si="21"/>
        <v>OK</v>
      </c>
      <c r="P87" s="94" t="str">
        <f t="shared" si="21"/>
        <v>OK</v>
      </c>
      <c r="Q87" s="94" t="str">
        <f t="shared" si="21"/>
        <v>OK</v>
      </c>
      <c r="R87" s="94" t="str">
        <f t="shared" si="21"/>
        <v>OK</v>
      </c>
      <c r="S87" s="95" t="str">
        <f t="shared" si="21"/>
        <v>OK</v>
      </c>
    </row>
    <row r="88" spans="1:19">
      <c r="A88" s="410"/>
      <c r="B88" s="72" t="s">
        <v>117</v>
      </c>
      <c r="C88" s="90" t="str">
        <f t="shared" si="5"/>
        <v>OK</v>
      </c>
      <c r="D88" s="90" t="str">
        <f t="shared" ref="D88:S88" si="22">IF(D21-D55=0,"OK",D21-D55)</f>
        <v>OK</v>
      </c>
      <c r="E88" s="90" t="str">
        <f t="shared" si="22"/>
        <v>OK</v>
      </c>
      <c r="F88" s="90" t="str">
        <f t="shared" si="22"/>
        <v>OK</v>
      </c>
      <c r="G88" s="90" t="str">
        <f t="shared" si="22"/>
        <v>OK</v>
      </c>
      <c r="H88" s="90" t="str">
        <f t="shared" si="22"/>
        <v>OK</v>
      </c>
      <c r="I88" s="90" t="str">
        <f t="shared" si="22"/>
        <v>OK</v>
      </c>
      <c r="J88" s="90" t="str">
        <f t="shared" si="22"/>
        <v>OK</v>
      </c>
      <c r="K88" s="90" t="str">
        <f t="shared" si="22"/>
        <v>OK</v>
      </c>
      <c r="L88" s="90" t="str">
        <f t="shared" si="22"/>
        <v>OK</v>
      </c>
      <c r="M88" s="90" t="str">
        <f t="shared" si="22"/>
        <v>OK</v>
      </c>
      <c r="N88" s="90" t="str">
        <f t="shared" si="22"/>
        <v>OK</v>
      </c>
      <c r="O88" s="90" t="str">
        <f t="shared" si="22"/>
        <v>OK</v>
      </c>
      <c r="P88" s="90" t="str">
        <f t="shared" si="22"/>
        <v>OK</v>
      </c>
      <c r="Q88" s="90" t="str">
        <f t="shared" si="22"/>
        <v>OK</v>
      </c>
      <c r="R88" s="90" t="str">
        <f t="shared" si="22"/>
        <v>OK</v>
      </c>
      <c r="S88" s="91" t="str">
        <f t="shared" si="22"/>
        <v>OK</v>
      </c>
    </row>
    <row r="89" spans="1:19">
      <c r="A89" s="410"/>
      <c r="B89" s="75" t="s">
        <v>119</v>
      </c>
      <c r="C89" s="96" t="str">
        <f t="shared" si="5"/>
        <v>OK</v>
      </c>
      <c r="D89" s="96" t="str">
        <f t="shared" ref="D89:S89" si="23">IF(D22-D56=0,"OK",D22-D56)</f>
        <v>OK</v>
      </c>
      <c r="E89" s="96" t="str">
        <f t="shared" si="23"/>
        <v>OK</v>
      </c>
      <c r="F89" s="96" t="str">
        <f t="shared" si="23"/>
        <v>OK</v>
      </c>
      <c r="G89" s="96" t="str">
        <f t="shared" si="23"/>
        <v>OK</v>
      </c>
      <c r="H89" s="96" t="str">
        <f t="shared" si="23"/>
        <v>OK</v>
      </c>
      <c r="I89" s="96" t="str">
        <f t="shared" si="23"/>
        <v>OK</v>
      </c>
      <c r="J89" s="96" t="str">
        <f t="shared" si="23"/>
        <v>OK</v>
      </c>
      <c r="K89" s="96" t="str">
        <f t="shared" si="23"/>
        <v>OK</v>
      </c>
      <c r="L89" s="96" t="str">
        <f t="shared" si="23"/>
        <v>OK</v>
      </c>
      <c r="M89" s="96" t="str">
        <f t="shared" si="23"/>
        <v>OK</v>
      </c>
      <c r="N89" s="96" t="str">
        <f t="shared" si="23"/>
        <v>OK</v>
      </c>
      <c r="O89" s="96" t="str">
        <f t="shared" si="23"/>
        <v>OK</v>
      </c>
      <c r="P89" s="96" t="str">
        <f t="shared" si="23"/>
        <v>OK</v>
      </c>
      <c r="Q89" s="96" t="str">
        <f t="shared" si="23"/>
        <v>OK</v>
      </c>
      <c r="R89" s="96" t="str">
        <f t="shared" si="23"/>
        <v>OK</v>
      </c>
      <c r="S89" s="97" t="str">
        <f t="shared" si="23"/>
        <v>OK</v>
      </c>
    </row>
    <row r="90" spans="1:19">
      <c r="A90" s="410" t="s">
        <v>73</v>
      </c>
      <c r="B90" s="81" t="s">
        <v>118</v>
      </c>
      <c r="C90" s="94" t="str">
        <f t="shared" si="5"/>
        <v>OK</v>
      </c>
      <c r="D90" s="94" t="str">
        <f t="shared" ref="D90:S90" si="24">IF(D23-D57=0,"OK",D23-D57)</f>
        <v>OK</v>
      </c>
      <c r="E90" s="94" t="str">
        <f t="shared" si="24"/>
        <v>OK</v>
      </c>
      <c r="F90" s="94" t="str">
        <f t="shared" si="24"/>
        <v>OK</v>
      </c>
      <c r="G90" s="94" t="str">
        <f t="shared" si="24"/>
        <v>OK</v>
      </c>
      <c r="H90" s="94" t="str">
        <f t="shared" si="24"/>
        <v>OK</v>
      </c>
      <c r="I90" s="94" t="str">
        <f t="shared" si="24"/>
        <v>OK</v>
      </c>
      <c r="J90" s="94" t="str">
        <f t="shared" si="24"/>
        <v>OK</v>
      </c>
      <c r="K90" s="94" t="str">
        <f t="shared" si="24"/>
        <v>OK</v>
      </c>
      <c r="L90" s="94" t="str">
        <f t="shared" si="24"/>
        <v>OK</v>
      </c>
      <c r="M90" s="94" t="str">
        <f t="shared" si="24"/>
        <v>OK</v>
      </c>
      <c r="N90" s="94" t="str">
        <f t="shared" si="24"/>
        <v>OK</v>
      </c>
      <c r="O90" s="94" t="str">
        <f t="shared" si="24"/>
        <v>OK</v>
      </c>
      <c r="P90" s="94" t="str">
        <f t="shared" si="24"/>
        <v>OK</v>
      </c>
      <c r="Q90" s="94" t="str">
        <f t="shared" si="24"/>
        <v>OK</v>
      </c>
      <c r="R90" s="94" t="str">
        <f t="shared" si="24"/>
        <v>OK</v>
      </c>
      <c r="S90" s="95" t="str">
        <f t="shared" si="24"/>
        <v>OK</v>
      </c>
    </row>
    <row r="91" spans="1:19">
      <c r="A91" s="410"/>
      <c r="B91" s="72" t="s">
        <v>117</v>
      </c>
      <c r="C91" s="90" t="str">
        <f t="shared" si="5"/>
        <v>OK</v>
      </c>
      <c r="D91" s="90" t="str">
        <f t="shared" ref="D91:S91" si="25">IF(D24-D58=0,"OK",D24-D58)</f>
        <v>OK</v>
      </c>
      <c r="E91" s="90" t="str">
        <f t="shared" si="25"/>
        <v>OK</v>
      </c>
      <c r="F91" s="90" t="str">
        <f t="shared" si="25"/>
        <v>OK</v>
      </c>
      <c r="G91" s="90" t="str">
        <f t="shared" si="25"/>
        <v>OK</v>
      </c>
      <c r="H91" s="90" t="str">
        <f t="shared" si="25"/>
        <v>OK</v>
      </c>
      <c r="I91" s="90" t="str">
        <f t="shared" si="25"/>
        <v>OK</v>
      </c>
      <c r="J91" s="90" t="str">
        <f t="shared" si="25"/>
        <v>OK</v>
      </c>
      <c r="K91" s="90" t="str">
        <f t="shared" si="25"/>
        <v>OK</v>
      </c>
      <c r="L91" s="90" t="str">
        <f t="shared" si="25"/>
        <v>OK</v>
      </c>
      <c r="M91" s="90" t="str">
        <f t="shared" si="25"/>
        <v>OK</v>
      </c>
      <c r="N91" s="90" t="str">
        <f t="shared" si="25"/>
        <v>OK</v>
      </c>
      <c r="O91" s="90" t="str">
        <f t="shared" si="25"/>
        <v>OK</v>
      </c>
      <c r="P91" s="90" t="str">
        <f t="shared" si="25"/>
        <v>OK</v>
      </c>
      <c r="Q91" s="90" t="str">
        <f t="shared" si="25"/>
        <v>OK</v>
      </c>
      <c r="R91" s="90" t="str">
        <f t="shared" si="25"/>
        <v>OK</v>
      </c>
      <c r="S91" s="91" t="str">
        <f t="shared" si="25"/>
        <v>OK</v>
      </c>
    </row>
    <row r="92" spans="1:19">
      <c r="A92" s="410"/>
      <c r="B92" s="75" t="s">
        <v>119</v>
      </c>
      <c r="C92" s="96" t="str">
        <f t="shared" si="5"/>
        <v>OK</v>
      </c>
      <c r="D92" s="96" t="str">
        <f t="shared" ref="D92:S92" si="26">IF(D25-D59=0,"OK",D25-D59)</f>
        <v>OK</v>
      </c>
      <c r="E92" s="96" t="str">
        <f t="shared" si="26"/>
        <v>OK</v>
      </c>
      <c r="F92" s="96" t="str">
        <f t="shared" si="26"/>
        <v>OK</v>
      </c>
      <c r="G92" s="96" t="str">
        <f t="shared" si="26"/>
        <v>OK</v>
      </c>
      <c r="H92" s="96" t="str">
        <f t="shared" si="26"/>
        <v>OK</v>
      </c>
      <c r="I92" s="96" t="str">
        <f t="shared" si="26"/>
        <v>OK</v>
      </c>
      <c r="J92" s="96" t="str">
        <f t="shared" si="26"/>
        <v>OK</v>
      </c>
      <c r="K92" s="96" t="str">
        <f t="shared" si="26"/>
        <v>OK</v>
      </c>
      <c r="L92" s="96" t="str">
        <f t="shared" si="26"/>
        <v>OK</v>
      </c>
      <c r="M92" s="96" t="str">
        <f t="shared" si="26"/>
        <v>OK</v>
      </c>
      <c r="N92" s="96" t="str">
        <f t="shared" si="26"/>
        <v>OK</v>
      </c>
      <c r="O92" s="96" t="str">
        <f t="shared" si="26"/>
        <v>OK</v>
      </c>
      <c r="P92" s="96" t="str">
        <f t="shared" si="26"/>
        <v>OK</v>
      </c>
      <c r="Q92" s="96" t="str">
        <f t="shared" si="26"/>
        <v>OK</v>
      </c>
      <c r="R92" s="96" t="str">
        <f t="shared" si="26"/>
        <v>OK</v>
      </c>
      <c r="S92" s="97" t="str">
        <f t="shared" si="26"/>
        <v>OK</v>
      </c>
    </row>
    <row r="93" spans="1:19">
      <c r="A93" s="410" t="s">
        <v>127</v>
      </c>
      <c r="B93" s="81" t="s">
        <v>118</v>
      </c>
      <c r="C93" s="94" t="str">
        <f t="shared" si="5"/>
        <v>OK</v>
      </c>
      <c r="D93" s="94" t="str">
        <f t="shared" ref="D93:S93" si="27">IF(D26-D60=0,"OK",D26-D60)</f>
        <v>OK</v>
      </c>
      <c r="E93" s="94" t="str">
        <f t="shared" si="27"/>
        <v>OK</v>
      </c>
      <c r="F93" s="94" t="str">
        <f t="shared" si="27"/>
        <v>OK</v>
      </c>
      <c r="G93" s="94" t="str">
        <f t="shared" si="27"/>
        <v>OK</v>
      </c>
      <c r="H93" s="94" t="str">
        <f t="shared" si="27"/>
        <v>OK</v>
      </c>
      <c r="I93" s="94" t="str">
        <f t="shared" si="27"/>
        <v>OK</v>
      </c>
      <c r="J93" s="94" t="str">
        <f t="shared" si="27"/>
        <v>OK</v>
      </c>
      <c r="K93" s="94" t="str">
        <f t="shared" si="27"/>
        <v>OK</v>
      </c>
      <c r="L93" s="94" t="str">
        <f t="shared" si="27"/>
        <v>OK</v>
      </c>
      <c r="M93" s="94" t="str">
        <f t="shared" si="27"/>
        <v>OK</v>
      </c>
      <c r="N93" s="94" t="str">
        <f t="shared" si="27"/>
        <v>OK</v>
      </c>
      <c r="O93" s="94" t="str">
        <f t="shared" si="27"/>
        <v>OK</v>
      </c>
      <c r="P93" s="94" t="str">
        <f t="shared" si="27"/>
        <v>OK</v>
      </c>
      <c r="Q93" s="94" t="str">
        <f t="shared" si="27"/>
        <v>OK</v>
      </c>
      <c r="R93" s="94" t="str">
        <f t="shared" si="27"/>
        <v>OK</v>
      </c>
      <c r="S93" s="95" t="str">
        <f t="shared" si="27"/>
        <v>OK</v>
      </c>
    </row>
    <row r="94" spans="1:19">
      <c r="A94" s="410"/>
      <c r="B94" s="72" t="s">
        <v>117</v>
      </c>
      <c r="C94" s="90" t="str">
        <f t="shared" si="5"/>
        <v>OK</v>
      </c>
      <c r="D94" s="90" t="str">
        <f t="shared" ref="D94:S94" si="28">IF(D27-D61=0,"OK",D27-D61)</f>
        <v>OK</v>
      </c>
      <c r="E94" s="90" t="str">
        <f t="shared" si="28"/>
        <v>OK</v>
      </c>
      <c r="F94" s="90" t="str">
        <f t="shared" si="28"/>
        <v>OK</v>
      </c>
      <c r="G94" s="90" t="str">
        <f t="shared" si="28"/>
        <v>OK</v>
      </c>
      <c r="H94" s="90" t="str">
        <f t="shared" si="28"/>
        <v>OK</v>
      </c>
      <c r="I94" s="90" t="str">
        <f t="shared" si="28"/>
        <v>OK</v>
      </c>
      <c r="J94" s="90" t="str">
        <f t="shared" si="28"/>
        <v>OK</v>
      </c>
      <c r="K94" s="90" t="str">
        <f t="shared" si="28"/>
        <v>OK</v>
      </c>
      <c r="L94" s="90" t="str">
        <f t="shared" si="28"/>
        <v>OK</v>
      </c>
      <c r="M94" s="90" t="str">
        <f t="shared" si="28"/>
        <v>OK</v>
      </c>
      <c r="N94" s="90" t="str">
        <f t="shared" si="28"/>
        <v>OK</v>
      </c>
      <c r="O94" s="90" t="str">
        <f t="shared" si="28"/>
        <v>OK</v>
      </c>
      <c r="P94" s="90" t="str">
        <f t="shared" si="28"/>
        <v>OK</v>
      </c>
      <c r="Q94" s="90" t="str">
        <f t="shared" si="28"/>
        <v>OK</v>
      </c>
      <c r="R94" s="90" t="str">
        <f t="shared" si="28"/>
        <v>OK</v>
      </c>
      <c r="S94" s="91" t="str">
        <f t="shared" si="28"/>
        <v>OK</v>
      </c>
    </row>
    <row r="95" spans="1:19">
      <c r="A95" s="410"/>
      <c r="B95" s="75" t="s">
        <v>119</v>
      </c>
      <c r="C95" s="96" t="str">
        <f t="shared" si="5"/>
        <v>OK</v>
      </c>
      <c r="D95" s="96" t="str">
        <f t="shared" ref="D95:S95" si="29">IF(D28-D62=0,"OK",D28-D62)</f>
        <v>OK</v>
      </c>
      <c r="E95" s="96" t="str">
        <f t="shared" si="29"/>
        <v>OK</v>
      </c>
      <c r="F95" s="96" t="str">
        <f t="shared" si="29"/>
        <v>OK</v>
      </c>
      <c r="G95" s="96" t="str">
        <f t="shared" si="29"/>
        <v>OK</v>
      </c>
      <c r="H95" s="96" t="str">
        <f t="shared" si="29"/>
        <v>OK</v>
      </c>
      <c r="I95" s="96" t="str">
        <f t="shared" si="29"/>
        <v>OK</v>
      </c>
      <c r="J95" s="96" t="str">
        <f t="shared" si="29"/>
        <v>OK</v>
      </c>
      <c r="K95" s="96" t="str">
        <f t="shared" si="29"/>
        <v>OK</v>
      </c>
      <c r="L95" s="96" t="str">
        <f t="shared" si="29"/>
        <v>OK</v>
      </c>
      <c r="M95" s="96" t="str">
        <f t="shared" si="29"/>
        <v>OK</v>
      </c>
      <c r="N95" s="96" t="str">
        <f t="shared" si="29"/>
        <v>OK</v>
      </c>
      <c r="O95" s="96" t="str">
        <f t="shared" si="29"/>
        <v>OK</v>
      </c>
      <c r="P95" s="96" t="str">
        <f t="shared" si="29"/>
        <v>OK</v>
      </c>
      <c r="Q95" s="96" t="str">
        <f t="shared" si="29"/>
        <v>OK</v>
      </c>
      <c r="R95" s="96" t="str">
        <f t="shared" si="29"/>
        <v>OK</v>
      </c>
      <c r="S95" s="97" t="str">
        <f t="shared" si="29"/>
        <v>OK</v>
      </c>
    </row>
    <row r="96" spans="1:19">
      <c r="A96" s="410" t="s">
        <v>128</v>
      </c>
      <c r="B96" s="81" t="s">
        <v>118</v>
      </c>
      <c r="C96" s="94" t="str">
        <f t="shared" si="5"/>
        <v>OK</v>
      </c>
      <c r="D96" s="94" t="str">
        <f t="shared" ref="D96:S96" si="30">IF(D29-D63=0,"OK",D29-D63)</f>
        <v>OK</v>
      </c>
      <c r="E96" s="94" t="str">
        <f t="shared" si="30"/>
        <v>OK</v>
      </c>
      <c r="F96" s="94" t="str">
        <f t="shared" si="30"/>
        <v>OK</v>
      </c>
      <c r="G96" s="94" t="str">
        <f t="shared" si="30"/>
        <v>OK</v>
      </c>
      <c r="H96" s="94" t="str">
        <f t="shared" si="30"/>
        <v>OK</v>
      </c>
      <c r="I96" s="94" t="str">
        <f t="shared" si="30"/>
        <v>OK</v>
      </c>
      <c r="J96" s="94" t="str">
        <f t="shared" si="30"/>
        <v>OK</v>
      </c>
      <c r="K96" s="94" t="str">
        <f t="shared" si="30"/>
        <v>OK</v>
      </c>
      <c r="L96" s="94" t="str">
        <f t="shared" si="30"/>
        <v>OK</v>
      </c>
      <c r="M96" s="94" t="str">
        <f t="shared" si="30"/>
        <v>OK</v>
      </c>
      <c r="N96" s="94" t="str">
        <f t="shared" si="30"/>
        <v>OK</v>
      </c>
      <c r="O96" s="94" t="str">
        <f t="shared" si="30"/>
        <v>OK</v>
      </c>
      <c r="P96" s="94" t="str">
        <f t="shared" si="30"/>
        <v>OK</v>
      </c>
      <c r="Q96" s="94" t="str">
        <f t="shared" si="30"/>
        <v>OK</v>
      </c>
      <c r="R96" s="94" t="str">
        <f t="shared" si="30"/>
        <v>OK</v>
      </c>
      <c r="S96" s="95" t="str">
        <f t="shared" si="30"/>
        <v>OK</v>
      </c>
    </row>
    <row r="97" spans="1:19">
      <c r="A97" s="410"/>
      <c r="B97" s="72" t="s">
        <v>117</v>
      </c>
      <c r="C97" s="90" t="str">
        <f t="shared" si="5"/>
        <v>OK</v>
      </c>
      <c r="D97" s="90" t="str">
        <f t="shared" ref="D97:S97" si="31">IF(D30-D64=0,"OK",D30-D64)</f>
        <v>OK</v>
      </c>
      <c r="E97" s="90" t="str">
        <f t="shared" si="31"/>
        <v>OK</v>
      </c>
      <c r="F97" s="90" t="str">
        <f t="shared" si="31"/>
        <v>OK</v>
      </c>
      <c r="G97" s="90" t="str">
        <f t="shared" si="31"/>
        <v>OK</v>
      </c>
      <c r="H97" s="90" t="str">
        <f t="shared" si="31"/>
        <v>OK</v>
      </c>
      <c r="I97" s="90" t="str">
        <f t="shared" si="31"/>
        <v>OK</v>
      </c>
      <c r="J97" s="90" t="str">
        <f t="shared" si="31"/>
        <v>OK</v>
      </c>
      <c r="K97" s="90" t="str">
        <f t="shared" si="31"/>
        <v>OK</v>
      </c>
      <c r="L97" s="90" t="str">
        <f t="shared" si="31"/>
        <v>OK</v>
      </c>
      <c r="M97" s="90" t="str">
        <f t="shared" si="31"/>
        <v>OK</v>
      </c>
      <c r="N97" s="90" t="str">
        <f t="shared" si="31"/>
        <v>OK</v>
      </c>
      <c r="O97" s="90" t="str">
        <f t="shared" si="31"/>
        <v>OK</v>
      </c>
      <c r="P97" s="90" t="str">
        <f t="shared" si="31"/>
        <v>OK</v>
      </c>
      <c r="Q97" s="90" t="str">
        <f t="shared" si="31"/>
        <v>OK</v>
      </c>
      <c r="R97" s="90" t="str">
        <f t="shared" si="31"/>
        <v>OK</v>
      </c>
      <c r="S97" s="91" t="str">
        <f t="shared" si="31"/>
        <v>OK</v>
      </c>
    </row>
    <row r="98" spans="1:19">
      <c r="A98" s="410"/>
      <c r="B98" s="75" t="s">
        <v>119</v>
      </c>
      <c r="C98" s="96" t="str">
        <f t="shared" si="5"/>
        <v>OK</v>
      </c>
      <c r="D98" s="96" t="str">
        <f t="shared" ref="D98:S98" si="32">IF(D31-D65=0,"OK",D31-D65)</f>
        <v>OK</v>
      </c>
      <c r="E98" s="96" t="str">
        <f t="shared" si="32"/>
        <v>OK</v>
      </c>
      <c r="F98" s="96" t="str">
        <f t="shared" si="32"/>
        <v>OK</v>
      </c>
      <c r="G98" s="96" t="str">
        <f t="shared" si="32"/>
        <v>OK</v>
      </c>
      <c r="H98" s="96" t="str">
        <f t="shared" si="32"/>
        <v>OK</v>
      </c>
      <c r="I98" s="96" t="str">
        <f t="shared" si="32"/>
        <v>OK</v>
      </c>
      <c r="J98" s="96" t="str">
        <f t="shared" si="32"/>
        <v>OK</v>
      </c>
      <c r="K98" s="96" t="str">
        <f t="shared" si="32"/>
        <v>OK</v>
      </c>
      <c r="L98" s="96" t="str">
        <f t="shared" si="32"/>
        <v>OK</v>
      </c>
      <c r="M98" s="96" t="str">
        <f t="shared" si="32"/>
        <v>OK</v>
      </c>
      <c r="N98" s="96" t="str">
        <f t="shared" si="32"/>
        <v>OK</v>
      </c>
      <c r="O98" s="96" t="str">
        <f t="shared" si="32"/>
        <v>OK</v>
      </c>
      <c r="P98" s="96" t="str">
        <f t="shared" si="32"/>
        <v>OK</v>
      </c>
      <c r="Q98" s="96" t="str">
        <f t="shared" si="32"/>
        <v>OK</v>
      </c>
      <c r="R98" s="96" t="str">
        <f t="shared" si="32"/>
        <v>OK</v>
      </c>
      <c r="S98" s="97" t="str">
        <f t="shared" si="32"/>
        <v>OK</v>
      </c>
    </row>
    <row r="99" spans="1:19">
      <c r="A99" s="410" t="s">
        <v>129</v>
      </c>
      <c r="B99" s="81" t="s">
        <v>118</v>
      </c>
      <c r="C99" s="105" t="str">
        <f t="shared" si="5"/>
        <v>OK</v>
      </c>
      <c r="D99" s="94" t="str">
        <f t="shared" ref="D99:S99" si="33">IF(D32-D66=0,"OK",D32-D66)</f>
        <v>OK</v>
      </c>
      <c r="E99" s="94" t="str">
        <f t="shared" si="33"/>
        <v>OK</v>
      </c>
      <c r="F99" s="94" t="str">
        <f t="shared" si="33"/>
        <v>OK</v>
      </c>
      <c r="G99" s="94" t="str">
        <f t="shared" si="33"/>
        <v>OK</v>
      </c>
      <c r="H99" s="94" t="str">
        <f t="shared" si="33"/>
        <v>OK</v>
      </c>
      <c r="I99" s="94" t="str">
        <f t="shared" si="33"/>
        <v>OK</v>
      </c>
      <c r="J99" s="94" t="str">
        <f t="shared" si="33"/>
        <v>OK</v>
      </c>
      <c r="K99" s="94" t="str">
        <f t="shared" si="33"/>
        <v>OK</v>
      </c>
      <c r="L99" s="94" t="str">
        <f t="shared" si="33"/>
        <v>OK</v>
      </c>
      <c r="M99" s="94" t="str">
        <f t="shared" si="33"/>
        <v>OK</v>
      </c>
      <c r="N99" s="94" t="str">
        <f t="shared" si="33"/>
        <v>OK</v>
      </c>
      <c r="O99" s="94" t="str">
        <f t="shared" si="33"/>
        <v>OK</v>
      </c>
      <c r="P99" s="94" t="str">
        <f t="shared" si="33"/>
        <v>OK</v>
      </c>
      <c r="Q99" s="94" t="str">
        <f t="shared" si="33"/>
        <v>OK</v>
      </c>
      <c r="R99" s="94" t="str">
        <f t="shared" si="33"/>
        <v>OK</v>
      </c>
      <c r="S99" s="95" t="str">
        <f t="shared" si="33"/>
        <v>OK</v>
      </c>
    </row>
    <row r="100" spans="1:19">
      <c r="A100" s="410"/>
      <c r="B100" s="72" t="s">
        <v>117</v>
      </c>
      <c r="C100" s="106" t="str">
        <f t="shared" ref="C100:R100" si="34">IF(C33-C67=0,"OK",C33-C67)</f>
        <v>OK</v>
      </c>
      <c r="D100" s="90" t="str">
        <f t="shared" si="34"/>
        <v>OK</v>
      </c>
      <c r="E100" s="90" t="str">
        <f t="shared" si="34"/>
        <v>OK</v>
      </c>
      <c r="F100" s="90" t="str">
        <f t="shared" si="34"/>
        <v>OK</v>
      </c>
      <c r="G100" s="90" t="str">
        <f t="shared" si="34"/>
        <v>OK</v>
      </c>
      <c r="H100" s="90" t="str">
        <f t="shared" si="34"/>
        <v>OK</v>
      </c>
      <c r="I100" s="90" t="str">
        <f t="shared" si="34"/>
        <v>OK</v>
      </c>
      <c r="J100" s="90" t="str">
        <f t="shared" si="34"/>
        <v>OK</v>
      </c>
      <c r="K100" s="90" t="str">
        <f t="shared" si="34"/>
        <v>OK</v>
      </c>
      <c r="L100" s="90" t="str">
        <f t="shared" si="34"/>
        <v>OK</v>
      </c>
      <c r="M100" s="90" t="str">
        <f t="shared" si="34"/>
        <v>OK</v>
      </c>
      <c r="N100" s="90" t="str">
        <f t="shared" si="34"/>
        <v>OK</v>
      </c>
      <c r="O100" s="90" t="str">
        <f t="shared" si="34"/>
        <v>OK</v>
      </c>
      <c r="P100" s="90" t="str">
        <f t="shared" si="34"/>
        <v>OK</v>
      </c>
      <c r="Q100" s="90" t="str">
        <f t="shared" si="34"/>
        <v>OK</v>
      </c>
      <c r="R100" s="90" t="str">
        <f t="shared" si="34"/>
        <v>OK</v>
      </c>
      <c r="S100" s="91" t="str">
        <f>IF(S33-S67=0,"OK",S33-S67)</f>
        <v>OK</v>
      </c>
    </row>
    <row r="101" spans="1:19" ht="13.5" thickBot="1">
      <c r="A101" s="420"/>
      <c r="B101" s="84" t="s">
        <v>119</v>
      </c>
      <c r="C101" s="107" t="str">
        <f t="shared" ref="C101:S101" si="35">IF(C34-C68=0,"OK",C34-C68)</f>
        <v>OK</v>
      </c>
      <c r="D101" s="98" t="str">
        <f t="shared" si="35"/>
        <v>OK</v>
      </c>
      <c r="E101" s="98" t="str">
        <f t="shared" si="35"/>
        <v>OK</v>
      </c>
      <c r="F101" s="98" t="str">
        <f t="shared" si="35"/>
        <v>OK</v>
      </c>
      <c r="G101" s="98" t="str">
        <f t="shared" si="35"/>
        <v>OK</v>
      </c>
      <c r="H101" s="98" t="str">
        <f t="shared" si="35"/>
        <v>OK</v>
      </c>
      <c r="I101" s="98" t="str">
        <f t="shared" si="35"/>
        <v>OK</v>
      </c>
      <c r="J101" s="98" t="str">
        <f t="shared" si="35"/>
        <v>OK</v>
      </c>
      <c r="K101" s="98" t="str">
        <f t="shared" si="35"/>
        <v>OK</v>
      </c>
      <c r="L101" s="98" t="str">
        <f t="shared" si="35"/>
        <v>OK</v>
      </c>
      <c r="M101" s="98" t="str">
        <f t="shared" si="35"/>
        <v>OK</v>
      </c>
      <c r="N101" s="98" t="str">
        <f t="shared" si="35"/>
        <v>OK</v>
      </c>
      <c r="O101" s="98" t="str">
        <f t="shared" si="35"/>
        <v>OK</v>
      </c>
      <c r="P101" s="98" t="str">
        <f t="shared" si="35"/>
        <v>OK</v>
      </c>
      <c r="Q101" s="98" t="str">
        <f t="shared" si="35"/>
        <v>OK</v>
      </c>
      <c r="R101" s="98" t="str">
        <f t="shared" si="35"/>
        <v>OK</v>
      </c>
      <c r="S101" s="99" t="str">
        <f t="shared" si="35"/>
        <v>OK</v>
      </c>
    </row>
    <row r="102" spans="1:19" ht="13.5" thickTop="1"/>
  </sheetData>
  <mergeCells count="32">
    <mergeCell ref="A96:A98"/>
    <mergeCell ref="A99:A101"/>
    <mergeCell ref="A36:S36"/>
    <mergeCell ref="A81:A83"/>
    <mergeCell ref="A57:A59"/>
    <mergeCell ref="A60:A62"/>
    <mergeCell ref="A63:A65"/>
    <mergeCell ref="A48:A50"/>
    <mergeCell ref="A45:A47"/>
    <mergeCell ref="A72:A74"/>
    <mergeCell ref="A93:A95"/>
    <mergeCell ref="A78:A80"/>
    <mergeCell ref="A75:A77"/>
    <mergeCell ref="A51:A53"/>
    <mergeCell ref="A54:A56"/>
    <mergeCell ref="A84:A86"/>
    <mergeCell ref="A1:D1"/>
    <mergeCell ref="A87:A89"/>
    <mergeCell ref="A90:A92"/>
    <mergeCell ref="A42:A44"/>
    <mergeCell ref="A2:S2"/>
    <mergeCell ref="A17:A19"/>
    <mergeCell ref="A29:A31"/>
    <mergeCell ref="A5:A7"/>
    <mergeCell ref="A8:A10"/>
    <mergeCell ref="A11:A13"/>
    <mergeCell ref="A14:A16"/>
    <mergeCell ref="A26:A28"/>
    <mergeCell ref="A20:A22"/>
    <mergeCell ref="A23:A25"/>
    <mergeCell ref="A32:A34"/>
    <mergeCell ref="A39:A41"/>
  </mergeCells>
  <phoneticPr fontId="18" type="noConversion"/>
  <pageMargins left="0.78740157499999996" right="0.78740157499999996" top="0.984251969" bottom="0.984251969" header="0.4921259845" footer="0.4921259845"/>
  <pageSetup paperSize="9" scale="91" orientation="landscape" r:id="rId1"/>
  <headerFooter alignWithMargins="0"/>
  <rowBreaks count="2" manualBreakCount="2">
    <brk id="35" max="16383" man="1"/>
    <brk id="69"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tabColor rgb="FFFFFF00"/>
  </sheetPr>
  <dimension ref="A1:S102"/>
  <sheetViews>
    <sheetView view="pageBreakPreview" zoomScaleNormal="100" zoomScaleSheetLayoutView="100" workbookViewId="0">
      <selection activeCell="W1" sqref="W1"/>
    </sheetView>
  </sheetViews>
  <sheetFormatPr baseColWidth="10" defaultRowHeight="12.75"/>
  <cols>
    <col min="3" max="3" width="9" customWidth="1"/>
    <col min="4" max="19" width="8.7109375" bestFit="1" customWidth="1"/>
  </cols>
  <sheetData>
    <row r="1" spans="1:19">
      <c r="A1" s="407" t="s">
        <v>267</v>
      </c>
      <c r="B1" s="407"/>
      <c r="C1" s="407"/>
      <c r="D1" s="407"/>
    </row>
    <row r="2" spans="1:19">
      <c r="A2" s="411" t="s">
        <v>123</v>
      </c>
      <c r="B2" s="411"/>
      <c r="C2" s="411"/>
      <c r="D2" s="411"/>
      <c r="E2" s="411"/>
      <c r="F2" s="411"/>
      <c r="G2" s="411"/>
      <c r="H2" s="411"/>
      <c r="I2" s="411"/>
      <c r="J2" s="411"/>
      <c r="K2" s="411"/>
      <c r="L2" s="411"/>
      <c r="M2" s="411"/>
      <c r="N2" s="411"/>
      <c r="O2" s="411"/>
      <c r="P2" s="411"/>
      <c r="Q2" s="411"/>
      <c r="R2" s="411"/>
      <c r="S2" s="411"/>
    </row>
    <row r="3" spans="1:19" ht="13.5" thickBot="1"/>
    <row r="4" spans="1:19" ht="14.25" thickTop="1" thickBot="1">
      <c r="A4" s="67"/>
      <c r="B4" s="68"/>
      <c r="C4" s="64" t="s">
        <v>80</v>
      </c>
      <c r="D4" s="64" t="s">
        <v>81</v>
      </c>
      <c r="E4" s="64" t="s">
        <v>82</v>
      </c>
      <c r="F4" s="64" t="s">
        <v>83</v>
      </c>
      <c r="G4" s="64" t="s">
        <v>84</v>
      </c>
      <c r="H4" s="64" t="s">
        <v>120</v>
      </c>
      <c r="I4" s="219" t="s">
        <v>86</v>
      </c>
      <c r="J4" s="64" t="s">
        <v>121</v>
      </c>
      <c r="K4" s="64" t="s">
        <v>88</v>
      </c>
      <c r="L4" s="64" t="s">
        <v>89</v>
      </c>
      <c r="M4" s="64" t="s">
        <v>90</v>
      </c>
      <c r="N4" s="64" t="s">
        <v>122</v>
      </c>
      <c r="O4" s="64" t="s">
        <v>92</v>
      </c>
      <c r="P4" s="64" t="s">
        <v>93</v>
      </c>
      <c r="Q4" s="64" t="s">
        <v>94</v>
      </c>
      <c r="R4" s="123" t="s">
        <v>95</v>
      </c>
      <c r="S4" s="65" t="s">
        <v>96</v>
      </c>
    </row>
    <row r="5" spans="1:19" ht="13.5" thickTop="1">
      <c r="A5" s="417" t="s">
        <v>79</v>
      </c>
      <c r="B5" s="69" t="s">
        <v>118</v>
      </c>
      <c r="C5" s="82">
        <f>SUM(C8,C11,C14,C17,C20,C23,C26,C29,C32)</f>
        <v>1942</v>
      </c>
      <c r="D5" s="82">
        <f t="shared" ref="D5:S5" si="0">SUM(D8,D11,D14,D17,D20,D23,D26,D29,D32)</f>
        <v>2914</v>
      </c>
      <c r="E5" s="82">
        <f t="shared" si="0"/>
        <v>918</v>
      </c>
      <c r="F5" s="82">
        <f>SUM(F8,F11,F14,F17,F20,F23,F26,F29,F32)</f>
        <v>603</v>
      </c>
      <c r="G5" s="82">
        <f t="shared" si="0"/>
        <v>79</v>
      </c>
      <c r="H5" s="82">
        <f t="shared" si="0"/>
        <v>342</v>
      </c>
      <c r="I5" s="82">
        <f t="shared" si="0"/>
        <v>1578</v>
      </c>
      <c r="J5" s="82">
        <f t="shared" si="0"/>
        <v>214</v>
      </c>
      <c r="K5" s="82">
        <f t="shared" si="0"/>
        <v>2223</v>
      </c>
      <c r="L5" s="82">
        <f t="shared" si="0"/>
        <v>3833</v>
      </c>
      <c r="M5" s="82">
        <f t="shared" si="0"/>
        <v>1032</v>
      </c>
      <c r="N5" s="82">
        <f t="shared" si="0"/>
        <v>263</v>
      </c>
      <c r="O5" s="82">
        <f t="shared" si="0"/>
        <v>1271</v>
      </c>
      <c r="P5" s="82">
        <f t="shared" si="0"/>
        <v>515</v>
      </c>
      <c r="Q5" s="82">
        <f t="shared" si="0"/>
        <v>840</v>
      </c>
      <c r="R5" s="122">
        <f t="shared" si="0"/>
        <v>594</v>
      </c>
      <c r="S5" s="83">
        <f t="shared" si="0"/>
        <v>19161</v>
      </c>
    </row>
    <row r="6" spans="1:19">
      <c r="A6" s="418"/>
      <c r="B6" s="72" t="s">
        <v>117</v>
      </c>
      <c r="C6" s="73">
        <f t="shared" ref="C6:R6" si="1">SUM(C9,C12,C15,C18,C21,C24,C27,C30,C33)</f>
        <v>251</v>
      </c>
      <c r="D6" s="73">
        <f t="shared" si="1"/>
        <v>547</v>
      </c>
      <c r="E6" s="73">
        <f t="shared" si="1"/>
        <v>137</v>
      </c>
      <c r="F6" s="73">
        <f>SUM(F9,F12,F15,F18,F21,F24,F27,F30,F33)</f>
        <v>167</v>
      </c>
      <c r="G6" s="73">
        <f t="shared" si="1"/>
        <v>8</v>
      </c>
      <c r="H6" s="73">
        <f t="shared" si="1"/>
        <v>54</v>
      </c>
      <c r="I6" s="73">
        <f t="shared" si="1"/>
        <v>0</v>
      </c>
      <c r="J6" s="73">
        <f t="shared" si="1"/>
        <v>57</v>
      </c>
      <c r="K6" s="73">
        <f t="shared" si="1"/>
        <v>0</v>
      </c>
      <c r="L6" s="73">
        <f t="shared" si="1"/>
        <v>228</v>
      </c>
      <c r="M6" s="73">
        <f t="shared" si="1"/>
        <v>73</v>
      </c>
      <c r="N6" s="73">
        <f t="shared" si="1"/>
        <v>25</v>
      </c>
      <c r="O6" s="73">
        <f t="shared" si="1"/>
        <v>187</v>
      </c>
      <c r="P6" s="73">
        <f t="shared" si="1"/>
        <v>0</v>
      </c>
      <c r="Q6" s="73">
        <f t="shared" si="1"/>
        <v>48</v>
      </c>
      <c r="R6" s="73">
        <f t="shared" si="1"/>
        <v>92</v>
      </c>
      <c r="S6" s="74">
        <f>SUM(S9,S12,S15,S18,S21,S24,S27,S30,S33)</f>
        <v>1874</v>
      </c>
    </row>
    <row r="7" spans="1:19">
      <c r="A7" s="419"/>
      <c r="B7" s="78" t="s">
        <v>119</v>
      </c>
      <c r="C7" s="76">
        <f t="shared" ref="C7:S7" si="2">SUM(C10,C13,C16,C19,C22,C25,C28,C31,C34)</f>
        <v>2193</v>
      </c>
      <c r="D7" s="76">
        <f t="shared" si="2"/>
        <v>3461</v>
      </c>
      <c r="E7" s="76">
        <f t="shared" si="2"/>
        <v>1055</v>
      </c>
      <c r="F7" s="76">
        <f>SUM(F10,F13,F16,F19,F22,F25,F28,F31,F34)</f>
        <v>770</v>
      </c>
      <c r="G7" s="76">
        <f t="shared" si="2"/>
        <v>87</v>
      </c>
      <c r="H7" s="76">
        <f t="shared" si="2"/>
        <v>396</v>
      </c>
      <c r="I7" s="76">
        <f t="shared" si="2"/>
        <v>1578</v>
      </c>
      <c r="J7" s="76">
        <f t="shared" si="2"/>
        <v>271</v>
      </c>
      <c r="K7" s="76">
        <f t="shared" si="2"/>
        <v>2223</v>
      </c>
      <c r="L7" s="76">
        <f t="shared" si="2"/>
        <v>4061</v>
      </c>
      <c r="M7" s="76">
        <f t="shared" si="2"/>
        <v>1105</v>
      </c>
      <c r="N7" s="76">
        <f t="shared" si="2"/>
        <v>288</v>
      </c>
      <c r="O7" s="76">
        <f t="shared" si="2"/>
        <v>1458</v>
      </c>
      <c r="P7" s="76">
        <f t="shared" si="2"/>
        <v>515</v>
      </c>
      <c r="Q7" s="76">
        <f t="shared" si="2"/>
        <v>888</v>
      </c>
      <c r="R7" s="76">
        <f t="shared" si="2"/>
        <v>686</v>
      </c>
      <c r="S7" s="77">
        <f t="shared" si="2"/>
        <v>21035</v>
      </c>
    </row>
    <row r="8" spans="1:19" ht="12.75" customHeight="1">
      <c r="A8" s="410" t="s">
        <v>124</v>
      </c>
      <c r="B8" s="81" t="s">
        <v>118</v>
      </c>
      <c r="C8" s="82">
        <f>'2.2.1'!$G$12</f>
        <v>548</v>
      </c>
      <c r="D8" s="82">
        <f>'2.2.1'!$G$13</f>
        <v>1506</v>
      </c>
      <c r="E8" s="82">
        <f>'2.2.1'!$G$14</f>
        <v>366</v>
      </c>
      <c r="F8" s="82">
        <f>'2.2.1'!$G$15</f>
        <v>198</v>
      </c>
      <c r="G8" s="82">
        <f>'2.2.1'!$G$16</f>
        <v>46</v>
      </c>
      <c r="H8" s="82">
        <f>'2.2.1'!$G$17</f>
        <v>190</v>
      </c>
      <c r="I8" s="82">
        <f>'2.2.1'!$G$18</f>
        <v>564</v>
      </c>
      <c r="J8" s="82">
        <f>'2.2.1'!$G$19</f>
        <v>0</v>
      </c>
      <c r="K8" s="82">
        <f>'2.2.1'!$G$20</f>
        <v>958</v>
      </c>
      <c r="L8" s="82">
        <f>'2.2.1'!$G$21</f>
        <v>2570</v>
      </c>
      <c r="M8" s="82">
        <f>'2.2.1'!$G$22</f>
        <v>679</v>
      </c>
      <c r="N8" s="82">
        <f>'2.2.1'!$G$23</f>
        <v>152</v>
      </c>
      <c r="O8" s="82">
        <f>'2.2.1'!$G$24</f>
        <v>746</v>
      </c>
      <c r="P8" s="82">
        <f>'2.2.1'!$G$25</f>
        <v>311</v>
      </c>
      <c r="Q8" s="82">
        <f>'2.2.1'!$G$26</f>
        <v>376</v>
      </c>
      <c r="R8" s="82">
        <f>'2.2.1'!$G$27</f>
        <v>413</v>
      </c>
      <c r="S8" s="83">
        <f>'2.2.1'!$G$28</f>
        <v>9623</v>
      </c>
    </row>
    <row r="9" spans="1:19">
      <c r="A9" s="410"/>
      <c r="B9" s="72" t="s">
        <v>117</v>
      </c>
      <c r="C9" s="73">
        <f>'2.3.1'!$G$12</f>
        <v>22</v>
      </c>
      <c r="D9" s="73">
        <f>'2.3.1'!$G$13</f>
        <v>114</v>
      </c>
      <c r="E9" s="73">
        <f>'2.3.1'!$G$14</f>
        <v>49</v>
      </c>
      <c r="F9" s="73">
        <f>'2.3.1'!$G$15</f>
        <v>50</v>
      </c>
      <c r="G9" s="73">
        <f>'2.3.1'!$G$16</f>
        <v>6</v>
      </c>
      <c r="H9" s="73">
        <f>'2.3.1'!$G$17</f>
        <v>25</v>
      </c>
      <c r="I9" s="73">
        <f>'2.3.1'!$G$18</f>
        <v>0</v>
      </c>
      <c r="J9" s="73">
        <f>'2.3.1'!$G$19</f>
        <v>0</v>
      </c>
      <c r="K9" s="73">
        <f>'2.3.1'!$G$20</f>
        <v>0</v>
      </c>
      <c r="L9" s="73">
        <f>'2.3.1'!$G$21</f>
        <v>42</v>
      </c>
      <c r="M9" s="73">
        <f>'2.3.1'!$G$22</f>
        <v>19</v>
      </c>
      <c r="N9" s="73">
        <f>'2.3.1'!$G$23</f>
        <v>7</v>
      </c>
      <c r="O9" s="73">
        <f>'2.3.1'!$G$24</f>
        <v>75</v>
      </c>
      <c r="P9" s="73">
        <f>'2.3.1'!$G$25</f>
        <v>0</v>
      </c>
      <c r="Q9" s="73">
        <f>'2.3.1'!$G$26</f>
        <v>15</v>
      </c>
      <c r="R9" s="73">
        <f>'2.3.1'!$G$27</f>
        <v>30</v>
      </c>
      <c r="S9" s="74">
        <f>'2.3.1'!$G$28</f>
        <v>454</v>
      </c>
    </row>
    <row r="10" spans="1:19" ht="10.15" customHeight="1">
      <c r="A10" s="410"/>
      <c r="B10" s="75" t="s">
        <v>119</v>
      </c>
      <c r="C10" s="76">
        <f>'2.1.1'!$G$12</f>
        <v>570</v>
      </c>
      <c r="D10" s="76">
        <f>'2.1.1'!$G$13</f>
        <v>1620</v>
      </c>
      <c r="E10" s="76">
        <f>'2.1.1'!$G$14</f>
        <v>415</v>
      </c>
      <c r="F10" s="76">
        <f>'2.1.1'!$G$15</f>
        <v>248</v>
      </c>
      <c r="G10" s="76">
        <f>'2.1.1'!$G$16</f>
        <v>52</v>
      </c>
      <c r="H10" s="76">
        <f>'2.1.1'!$G$17</f>
        <v>215</v>
      </c>
      <c r="I10" s="76">
        <f>'2.1.1'!$G$18</f>
        <v>564</v>
      </c>
      <c r="J10" s="76">
        <f>'2.1.1'!$G$19</f>
        <v>0</v>
      </c>
      <c r="K10" s="76">
        <f>'2.1.1'!$G$20</f>
        <v>958</v>
      </c>
      <c r="L10" s="76">
        <f>'2.1.1'!$G$21</f>
        <v>2612</v>
      </c>
      <c r="M10" s="76">
        <f>'2.1.1'!$G$22</f>
        <v>698</v>
      </c>
      <c r="N10" s="76">
        <f>'2.1.1'!$G$23</f>
        <v>159</v>
      </c>
      <c r="O10" s="76">
        <f>'2.1.1'!$G$24</f>
        <v>821</v>
      </c>
      <c r="P10" s="76">
        <f>'2.1.1'!$G$25</f>
        <v>311</v>
      </c>
      <c r="Q10" s="76">
        <f>'2.1.1'!$G$26</f>
        <v>391</v>
      </c>
      <c r="R10" s="76">
        <f>'2.1.1'!$G$27</f>
        <v>443</v>
      </c>
      <c r="S10" s="77">
        <f>'2.1.1'!$G$28</f>
        <v>10077</v>
      </c>
    </row>
    <row r="11" spans="1:19" ht="15" customHeight="1">
      <c r="A11" s="410" t="s">
        <v>9</v>
      </c>
      <c r="B11" s="81" t="s">
        <v>118</v>
      </c>
      <c r="C11" s="82">
        <f>'2.2.2'!$G$12</f>
        <v>1</v>
      </c>
      <c r="D11" s="82">
        <f>'2.2.2'!$G$13</f>
        <v>1</v>
      </c>
      <c r="E11" s="82">
        <f>'2.2.2'!$G$14</f>
        <v>356</v>
      </c>
      <c r="F11" s="82">
        <f>'2.2.2'!$G$15</f>
        <v>200</v>
      </c>
      <c r="G11" s="82">
        <v>0</v>
      </c>
      <c r="H11" s="82">
        <f>'2.2.2'!$G$17</f>
        <v>4</v>
      </c>
      <c r="I11" s="82">
        <f>'2.2.2'!$G$18</f>
        <v>113</v>
      </c>
      <c r="J11" s="82">
        <f>'2.2.2'!$G$19</f>
        <v>0</v>
      </c>
      <c r="K11" s="82">
        <f>'2.2.2'!$G$20</f>
        <v>0</v>
      </c>
      <c r="L11" s="82">
        <f>'2.2.2'!$G$21</f>
        <v>0</v>
      </c>
      <c r="M11" s="82">
        <v>0</v>
      </c>
      <c r="N11" s="82">
        <v>0</v>
      </c>
      <c r="O11" s="82">
        <v>0</v>
      </c>
      <c r="P11" s="82">
        <v>0</v>
      </c>
      <c r="Q11" s="82">
        <v>0</v>
      </c>
      <c r="R11" s="82">
        <v>0</v>
      </c>
      <c r="S11" s="83">
        <f>'2.2.2'!$G$28</f>
        <v>675</v>
      </c>
    </row>
    <row r="12" spans="1:19" ht="14.25" customHeight="1">
      <c r="A12" s="410"/>
      <c r="B12" s="72" t="s">
        <v>117</v>
      </c>
      <c r="C12" s="73">
        <f>'2.3.2'!$G$12</f>
        <v>0</v>
      </c>
      <c r="D12" s="73">
        <f>'2.3.2'!$G$13</f>
        <v>0</v>
      </c>
      <c r="E12" s="73">
        <f>'2.3.2'!$G$14</f>
        <v>47</v>
      </c>
      <c r="F12" s="73">
        <f>'2.3.2'!$G$15</f>
        <v>49</v>
      </c>
      <c r="G12" s="73">
        <v>0</v>
      </c>
      <c r="H12" s="73">
        <f>'2.3.2'!$G$17</f>
        <v>1</v>
      </c>
      <c r="I12" s="73">
        <f>'2.3.2'!$G$18</f>
        <v>0</v>
      </c>
      <c r="J12" s="73">
        <f>'2.3.2'!$G$19</f>
        <v>0</v>
      </c>
      <c r="K12" s="73">
        <f>'2.3.2'!$G$20</f>
        <v>0</v>
      </c>
      <c r="L12" s="73">
        <f>'2.3.2'!$G$21</f>
        <v>0</v>
      </c>
      <c r="M12" s="73">
        <v>0</v>
      </c>
      <c r="N12" s="73">
        <v>0</v>
      </c>
      <c r="O12" s="73">
        <v>0</v>
      </c>
      <c r="P12" s="73">
        <v>0</v>
      </c>
      <c r="Q12" s="73">
        <v>0</v>
      </c>
      <c r="R12" s="73">
        <v>0</v>
      </c>
      <c r="S12" s="74">
        <f>'2.3.2'!$G$28</f>
        <v>97</v>
      </c>
    </row>
    <row r="13" spans="1:19" ht="21.75" customHeight="1">
      <c r="A13" s="410"/>
      <c r="B13" s="75" t="s">
        <v>119</v>
      </c>
      <c r="C13" s="76">
        <f>'2.1.2'!$G$12</f>
        <v>1</v>
      </c>
      <c r="D13" s="76">
        <f>'2.1.2'!$G$13</f>
        <v>1</v>
      </c>
      <c r="E13" s="76">
        <f>'2.1.2'!$G$14</f>
        <v>403</v>
      </c>
      <c r="F13" s="76">
        <f>'2.1.2'!$G$15</f>
        <v>249</v>
      </c>
      <c r="G13" s="76">
        <v>0</v>
      </c>
      <c r="H13" s="76">
        <f>'2.1.2'!$G$17</f>
        <v>5</v>
      </c>
      <c r="I13" s="76">
        <f>'2.1.2'!$G$18</f>
        <v>113</v>
      </c>
      <c r="J13" s="76">
        <f>'2.1.2'!$G$19</f>
        <v>0</v>
      </c>
      <c r="K13" s="76">
        <f>'2.1.2'!$G$20</f>
        <v>0</v>
      </c>
      <c r="L13" s="76">
        <f>'2.1.2'!$G$21</f>
        <v>0</v>
      </c>
      <c r="M13" s="76">
        <v>0</v>
      </c>
      <c r="N13" s="76">
        <v>0</v>
      </c>
      <c r="O13" s="76">
        <v>0</v>
      </c>
      <c r="P13" s="76">
        <v>0</v>
      </c>
      <c r="Q13" s="76">
        <v>0</v>
      </c>
      <c r="R13" s="76">
        <v>0</v>
      </c>
      <c r="S13" s="77">
        <f>'2.1.2'!$G$28</f>
        <v>772</v>
      </c>
    </row>
    <row r="14" spans="1:19" ht="12.75" customHeight="1">
      <c r="A14" s="410" t="s">
        <v>125</v>
      </c>
      <c r="B14" s="81" t="s">
        <v>118</v>
      </c>
      <c r="C14" s="82">
        <f>'2.2.3'!$G$12</f>
        <v>380</v>
      </c>
      <c r="D14" s="82">
        <f>'2.2.3'!$G$13</f>
        <v>740</v>
      </c>
      <c r="E14" s="82">
        <f>'2.2.3'!$G$14</f>
        <v>0</v>
      </c>
      <c r="F14" s="82">
        <v>0</v>
      </c>
      <c r="G14" s="82">
        <f>'2.2.3'!$G$16</f>
        <v>0</v>
      </c>
      <c r="H14" s="82">
        <f>'2.2.3'!$G$17</f>
        <v>0</v>
      </c>
      <c r="I14" s="82">
        <f>'2.2.3'!$G$18</f>
        <v>201</v>
      </c>
      <c r="J14" s="82">
        <f>'2.2.3'!$G$19</f>
        <v>0</v>
      </c>
      <c r="K14" s="82">
        <f>'2.2.3'!$G$20</f>
        <v>224</v>
      </c>
      <c r="L14" s="82">
        <f>'2.2.3'!$G$21</f>
        <v>232</v>
      </c>
      <c r="M14" s="82">
        <f>'2.2.3'!$G$22</f>
        <v>0</v>
      </c>
      <c r="N14" s="82">
        <f>'2.2.3'!$G$23</f>
        <v>0</v>
      </c>
      <c r="O14" s="82">
        <v>0</v>
      </c>
      <c r="P14" s="82">
        <v>0</v>
      </c>
      <c r="Q14" s="82">
        <f>'2.2.3'!$G$26</f>
        <v>0</v>
      </c>
      <c r="R14" s="82">
        <v>0</v>
      </c>
      <c r="S14" s="83">
        <f>'2.2.3'!$G$28</f>
        <v>1777</v>
      </c>
    </row>
    <row r="15" spans="1:19">
      <c r="A15" s="410"/>
      <c r="B15" s="72" t="s">
        <v>117</v>
      </c>
      <c r="C15" s="73">
        <f>'2.3.3'!$G$12</f>
        <v>10</v>
      </c>
      <c r="D15" s="73">
        <f>'2.3.3'!$G$13</f>
        <v>85</v>
      </c>
      <c r="E15" s="73">
        <f>'2.3.3'!$G$14</f>
        <v>0</v>
      </c>
      <c r="F15" s="73">
        <v>0</v>
      </c>
      <c r="G15" s="73">
        <f>'2.3.3'!$G$16</f>
        <v>0</v>
      </c>
      <c r="H15" s="73">
        <f>'2.3.3'!$G$17</f>
        <v>0</v>
      </c>
      <c r="I15" s="73">
        <f>'2.3.3'!$G$18</f>
        <v>0</v>
      </c>
      <c r="J15" s="73">
        <f>'2.3.3'!$G$19</f>
        <v>0</v>
      </c>
      <c r="K15" s="73">
        <f>'2.3.3'!$G$20</f>
        <v>0</v>
      </c>
      <c r="L15" s="73">
        <f>'2.3.3'!$G$21</f>
        <v>3</v>
      </c>
      <c r="M15" s="73">
        <f>'2.3.3'!$G$22</f>
        <v>2</v>
      </c>
      <c r="N15" s="73">
        <f>'2.3.3'!$G$23</f>
        <v>0</v>
      </c>
      <c r="O15" s="73">
        <v>0</v>
      </c>
      <c r="P15" s="73">
        <v>0</v>
      </c>
      <c r="Q15" s="73">
        <f>'2.3.3'!$G$26</f>
        <v>0</v>
      </c>
      <c r="R15" s="73">
        <v>0</v>
      </c>
      <c r="S15" s="74">
        <f>'2.3.3'!$G$28</f>
        <v>100</v>
      </c>
    </row>
    <row r="16" spans="1:19">
      <c r="A16" s="410"/>
      <c r="B16" s="75" t="s">
        <v>119</v>
      </c>
      <c r="C16" s="76">
        <f>'2.1.3'!$G$12</f>
        <v>390</v>
      </c>
      <c r="D16" s="76">
        <f>'2.1.3'!$G$13</f>
        <v>825</v>
      </c>
      <c r="E16" s="76">
        <f>'2.1.3'!$G$14</f>
        <v>0</v>
      </c>
      <c r="F16" s="76">
        <v>0</v>
      </c>
      <c r="G16" s="76">
        <f>'2.1.3'!$G$16</f>
        <v>0</v>
      </c>
      <c r="H16" s="76">
        <f>'2.1.3'!$G$17</f>
        <v>0</v>
      </c>
      <c r="I16" s="76">
        <f>'2.1.3'!$G$18</f>
        <v>201</v>
      </c>
      <c r="J16" s="76">
        <f>'2.1.3'!$G$19</f>
        <v>0</v>
      </c>
      <c r="K16" s="76">
        <f>'2.1.3'!$G$20</f>
        <v>224</v>
      </c>
      <c r="L16" s="76">
        <f>'2.1.3'!$G$21</f>
        <v>235</v>
      </c>
      <c r="M16" s="76">
        <f>'2.1.3'!$G$22</f>
        <v>2</v>
      </c>
      <c r="N16" s="76">
        <f>'2.1.3'!$G$23</f>
        <v>0</v>
      </c>
      <c r="O16" s="76">
        <v>0</v>
      </c>
      <c r="P16" s="76">
        <v>0</v>
      </c>
      <c r="Q16" s="76">
        <f>'2.1.3'!$G$26</f>
        <v>0</v>
      </c>
      <c r="R16" s="76">
        <v>0</v>
      </c>
      <c r="S16" s="77">
        <f>'2.1.3'!$G$28</f>
        <v>1877</v>
      </c>
    </row>
    <row r="17" spans="1:19" ht="15.75" customHeight="1">
      <c r="A17" s="410" t="s">
        <v>126</v>
      </c>
      <c r="B17" s="81" t="s">
        <v>118</v>
      </c>
      <c r="C17" s="73">
        <v>0</v>
      </c>
      <c r="D17" s="73">
        <v>0</v>
      </c>
      <c r="E17" s="73">
        <v>0</v>
      </c>
      <c r="F17" s="82">
        <f>'2.2.4'!$G$15</f>
        <v>94</v>
      </c>
      <c r="G17" s="82">
        <f>'2.2.4'!$G$16</f>
        <v>0</v>
      </c>
      <c r="H17" s="82">
        <f>'2.2.4'!$G$17</f>
        <v>0</v>
      </c>
      <c r="I17" s="82">
        <f>'2.2.4'!$G$18</f>
        <v>19</v>
      </c>
      <c r="J17" s="82">
        <f>'2.2.4'!$G$19</f>
        <v>132</v>
      </c>
      <c r="K17" s="82">
        <f>'2.2.4'!$G$20</f>
        <v>359</v>
      </c>
      <c r="L17" s="82">
        <f>'2.2.4'!$G$21</f>
        <v>115</v>
      </c>
      <c r="M17" s="82">
        <f>'2.2.4'!$G$22</f>
        <v>139</v>
      </c>
      <c r="N17" s="82">
        <f>'2.2.4'!$G$23</f>
        <v>0</v>
      </c>
      <c r="O17" s="82">
        <f>'2.2.4'!$G$24</f>
        <v>273</v>
      </c>
      <c r="P17" s="82">
        <f>'2.2.4'!$G$25</f>
        <v>61</v>
      </c>
      <c r="Q17" s="82">
        <f>'2.2.4'!$G$26</f>
        <v>57</v>
      </c>
      <c r="R17" s="82">
        <f>'2.2.4'!$G$27</f>
        <v>66</v>
      </c>
      <c r="S17" s="83">
        <f>'2.2.4'!$G$28</f>
        <v>1315</v>
      </c>
    </row>
    <row r="18" spans="1:19" ht="16.5" customHeight="1">
      <c r="A18" s="410"/>
      <c r="B18" s="72" t="s">
        <v>117</v>
      </c>
      <c r="C18" s="73">
        <v>0</v>
      </c>
      <c r="D18" s="73">
        <v>0</v>
      </c>
      <c r="E18" s="73">
        <v>0</v>
      </c>
      <c r="F18" s="73">
        <f>'2.3.4'!$G$15</f>
        <v>19</v>
      </c>
      <c r="G18" s="73">
        <f>'2.3.4'!$G$16</f>
        <v>0</v>
      </c>
      <c r="H18" s="73">
        <f>'2.3.4'!$G$17</f>
        <v>0</v>
      </c>
      <c r="I18" s="73">
        <f>'2.3.4'!$G$18</f>
        <v>0</v>
      </c>
      <c r="J18" s="73">
        <f>'2.3.4'!$G$19</f>
        <v>26</v>
      </c>
      <c r="K18" s="73">
        <f>'2.3.4'!$G$20</f>
        <v>0</v>
      </c>
      <c r="L18" s="73">
        <f>'2.3.4'!$G$21</f>
        <v>9</v>
      </c>
      <c r="M18" s="73">
        <f>'2.3.4'!$G$22</f>
        <v>5</v>
      </c>
      <c r="N18" s="73">
        <f>'2.3.4'!$G$23</f>
        <v>1</v>
      </c>
      <c r="O18" s="73">
        <f>'2.3.4'!$G$24</f>
        <v>64</v>
      </c>
      <c r="P18" s="73">
        <f>'2.3.4'!$G$25</f>
        <v>0</v>
      </c>
      <c r="Q18" s="73">
        <v>0</v>
      </c>
      <c r="R18" s="73">
        <f>'2.3.4'!$G$27</f>
        <v>7</v>
      </c>
      <c r="S18" s="74">
        <f>'2.3.4'!$G$28</f>
        <v>131</v>
      </c>
    </row>
    <row r="19" spans="1:19" ht="18.75" customHeight="1">
      <c r="A19" s="410"/>
      <c r="B19" s="75" t="s">
        <v>119</v>
      </c>
      <c r="C19" s="76">
        <v>0</v>
      </c>
      <c r="D19" s="76">
        <v>0</v>
      </c>
      <c r="E19" s="76">
        <v>0</v>
      </c>
      <c r="F19" s="76">
        <f>'2.1.4'!$G$15</f>
        <v>113</v>
      </c>
      <c r="G19" s="76">
        <f>'2.1.4'!$G$16</f>
        <v>0</v>
      </c>
      <c r="H19" s="76">
        <f>'2.1.4'!$G$17</f>
        <v>0</v>
      </c>
      <c r="I19" s="76">
        <f>'2.1.4'!$G$18</f>
        <v>19</v>
      </c>
      <c r="J19" s="76">
        <f>'2.1.4'!$G$19</f>
        <v>158</v>
      </c>
      <c r="K19" s="76">
        <f>'2.1.4'!$G$20</f>
        <v>359</v>
      </c>
      <c r="L19" s="76">
        <f>'2.1.4'!$G$21</f>
        <v>124</v>
      </c>
      <c r="M19" s="76">
        <f>'2.1.4'!$G$22</f>
        <v>144</v>
      </c>
      <c r="N19" s="76">
        <f>'2.1.4'!$G$23</f>
        <v>1</v>
      </c>
      <c r="O19" s="76">
        <f>'2.1.4'!$G$24</f>
        <v>337</v>
      </c>
      <c r="P19" s="76">
        <f>'2.1.4'!$G$25</f>
        <v>61</v>
      </c>
      <c r="Q19" s="76">
        <f>'2.1.4'!$G$26</f>
        <v>57</v>
      </c>
      <c r="R19" s="76">
        <f>'2.1.4'!$G$27</f>
        <v>73</v>
      </c>
      <c r="S19" s="77">
        <f>'2.1.4'!$G$28</f>
        <v>1446</v>
      </c>
    </row>
    <row r="20" spans="1:19">
      <c r="A20" s="410" t="s">
        <v>15</v>
      </c>
      <c r="B20" s="81" t="s">
        <v>118</v>
      </c>
      <c r="C20" s="82">
        <f>'2.2.5'!$G$12</f>
        <v>166</v>
      </c>
      <c r="D20" s="82">
        <f>'2.2.5'!$G$13</f>
        <v>225</v>
      </c>
      <c r="E20" s="82">
        <f>'2.2.5'!$G$14</f>
        <v>0</v>
      </c>
      <c r="F20" s="82">
        <f>'2.2.5'!$G$15</f>
        <v>0</v>
      </c>
      <c r="G20" s="82">
        <f>'2.2.5'!$G$16</f>
        <v>0</v>
      </c>
      <c r="H20" s="82">
        <f>'2.2.5'!$G$17</f>
        <v>0</v>
      </c>
      <c r="I20" s="82">
        <f>'2.2.5'!$G$18</f>
        <v>206</v>
      </c>
      <c r="J20" s="82">
        <f>'2.2.5'!$G$19</f>
        <v>0</v>
      </c>
      <c r="K20" s="82">
        <f>'2.2.5'!$G$20</f>
        <v>217</v>
      </c>
      <c r="L20" s="82">
        <f>'2.2.5'!$G$21</f>
        <v>115</v>
      </c>
      <c r="M20" s="82">
        <f>'2.2.5'!$G$22</f>
        <v>0</v>
      </c>
      <c r="N20" s="82">
        <f>'2.2.5'!$G$23</f>
        <v>0</v>
      </c>
      <c r="O20" s="82">
        <v>0</v>
      </c>
      <c r="P20" s="82">
        <v>0</v>
      </c>
      <c r="Q20" s="82">
        <f>'2.2.5'!$G$26</f>
        <v>0</v>
      </c>
      <c r="R20" s="82">
        <v>0</v>
      </c>
      <c r="S20" s="83">
        <f>'2.2.5'!$G$28</f>
        <v>929</v>
      </c>
    </row>
    <row r="21" spans="1:19">
      <c r="A21" s="410"/>
      <c r="B21" s="72" t="s">
        <v>117</v>
      </c>
      <c r="C21" s="73">
        <f>'2.3.5'!$G$12</f>
        <v>31</v>
      </c>
      <c r="D21" s="73">
        <f>'2.3.5'!$G$13</f>
        <v>107</v>
      </c>
      <c r="E21" s="73">
        <f>'2.3.5'!$G$14</f>
        <v>0</v>
      </c>
      <c r="F21" s="73">
        <f>'2.3.5'!$G$15</f>
        <v>0</v>
      </c>
      <c r="G21" s="73">
        <f>'2.3.5'!$G$16</f>
        <v>0</v>
      </c>
      <c r="H21" s="73">
        <f>'2.3.5'!$G$17</f>
        <v>0</v>
      </c>
      <c r="I21" s="73">
        <f>'2.3.5'!$G$18</f>
        <v>0</v>
      </c>
      <c r="J21" s="73">
        <f>'2.3.5'!$G$19</f>
        <v>0</v>
      </c>
      <c r="K21" s="73">
        <f>'2.3.5'!$G$20</f>
        <v>0</v>
      </c>
      <c r="L21" s="73">
        <f>'2.3.5'!$G$21</f>
        <v>13</v>
      </c>
      <c r="M21" s="73">
        <f>'2.3.5'!$G$22</f>
        <v>3</v>
      </c>
      <c r="N21" s="73">
        <f>'2.3.5'!$G$23</f>
        <v>2</v>
      </c>
      <c r="O21" s="73">
        <v>0</v>
      </c>
      <c r="P21" s="73">
        <v>0</v>
      </c>
      <c r="Q21" s="73">
        <f>'2.3.5'!$G$26</f>
        <v>0</v>
      </c>
      <c r="R21" s="73">
        <v>0</v>
      </c>
      <c r="S21" s="74">
        <f>'2.3.5'!$G$28</f>
        <v>156</v>
      </c>
    </row>
    <row r="22" spans="1:19">
      <c r="A22" s="410"/>
      <c r="B22" s="75" t="s">
        <v>119</v>
      </c>
      <c r="C22" s="76">
        <f>'2.1.5'!$G$12</f>
        <v>197</v>
      </c>
      <c r="D22" s="76">
        <f>'2.1.5'!$G$13</f>
        <v>332</v>
      </c>
      <c r="E22" s="76">
        <f>'2.1.5'!$G$14</f>
        <v>0</v>
      </c>
      <c r="F22" s="76">
        <f>'2.1.5'!$G$15</f>
        <v>0</v>
      </c>
      <c r="G22" s="76">
        <f>'2.1.5'!$G$16</f>
        <v>0</v>
      </c>
      <c r="H22" s="76">
        <f>'2.1.5'!$G$17</f>
        <v>0</v>
      </c>
      <c r="I22" s="76">
        <f>'2.1.5'!$G$18</f>
        <v>206</v>
      </c>
      <c r="J22" s="76">
        <f>'2.1.5'!$G$19</f>
        <v>0</v>
      </c>
      <c r="K22" s="76">
        <f>'2.1.5'!$G$20</f>
        <v>217</v>
      </c>
      <c r="L22" s="76">
        <f>'2.1.5'!$G$21</f>
        <v>128</v>
      </c>
      <c r="M22" s="76">
        <f>'2.1.5'!$G$22</f>
        <v>3</v>
      </c>
      <c r="N22" s="76">
        <f>'2.1.5'!$G$23</f>
        <v>2</v>
      </c>
      <c r="O22" s="76">
        <v>0</v>
      </c>
      <c r="P22" s="76">
        <v>0</v>
      </c>
      <c r="Q22" s="76">
        <f>'2.1.5'!$G$26</f>
        <v>0</v>
      </c>
      <c r="R22" s="76">
        <v>0</v>
      </c>
      <c r="S22" s="77">
        <f>'2.1.5'!$G$28</f>
        <v>1085</v>
      </c>
    </row>
    <row r="23" spans="1:19" ht="12.75" customHeight="1">
      <c r="A23" s="410" t="s">
        <v>73</v>
      </c>
      <c r="B23" s="81" t="s">
        <v>118</v>
      </c>
      <c r="C23" s="82">
        <f>'2.2.6'!$G$12</f>
        <v>212</v>
      </c>
      <c r="D23" s="82">
        <f>'2.2.6'!$G$13</f>
        <v>295</v>
      </c>
      <c r="E23" s="82">
        <f>'2.2.6'!$G$14</f>
        <v>25</v>
      </c>
      <c r="F23" s="82">
        <f>'2.2.6'!$G$15</f>
        <v>34</v>
      </c>
      <c r="G23" s="82">
        <f>'2.2.6'!$G$16</f>
        <v>2</v>
      </c>
      <c r="H23" s="82">
        <f>'2.2.6'!$G$17</f>
        <v>63</v>
      </c>
      <c r="I23" s="82">
        <f>'2.2.6'!$G$18</f>
        <v>220</v>
      </c>
      <c r="J23" s="82">
        <f>'2.2.6'!$G$19</f>
        <v>52</v>
      </c>
      <c r="K23" s="82">
        <f>'2.2.6'!$G$20</f>
        <v>239</v>
      </c>
      <c r="L23" s="82">
        <f>'2.2.6'!$G$21</f>
        <v>149</v>
      </c>
      <c r="M23" s="82">
        <f>'2.2.6'!$G$22</f>
        <v>58</v>
      </c>
      <c r="N23" s="82">
        <f>'2.2.6'!$G$23</f>
        <v>28</v>
      </c>
      <c r="O23" s="82">
        <f>'2.2.6'!$G$24</f>
        <v>117</v>
      </c>
      <c r="P23" s="82">
        <f>'2.2.6'!$G$25</f>
        <v>27</v>
      </c>
      <c r="Q23" s="82">
        <f>'2.2.6'!$G$26</f>
        <v>71</v>
      </c>
      <c r="R23" s="82">
        <f>'2.2.6'!$G$27</f>
        <v>17</v>
      </c>
      <c r="S23" s="83">
        <f>'2.2.6'!$G$28</f>
        <v>1609</v>
      </c>
    </row>
    <row r="24" spans="1:19">
      <c r="A24" s="410"/>
      <c r="B24" s="72" t="s">
        <v>117</v>
      </c>
      <c r="C24" s="73">
        <f>'2.3.6'!$G$12</f>
        <v>48</v>
      </c>
      <c r="D24" s="73">
        <f>'2.3.6'!$G$13</f>
        <v>63</v>
      </c>
      <c r="E24" s="73">
        <f>'2.3.6'!$G$14</f>
        <v>8</v>
      </c>
      <c r="F24" s="73">
        <f>'2.3.6'!$G$15</f>
        <v>23</v>
      </c>
      <c r="G24" s="73">
        <f>'2.3.6'!$G$16</f>
        <v>0</v>
      </c>
      <c r="H24" s="73">
        <f>'2.3.6'!$G$17</f>
        <v>7</v>
      </c>
      <c r="I24" s="73">
        <f>'2.3.6'!$G$18</f>
        <v>0</v>
      </c>
      <c r="J24" s="73">
        <f>'2.3.6'!$G$19</f>
        <v>14</v>
      </c>
      <c r="K24" s="73">
        <f>'2.3.6'!$G$20</f>
        <v>0</v>
      </c>
      <c r="L24" s="73">
        <f>'2.3.6'!$G$21</f>
        <v>22</v>
      </c>
      <c r="M24" s="73">
        <f>'2.3.6'!$G$22</f>
        <v>17</v>
      </c>
      <c r="N24" s="73">
        <f>'2.3.6'!$G$23</f>
        <v>5</v>
      </c>
      <c r="O24" s="73">
        <f>'2.3.6'!$G$24</f>
        <v>37</v>
      </c>
      <c r="P24" s="73">
        <f>'2.3.6'!$G$25</f>
        <v>0</v>
      </c>
      <c r="Q24" s="73">
        <f>'2.3.6'!$G$26</f>
        <v>0</v>
      </c>
      <c r="R24" s="73">
        <f>'2.3.6'!$G$27</f>
        <v>5</v>
      </c>
      <c r="S24" s="74">
        <f>'2.3.6'!$G$28</f>
        <v>249</v>
      </c>
    </row>
    <row r="25" spans="1:19">
      <c r="A25" s="410"/>
      <c r="B25" s="75" t="s">
        <v>119</v>
      </c>
      <c r="C25" s="76">
        <f>'2.1.6'!$G$12</f>
        <v>260</v>
      </c>
      <c r="D25" s="76">
        <f>'2.1.6'!$G$13</f>
        <v>358</v>
      </c>
      <c r="E25" s="76">
        <f>'2.1.6'!$G$14</f>
        <v>33</v>
      </c>
      <c r="F25" s="76">
        <f>'2.1.6'!$G$15</f>
        <v>57</v>
      </c>
      <c r="G25" s="76">
        <f>'2.1.6'!$G$16</f>
        <v>2</v>
      </c>
      <c r="H25" s="76">
        <f>'2.1.6'!$G$17</f>
        <v>70</v>
      </c>
      <c r="I25" s="76">
        <f>'2.1.6'!$G$18</f>
        <v>220</v>
      </c>
      <c r="J25" s="76">
        <f>'2.1.6'!$G$19</f>
        <v>66</v>
      </c>
      <c r="K25" s="76">
        <f>'2.1.6'!$G$20</f>
        <v>239</v>
      </c>
      <c r="L25" s="76">
        <f>'2.1.6'!$G$21</f>
        <v>171</v>
      </c>
      <c r="M25" s="76">
        <f>'2.1.6'!$G$22</f>
        <v>75</v>
      </c>
      <c r="N25" s="76">
        <f>'2.1.6'!$G$23</f>
        <v>33</v>
      </c>
      <c r="O25" s="76">
        <f>'2.1.6'!$G$24</f>
        <v>154</v>
      </c>
      <c r="P25" s="76">
        <f>'2.1.6'!$G$25</f>
        <v>27</v>
      </c>
      <c r="Q25" s="76">
        <f>'2.1.6'!$G$26</f>
        <v>71</v>
      </c>
      <c r="R25" s="76">
        <f>'2.1.6'!$G$27</f>
        <v>22</v>
      </c>
      <c r="S25" s="77">
        <f>'2.1.6'!$G$28</f>
        <v>1858</v>
      </c>
    </row>
    <row r="26" spans="1:19" ht="12.75" customHeight="1">
      <c r="A26" s="410" t="s">
        <v>127</v>
      </c>
      <c r="B26" s="81" t="s">
        <v>118</v>
      </c>
      <c r="C26" s="82">
        <f>'2.2.7'!$G$12</f>
        <v>434</v>
      </c>
      <c r="D26" s="82">
        <f>'2.2.7'!$G$13</f>
        <v>2</v>
      </c>
      <c r="E26" s="82">
        <f>'2.2.7'!$G$14</f>
        <v>121</v>
      </c>
      <c r="F26" s="82">
        <f>'2.2.7'!$G$15</f>
        <v>19</v>
      </c>
      <c r="G26" s="82">
        <f>'2.2.7'!$G$16</f>
        <v>31</v>
      </c>
      <c r="H26" s="82">
        <f>'2.2.7'!$G$17</f>
        <v>59</v>
      </c>
      <c r="I26" s="82">
        <f>'2.2.7'!$G$18</f>
        <v>98</v>
      </c>
      <c r="J26" s="82">
        <f>'2.2.7'!$G$19</f>
        <v>8</v>
      </c>
      <c r="K26" s="82">
        <f>'2.2.7'!$G$20</f>
        <v>91</v>
      </c>
      <c r="L26" s="82">
        <f>'2.2.7'!$G$21</f>
        <v>301</v>
      </c>
      <c r="M26" s="82">
        <f>'2.2.7'!$G$22</f>
        <v>50</v>
      </c>
      <c r="N26" s="82">
        <f>'2.2.7'!$G$23</f>
        <v>58</v>
      </c>
      <c r="O26" s="82">
        <v>0</v>
      </c>
      <c r="P26" s="82">
        <f>'2.2.7'!$G$25</f>
        <v>22</v>
      </c>
      <c r="Q26" s="82">
        <f>'2.2.7'!$G$26</f>
        <v>277</v>
      </c>
      <c r="R26" s="82">
        <f>'2.2.7'!$G$27</f>
        <v>42</v>
      </c>
      <c r="S26" s="83">
        <f>'2.2.7'!$G$28</f>
        <v>1613</v>
      </c>
    </row>
    <row r="27" spans="1:19">
      <c r="A27" s="410"/>
      <c r="B27" s="72" t="s">
        <v>117</v>
      </c>
      <c r="C27" s="73">
        <f>'2.3.7'!$G$12</f>
        <v>17</v>
      </c>
      <c r="D27" s="73">
        <f>'2.3.7'!$G$13</f>
        <v>0</v>
      </c>
      <c r="E27" s="73">
        <f>'2.3.7'!$G$14</f>
        <v>20</v>
      </c>
      <c r="F27" s="73">
        <f>'2.3.7'!$G$15</f>
        <v>9</v>
      </c>
      <c r="G27" s="73">
        <f>'2.3.7'!$G$16</f>
        <v>1</v>
      </c>
      <c r="H27" s="73">
        <f>'2.3.7'!$G$17</f>
        <v>15</v>
      </c>
      <c r="I27" s="73">
        <f>'2.3.7'!$G$18</f>
        <v>0</v>
      </c>
      <c r="J27" s="73">
        <f>'2.3.7'!$G$19</f>
        <v>12</v>
      </c>
      <c r="K27" s="73">
        <f>'2.3.7'!$G$20</f>
        <v>0</v>
      </c>
      <c r="L27" s="73">
        <f>'2.3.7'!$G$21</f>
        <v>22</v>
      </c>
      <c r="M27" s="73">
        <f>'2.3.7'!$G$22</f>
        <v>1</v>
      </c>
      <c r="N27" s="73">
        <f>'2.3.7'!$G$23</f>
        <v>3</v>
      </c>
      <c r="O27" s="73">
        <v>0</v>
      </c>
      <c r="P27" s="73">
        <f>'2.3.7'!$G$25</f>
        <v>0</v>
      </c>
      <c r="Q27" s="73">
        <f>'2.3.7'!$G$26</f>
        <v>15</v>
      </c>
      <c r="R27" s="73">
        <f>'2.3.7'!$G$27</f>
        <v>21</v>
      </c>
      <c r="S27" s="74">
        <f>'2.3.7'!$G$28</f>
        <v>136</v>
      </c>
    </row>
    <row r="28" spans="1:19">
      <c r="A28" s="410"/>
      <c r="B28" s="75" t="s">
        <v>119</v>
      </c>
      <c r="C28" s="76">
        <f>'2.1.7'!$G$12</f>
        <v>451</v>
      </c>
      <c r="D28" s="76">
        <f>'2.1.7'!$G$13</f>
        <v>2</v>
      </c>
      <c r="E28" s="76">
        <f>'2.1.7'!$G$14</f>
        <v>141</v>
      </c>
      <c r="F28" s="76">
        <f>'2.1.7'!$G$15</f>
        <v>28</v>
      </c>
      <c r="G28" s="76">
        <f>'2.1.7'!$G$16</f>
        <v>32</v>
      </c>
      <c r="H28" s="76">
        <f>'2.1.7'!$G$17</f>
        <v>74</v>
      </c>
      <c r="I28" s="76">
        <f>'2.1.7'!$G$18</f>
        <v>98</v>
      </c>
      <c r="J28" s="76">
        <f>'2.1.7'!$G$19</f>
        <v>20</v>
      </c>
      <c r="K28" s="76">
        <f>'2.1.7'!$G$20</f>
        <v>91</v>
      </c>
      <c r="L28" s="76">
        <f>'2.1.7'!$G$21</f>
        <v>323</v>
      </c>
      <c r="M28" s="76">
        <f>'2.1.7'!$G$22</f>
        <v>51</v>
      </c>
      <c r="N28" s="76">
        <f>'2.1.7'!$G$23</f>
        <v>61</v>
      </c>
      <c r="O28" s="76">
        <v>0</v>
      </c>
      <c r="P28" s="76">
        <f>'2.1.7'!$G$25</f>
        <v>22</v>
      </c>
      <c r="Q28" s="76">
        <f>'2.1.7'!$G$26</f>
        <v>292</v>
      </c>
      <c r="R28" s="76">
        <f>'2.1.7'!$G$27</f>
        <v>63</v>
      </c>
      <c r="S28" s="77">
        <f>'2.1.7'!$G$28</f>
        <v>1749</v>
      </c>
    </row>
    <row r="29" spans="1:19" ht="12.75" customHeight="1">
      <c r="A29" s="412" t="s">
        <v>128</v>
      </c>
      <c r="B29" s="81" t="s">
        <v>118</v>
      </c>
      <c r="C29" s="100">
        <v>0</v>
      </c>
      <c r="D29" s="82">
        <v>0</v>
      </c>
      <c r="E29" s="82">
        <v>0</v>
      </c>
      <c r="F29" s="82">
        <v>0</v>
      </c>
      <c r="G29" s="82">
        <v>0</v>
      </c>
      <c r="H29" s="82">
        <v>0</v>
      </c>
      <c r="I29" s="82">
        <v>0</v>
      </c>
      <c r="J29" s="82">
        <v>0</v>
      </c>
      <c r="K29" s="82">
        <v>0</v>
      </c>
      <c r="L29" s="82">
        <v>0</v>
      </c>
      <c r="M29" s="82">
        <v>0</v>
      </c>
      <c r="N29" s="82">
        <v>0</v>
      </c>
      <c r="O29" s="82">
        <v>0</v>
      </c>
      <c r="P29" s="82">
        <v>0</v>
      </c>
      <c r="Q29" s="82">
        <v>0</v>
      </c>
      <c r="R29" s="82">
        <v>0</v>
      </c>
      <c r="S29" s="83">
        <v>0</v>
      </c>
    </row>
    <row r="30" spans="1:19">
      <c r="A30" s="410"/>
      <c r="B30" s="72" t="s">
        <v>117</v>
      </c>
      <c r="C30" s="73">
        <f>'2.3.8'!$G$12</f>
        <v>20</v>
      </c>
      <c r="D30" s="73">
        <f>'2.3.8'!$G$13</f>
        <v>20</v>
      </c>
      <c r="E30" s="73">
        <f>'2.3.8'!$G$14</f>
        <v>10</v>
      </c>
      <c r="F30" s="73">
        <f>'2.3.8'!$G$15</f>
        <v>5</v>
      </c>
      <c r="G30" s="73">
        <f>'2.3.8'!$G$16</f>
        <v>1</v>
      </c>
      <c r="H30" s="73">
        <f>'2.3.8'!$G$17</f>
        <v>1</v>
      </c>
      <c r="I30" s="73">
        <f>'2.3.8'!$G$18</f>
        <v>0</v>
      </c>
      <c r="J30" s="73">
        <f>'2.3.8'!$G$19</f>
        <v>1</v>
      </c>
      <c r="K30" s="73">
        <f>'2.3.8'!$G$20</f>
        <v>0</v>
      </c>
      <c r="L30" s="73">
        <f>'2.3.8'!$G$21</f>
        <v>43</v>
      </c>
      <c r="M30" s="73">
        <f>'2.3.8'!$G$22</f>
        <v>6</v>
      </c>
      <c r="N30" s="73">
        <f>'2.3.8'!$G$23</f>
        <v>3</v>
      </c>
      <c r="O30" s="73">
        <f>'2.3.8'!$G$24</f>
        <v>6</v>
      </c>
      <c r="P30" s="73">
        <f>'2.3.8'!$G$25</f>
        <v>0</v>
      </c>
      <c r="Q30" s="73">
        <f>'2.3.8'!$G$26</f>
        <v>10</v>
      </c>
      <c r="R30" s="73">
        <f>'2.3.8'!$G$27</f>
        <v>5</v>
      </c>
      <c r="S30" s="74">
        <f>'2.3.8'!$G$28</f>
        <v>131</v>
      </c>
    </row>
    <row r="31" spans="1:19">
      <c r="A31" s="414"/>
      <c r="B31" s="75" t="s">
        <v>119</v>
      </c>
      <c r="C31" s="76">
        <f>'2.1.8'!$G$12</f>
        <v>20</v>
      </c>
      <c r="D31" s="76">
        <f>'2.1.8'!$G$13</f>
        <v>20</v>
      </c>
      <c r="E31" s="76">
        <f>'2.1.8'!$G$14</f>
        <v>10</v>
      </c>
      <c r="F31" s="76">
        <f>'2.1.8'!$G$15</f>
        <v>5</v>
      </c>
      <c r="G31" s="76">
        <f>'2.1.8'!$G$16</f>
        <v>1</v>
      </c>
      <c r="H31" s="76">
        <f>'2.1.8'!$G$17</f>
        <v>1</v>
      </c>
      <c r="I31" s="76">
        <f>'2.1.8'!$G$18</f>
        <v>0</v>
      </c>
      <c r="J31" s="76">
        <f>'2.1.8'!$G$19</f>
        <v>1</v>
      </c>
      <c r="K31" s="76">
        <f>'2.1.8'!$G$20</f>
        <v>0</v>
      </c>
      <c r="L31" s="76">
        <f>'2.1.8'!$G$21</f>
        <v>43</v>
      </c>
      <c r="M31" s="76">
        <f>'2.1.8'!$G$22</f>
        <v>6</v>
      </c>
      <c r="N31" s="76">
        <f>'2.1.8'!$G$23</f>
        <v>3</v>
      </c>
      <c r="O31" s="76">
        <f>'2.1.8'!$G$24</f>
        <v>6</v>
      </c>
      <c r="P31" s="76">
        <f>'2.1.8'!$G$25</f>
        <v>0</v>
      </c>
      <c r="Q31" s="76">
        <f>'2.1.8'!$G$26</f>
        <v>10</v>
      </c>
      <c r="R31" s="76">
        <f>'2.1.8'!$G$27</f>
        <v>5</v>
      </c>
      <c r="S31" s="77">
        <f>'2.1.8'!$G$28</f>
        <v>131</v>
      </c>
    </row>
    <row r="32" spans="1:19" ht="12.75" customHeight="1">
      <c r="A32" s="410" t="s">
        <v>129</v>
      </c>
      <c r="B32" s="81" t="s">
        <v>118</v>
      </c>
      <c r="C32" s="82">
        <f>'2.2.8'!$G$12</f>
        <v>201</v>
      </c>
      <c r="D32" s="82">
        <f>'2.2.8'!$G$13</f>
        <v>145</v>
      </c>
      <c r="E32" s="82">
        <f>'2.2.8'!$G$14</f>
        <v>50</v>
      </c>
      <c r="F32" s="82">
        <f>'2.2.8'!$G$15</f>
        <v>58</v>
      </c>
      <c r="G32" s="82">
        <f>'2.2.8'!$G$16</f>
        <v>0</v>
      </c>
      <c r="H32" s="82">
        <f>'2.2.8'!$G$17</f>
        <v>26</v>
      </c>
      <c r="I32" s="82">
        <f>'2.2.8'!$G$18</f>
        <v>157</v>
      </c>
      <c r="J32" s="82">
        <f>'2.2.8'!$G$19</f>
        <v>22</v>
      </c>
      <c r="K32" s="82">
        <f>'2.2.8'!$G$20</f>
        <v>135</v>
      </c>
      <c r="L32" s="82">
        <f>'2.2.8'!$G$21</f>
        <v>351</v>
      </c>
      <c r="M32" s="82">
        <f>'2.2.8'!$G$22</f>
        <v>106</v>
      </c>
      <c r="N32" s="82">
        <f>'2.2.8'!$G$23</f>
        <v>25</v>
      </c>
      <c r="O32" s="82">
        <f>'2.2.8'!$G$24</f>
        <v>135</v>
      </c>
      <c r="P32" s="82">
        <f>'2.2.8'!$G$25</f>
        <v>94</v>
      </c>
      <c r="Q32" s="82">
        <f>'2.2.8'!$G$26</f>
        <v>59</v>
      </c>
      <c r="R32" s="82">
        <f>'2.2.8'!$G$27</f>
        <v>56</v>
      </c>
      <c r="S32" s="83">
        <f>'2.2.8'!$G$28</f>
        <v>1620</v>
      </c>
    </row>
    <row r="33" spans="1:19">
      <c r="A33" s="410"/>
      <c r="B33" s="72" t="s">
        <v>117</v>
      </c>
      <c r="C33" s="73">
        <f>'2.3.9'!$G$12</f>
        <v>103</v>
      </c>
      <c r="D33" s="73">
        <f>'2.3.9'!$G$13</f>
        <v>158</v>
      </c>
      <c r="E33" s="73">
        <f>'2.3.9'!$G$14</f>
        <v>3</v>
      </c>
      <c r="F33" s="73">
        <f>'2.3.9'!$G$15</f>
        <v>12</v>
      </c>
      <c r="G33" s="73">
        <f>'2.3.9'!$G$16</f>
        <v>0</v>
      </c>
      <c r="H33" s="73">
        <f>'2.3.9'!$G$17</f>
        <v>5</v>
      </c>
      <c r="I33" s="73">
        <f>'2.3.9'!$G$18</f>
        <v>0</v>
      </c>
      <c r="J33" s="73">
        <f>'2.3.9'!$G$19</f>
        <v>4</v>
      </c>
      <c r="K33" s="73">
        <f>'2.3.9'!$G$20</f>
        <v>0</v>
      </c>
      <c r="L33" s="73">
        <f>'2.3.9'!$G$21</f>
        <v>74</v>
      </c>
      <c r="M33" s="73">
        <f>'2.3.9'!$G$22</f>
        <v>20</v>
      </c>
      <c r="N33" s="73">
        <f>'2.3.9'!$G$23</f>
        <v>4</v>
      </c>
      <c r="O33" s="73">
        <f>'2.3.9'!$G$24</f>
        <v>5</v>
      </c>
      <c r="P33" s="73">
        <f>'2.3.9'!$G$25</f>
        <v>0</v>
      </c>
      <c r="Q33" s="73">
        <f>'2.3.9'!$G$26</f>
        <v>8</v>
      </c>
      <c r="R33" s="73">
        <f>'2.3.9'!$G$27</f>
        <v>24</v>
      </c>
      <c r="S33" s="74">
        <f>'2.3.9'!$G$28</f>
        <v>420</v>
      </c>
    </row>
    <row r="34" spans="1:19" ht="13.5" thickBot="1">
      <c r="A34" s="420"/>
      <c r="B34" s="84" t="s">
        <v>119</v>
      </c>
      <c r="C34" s="85">
        <f>'2.1.9'!$G$12</f>
        <v>304</v>
      </c>
      <c r="D34" s="85">
        <f>'2.1.9'!$G$13</f>
        <v>303</v>
      </c>
      <c r="E34" s="85">
        <f>'2.1.9'!$G$14</f>
        <v>53</v>
      </c>
      <c r="F34" s="85">
        <f>'2.1.9'!$G$15</f>
        <v>70</v>
      </c>
      <c r="G34" s="85">
        <f>'2.1.9'!$G$16</f>
        <v>0</v>
      </c>
      <c r="H34" s="85">
        <f>'2.1.9'!$G$17</f>
        <v>31</v>
      </c>
      <c r="I34" s="85">
        <f>'2.1.9'!$G$18</f>
        <v>157</v>
      </c>
      <c r="J34" s="85">
        <f>'2.1.9'!$G$19</f>
        <v>26</v>
      </c>
      <c r="K34" s="85">
        <f>'2.1.9'!$G$20</f>
        <v>135</v>
      </c>
      <c r="L34" s="85">
        <f>'2.1.9'!$G$21</f>
        <v>425</v>
      </c>
      <c r="M34" s="85">
        <f>'2.1.9'!$G$22</f>
        <v>126</v>
      </c>
      <c r="N34" s="85">
        <f>'2.1.9'!$G$23</f>
        <v>29</v>
      </c>
      <c r="O34" s="85">
        <f>'2.1.9'!$G$24</f>
        <v>140</v>
      </c>
      <c r="P34" s="85">
        <f>'2.1.9'!$G$25</f>
        <v>94</v>
      </c>
      <c r="Q34" s="85">
        <f>'2.1.9'!$G$26</f>
        <v>67</v>
      </c>
      <c r="R34" s="85">
        <f>'2.1.9'!$G$27</f>
        <v>80</v>
      </c>
      <c r="S34" s="86">
        <f>'2.1.9'!$G$28</f>
        <v>2040</v>
      </c>
    </row>
    <row r="35" spans="1:19" ht="13.5" thickTop="1">
      <c r="A35" s="87"/>
      <c r="B35" s="66"/>
      <c r="C35" s="66"/>
      <c r="D35" s="66"/>
      <c r="E35" s="66"/>
      <c r="F35" s="66"/>
      <c r="G35" s="66"/>
      <c r="H35" s="66"/>
      <c r="I35" s="66"/>
      <c r="J35" s="66"/>
      <c r="K35" s="66"/>
      <c r="L35" s="66"/>
      <c r="M35" s="66"/>
      <c r="N35" s="66"/>
      <c r="O35" s="66"/>
      <c r="P35" s="66"/>
      <c r="Q35" s="66"/>
      <c r="R35" s="66"/>
      <c r="S35" s="66"/>
    </row>
    <row r="36" spans="1:19">
      <c r="A36" s="421" t="s">
        <v>130</v>
      </c>
      <c r="B36" s="421"/>
      <c r="C36" s="421"/>
      <c r="D36" s="421"/>
      <c r="E36" s="421"/>
      <c r="F36" s="421"/>
      <c r="G36" s="421"/>
      <c r="H36" s="421"/>
      <c r="I36" s="421"/>
      <c r="J36" s="421"/>
      <c r="K36" s="421"/>
      <c r="L36" s="421"/>
      <c r="M36" s="421"/>
      <c r="N36" s="421"/>
      <c r="O36" s="421"/>
      <c r="P36" s="421"/>
      <c r="Q36" s="421"/>
      <c r="R36" s="421"/>
      <c r="S36" s="421"/>
    </row>
    <row r="37" spans="1:19" ht="13.5" thickBot="1"/>
    <row r="38" spans="1:19" ht="14.25" thickTop="1" thickBot="1">
      <c r="A38" s="67"/>
      <c r="B38" s="68"/>
      <c r="C38" s="64" t="s">
        <v>80</v>
      </c>
      <c r="D38" s="64" t="s">
        <v>81</v>
      </c>
      <c r="E38" s="64" t="s">
        <v>82</v>
      </c>
      <c r="F38" s="64" t="s">
        <v>83</v>
      </c>
      <c r="G38" s="64" t="s">
        <v>84</v>
      </c>
      <c r="H38" s="64" t="s">
        <v>120</v>
      </c>
      <c r="I38" s="64" t="s">
        <v>86</v>
      </c>
      <c r="J38" s="64" t="s">
        <v>121</v>
      </c>
      <c r="K38" s="64" t="s">
        <v>88</v>
      </c>
      <c r="L38" s="64" t="s">
        <v>89</v>
      </c>
      <c r="M38" s="64" t="s">
        <v>90</v>
      </c>
      <c r="N38" s="64" t="s">
        <v>122</v>
      </c>
      <c r="O38" s="64" t="s">
        <v>92</v>
      </c>
      <c r="P38" s="64" t="s">
        <v>93</v>
      </c>
      <c r="Q38" s="64" t="s">
        <v>94</v>
      </c>
      <c r="R38" s="101" t="s">
        <v>95</v>
      </c>
      <c r="S38" s="65" t="s">
        <v>96</v>
      </c>
    </row>
    <row r="39" spans="1:19" ht="13.5" thickTop="1">
      <c r="A39" s="417" t="s">
        <v>79</v>
      </c>
      <c r="B39" s="69" t="s">
        <v>118</v>
      </c>
      <c r="C39" s="70">
        <f>C42+C45+C48+C51+C54+C57+C60+C63+C66</f>
        <v>1942</v>
      </c>
      <c r="D39" s="70">
        <f>D42+D45+D48+D51+D54+D57+D60+D63+D66</f>
        <v>2914</v>
      </c>
      <c r="E39" s="70">
        <f t="shared" ref="E39:R39" si="3">E42+E45+E48+E51+E54+E57+E60+E63+E66</f>
        <v>918</v>
      </c>
      <c r="F39" s="70">
        <f t="shared" si="3"/>
        <v>603</v>
      </c>
      <c r="G39" s="70">
        <f t="shared" si="3"/>
        <v>79</v>
      </c>
      <c r="H39" s="70">
        <f t="shared" si="3"/>
        <v>342</v>
      </c>
      <c r="I39" s="70">
        <f t="shared" si="3"/>
        <v>1578</v>
      </c>
      <c r="J39" s="70">
        <f t="shared" si="3"/>
        <v>214</v>
      </c>
      <c r="K39" s="70">
        <f t="shared" si="3"/>
        <v>2223</v>
      </c>
      <c r="L39" s="70">
        <f t="shared" si="3"/>
        <v>3833</v>
      </c>
      <c r="M39" s="70">
        <f t="shared" si="3"/>
        <v>1032</v>
      </c>
      <c r="N39" s="70">
        <f t="shared" si="3"/>
        <v>263</v>
      </c>
      <c r="O39" s="70">
        <f t="shared" si="3"/>
        <v>1271</v>
      </c>
      <c r="P39" s="70">
        <f t="shared" si="3"/>
        <v>515</v>
      </c>
      <c r="Q39" s="70">
        <f t="shared" si="3"/>
        <v>840</v>
      </c>
      <c r="R39" s="70">
        <f t="shared" si="3"/>
        <v>594</v>
      </c>
      <c r="S39" s="71">
        <f>SUM(C39:R39)</f>
        <v>19161</v>
      </c>
    </row>
    <row r="40" spans="1:19">
      <c r="A40" s="418"/>
      <c r="B40" s="72" t="s">
        <v>117</v>
      </c>
      <c r="C40" s="73">
        <f>C43+C46+C49+C52+C55+C58+C61+C64+C67</f>
        <v>251</v>
      </c>
      <c r="D40" s="73">
        <f>D43+D46+D49+D52+D55+D58+D61+D64+D67</f>
        <v>547</v>
      </c>
      <c r="E40" s="73">
        <f t="shared" ref="E40:R40" si="4">E43+E46+E49+E52+E55+E58+E61+E64+E67</f>
        <v>137</v>
      </c>
      <c r="F40" s="73">
        <f t="shared" si="4"/>
        <v>167</v>
      </c>
      <c r="G40" s="73">
        <f t="shared" si="4"/>
        <v>8</v>
      </c>
      <c r="H40" s="73">
        <f t="shared" si="4"/>
        <v>54</v>
      </c>
      <c r="I40" s="73">
        <f t="shared" si="4"/>
        <v>0</v>
      </c>
      <c r="J40" s="73">
        <f t="shared" si="4"/>
        <v>57</v>
      </c>
      <c r="K40" s="73">
        <f t="shared" si="4"/>
        <v>0</v>
      </c>
      <c r="L40" s="73">
        <f t="shared" si="4"/>
        <v>228</v>
      </c>
      <c r="M40" s="73">
        <f t="shared" si="4"/>
        <v>73</v>
      </c>
      <c r="N40" s="73">
        <f t="shared" si="4"/>
        <v>25</v>
      </c>
      <c r="O40" s="73">
        <f t="shared" si="4"/>
        <v>187</v>
      </c>
      <c r="P40" s="73">
        <f t="shared" si="4"/>
        <v>0</v>
      </c>
      <c r="Q40" s="73">
        <f t="shared" si="4"/>
        <v>48</v>
      </c>
      <c r="R40" s="73">
        <f t="shared" si="4"/>
        <v>92</v>
      </c>
      <c r="S40" s="74">
        <f t="shared" ref="S40:S68" si="5">SUM(C40:R40)</f>
        <v>1874</v>
      </c>
    </row>
    <row r="41" spans="1:19">
      <c r="A41" s="419"/>
      <c r="B41" s="78" t="s">
        <v>119</v>
      </c>
      <c r="C41" s="79">
        <f t="shared" ref="C41:R41" si="6">C44+C47+C50+C53+C56+C59+C62+C65+C68</f>
        <v>2193</v>
      </c>
      <c r="D41" s="79">
        <f t="shared" si="6"/>
        <v>3461</v>
      </c>
      <c r="E41" s="79">
        <f t="shared" si="6"/>
        <v>1055</v>
      </c>
      <c r="F41" s="79">
        <f t="shared" si="6"/>
        <v>770</v>
      </c>
      <c r="G41" s="79">
        <f t="shared" si="6"/>
        <v>87</v>
      </c>
      <c r="H41" s="79">
        <f t="shared" si="6"/>
        <v>396</v>
      </c>
      <c r="I41" s="79">
        <f t="shared" si="6"/>
        <v>1578</v>
      </c>
      <c r="J41" s="79">
        <f t="shared" si="6"/>
        <v>271</v>
      </c>
      <c r="K41" s="79">
        <f t="shared" si="6"/>
        <v>2223</v>
      </c>
      <c r="L41" s="79">
        <f t="shared" si="6"/>
        <v>4061</v>
      </c>
      <c r="M41" s="79">
        <f t="shared" si="6"/>
        <v>1105</v>
      </c>
      <c r="N41" s="79">
        <f t="shared" si="6"/>
        <v>288</v>
      </c>
      <c r="O41" s="79">
        <f t="shared" si="6"/>
        <v>1458</v>
      </c>
      <c r="P41" s="79">
        <f t="shared" si="6"/>
        <v>515</v>
      </c>
      <c r="Q41" s="79">
        <f t="shared" si="6"/>
        <v>888</v>
      </c>
      <c r="R41" s="79">
        <f t="shared" si="6"/>
        <v>686</v>
      </c>
      <c r="S41" s="80">
        <f t="shared" si="5"/>
        <v>21035</v>
      </c>
    </row>
    <row r="42" spans="1:19" ht="14.25" customHeight="1">
      <c r="A42" s="410" t="s">
        <v>124</v>
      </c>
      <c r="B42" s="81" t="s">
        <v>118</v>
      </c>
      <c r="C42" s="82">
        <f>[5]GtS!$D$9</f>
        <v>548</v>
      </c>
      <c r="D42" s="82">
        <f>[10]GtS!$D$9</f>
        <v>1506</v>
      </c>
      <c r="E42" s="82">
        <f>[15]GtS!$D$9</f>
        <v>366</v>
      </c>
      <c r="F42" s="82">
        <f>[20]GtS!$D$9</f>
        <v>198</v>
      </c>
      <c r="G42" s="82">
        <f>[25]GtS!$D$9</f>
        <v>46</v>
      </c>
      <c r="H42" s="82">
        <f>[30]GtS!$D$9</f>
        <v>190</v>
      </c>
      <c r="I42" s="82">
        <f>[70]GtS!$D$9</f>
        <v>564</v>
      </c>
      <c r="J42" s="82">
        <f>[35]GtS!$D$9</f>
        <v>0</v>
      </c>
      <c r="K42" s="82">
        <f>[75]GtS!$D$9</f>
        <v>958</v>
      </c>
      <c r="L42" s="82">
        <f>[40]GtS!$D$9</f>
        <v>2570</v>
      </c>
      <c r="M42" s="82">
        <f>[45]GtS!$D$9</f>
        <v>679</v>
      </c>
      <c r="N42" s="82">
        <f>[50]GtS!$D$9</f>
        <v>152</v>
      </c>
      <c r="O42" s="82">
        <f>[55]GtS!$D$9</f>
        <v>746</v>
      </c>
      <c r="P42" s="82">
        <f>[80]GtS!$D$9</f>
        <v>311</v>
      </c>
      <c r="Q42" s="82">
        <f>[60]GtS!$D$9</f>
        <v>376</v>
      </c>
      <c r="R42" s="82">
        <f>[65]GtS!$D$9</f>
        <v>413</v>
      </c>
      <c r="S42" s="83">
        <f t="shared" si="5"/>
        <v>9623</v>
      </c>
    </row>
    <row r="43" spans="1:19">
      <c r="A43" s="410"/>
      <c r="B43" s="72" t="s">
        <v>117</v>
      </c>
      <c r="C43" s="73">
        <f>[5]GtS!$D$53</f>
        <v>22</v>
      </c>
      <c r="D43" s="73">
        <f>[10]GtS!$D$53</f>
        <v>114</v>
      </c>
      <c r="E43" s="73">
        <f>[15]GtS!$D$53</f>
        <v>49</v>
      </c>
      <c r="F43" s="73">
        <f>[20]GtS!$D$53</f>
        <v>50</v>
      </c>
      <c r="G43" s="73">
        <f>[25]GtS!$D$53</f>
        <v>6</v>
      </c>
      <c r="H43" s="73">
        <f>[30]GtS!$D$53</f>
        <v>25</v>
      </c>
      <c r="I43" s="73">
        <f>[70]GtS!$D$53</f>
        <v>0</v>
      </c>
      <c r="J43" s="73">
        <f>[35]GtS!$D$53</f>
        <v>0</v>
      </c>
      <c r="K43" s="73">
        <f>[75]GtS!$D$53</f>
        <v>0</v>
      </c>
      <c r="L43" s="73">
        <f>[40]GtS!$D$53</f>
        <v>42</v>
      </c>
      <c r="M43" s="73">
        <f>[45]GtS!$D$53</f>
        <v>19</v>
      </c>
      <c r="N43" s="73">
        <f>[50]GtS!$D$53</f>
        <v>7</v>
      </c>
      <c r="O43" s="73">
        <f>[55]GtS!$D$53</f>
        <v>75</v>
      </c>
      <c r="P43" s="73">
        <f>[80]GtS!$D$53</f>
        <v>0</v>
      </c>
      <c r="Q43" s="73">
        <f>[60]GtS!$D$53</f>
        <v>15</v>
      </c>
      <c r="R43" s="73">
        <f>[65]GtS!$D$53</f>
        <v>30</v>
      </c>
      <c r="S43" s="74">
        <f t="shared" si="5"/>
        <v>454</v>
      </c>
    </row>
    <row r="44" spans="1:19">
      <c r="A44" s="410"/>
      <c r="B44" s="75" t="s">
        <v>119</v>
      </c>
      <c r="C44" s="76">
        <f>[5]GtS!$D$97</f>
        <v>570</v>
      </c>
      <c r="D44" s="76">
        <f>[10]GtS!$D$97</f>
        <v>1620</v>
      </c>
      <c r="E44" s="76">
        <f>[15]GtS!$D$97</f>
        <v>415</v>
      </c>
      <c r="F44" s="76">
        <f>[20]GtS!$D$97</f>
        <v>248</v>
      </c>
      <c r="G44" s="76">
        <f>[25]GtS!$D$97</f>
        <v>52</v>
      </c>
      <c r="H44" s="76">
        <f>[30]GtS!$D$97</f>
        <v>215</v>
      </c>
      <c r="I44" s="76">
        <f>[70]GtS!$D$97</f>
        <v>564</v>
      </c>
      <c r="J44" s="76">
        <f>[35]GtS!$D$97</f>
        <v>0</v>
      </c>
      <c r="K44" s="76">
        <f>[75]GtS!$D$97</f>
        <v>958</v>
      </c>
      <c r="L44" s="76">
        <f>[40]GtS!$D$97</f>
        <v>2612</v>
      </c>
      <c r="M44" s="76">
        <f>[45]GtS!$D$97</f>
        <v>698</v>
      </c>
      <c r="N44" s="76">
        <f>[50]GtS!$D$97</f>
        <v>159</v>
      </c>
      <c r="O44" s="76">
        <f>[55]GtS!$D$97</f>
        <v>821</v>
      </c>
      <c r="P44" s="76">
        <f>[80]GtS!$D$97</f>
        <v>311</v>
      </c>
      <c r="Q44" s="76">
        <f>[60]GtS!$D$97</f>
        <v>391</v>
      </c>
      <c r="R44" s="76">
        <f>[65]GtS!$D$97</f>
        <v>443</v>
      </c>
      <c r="S44" s="77">
        <f t="shared" si="5"/>
        <v>10077</v>
      </c>
    </row>
    <row r="45" spans="1:19" ht="14.25" customHeight="1">
      <c r="A45" s="410" t="s">
        <v>9</v>
      </c>
      <c r="B45" s="81" t="s">
        <v>118</v>
      </c>
      <c r="C45" s="82">
        <f>[5]GtS!$D$10</f>
        <v>1</v>
      </c>
      <c r="D45" s="82">
        <f>[10]GtS!$D$10</f>
        <v>1</v>
      </c>
      <c r="E45" s="82">
        <f>[15]GtS!$D$10</f>
        <v>356</v>
      </c>
      <c r="F45" s="82">
        <f>[20]GtS!$D$10</f>
        <v>200</v>
      </c>
      <c r="G45" s="82">
        <f>[25]GtS!$D$10</f>
        <v>0</v>
      </c>
      <c r="H45" s="82">
        <f>[30]GtS!$D$10</f>
        <v>4</v>
      </c>
      <c r="I45" s="82">
        <f>[70]GtS!$D$10</f>
        <v>113</v>
      </c>
      <c r="J45" s="82">
        <f>[35]GtS!$D$10</f>
        <v>0</v>
      </c>
      <c r="K45" s="82">
        <f>[75]GtS!$D$10</f>
        <v>0</v>
      </c>
      <c r="L45" s="82">
        <f>[40]GtS!$D$10</f>
        <v>0</v>
      </c>
      <c r="M45" s="82">
        <f>[45]GtS!$D$10</f>
        <v>0</v>
      </c>
      <c r="N45" s="82">
        <f>[50]GtS!$D$10</f>
        <v>0</v>
      </c>
      <c r="O45" s="82">
        <f>[55]GtS!$D$10</f>
        <v>0</v>
      </c>
      <c r="P45" s="82">
        <f>[80]GtS!$D$10</f>
        <v>0</v>
      </c>
      <c r="Q45" s="82">
        <f>[60]GtS!$D$10</f>
        <v>0</v>
      </c>
      <c r="R45" s="82">
        <f>[65]GtS!$D$10</f>
        <v>0</v>
      </c>
      <c r="S45" s="83">
        <f t="shared" si="5"/>
        <v>675</v>
      </c>
    </row>
    <row r="46" spans="1:19">
      <c r="A46" s="410"/>
      <c r="B46" s="72" t="s">
        <v>117</v>
      </c>
      <c r="C46" s="73">
        <f>[5]GtS!$D$54</f>
        <v>0</v>
      </c>
      <c r="D46" s="73">
        <f>[10]GtS!$D$54</f>
        <v>0</v>
      </c>
      <c r="E46" s="73">
        <f>[15]GtS!$D$54</f>
        <v>47</v>
      </c>
      <c r="F46" s="73">
        <f>[20]GtS!$D$54</f>
        <v>49</v>
      </c>
      <c r="G46" s="73">
        <f>[25]GtS!$D$54</f>
        <v>0</v>
      </c>
      <c r="H46" s="73">
        <f>[30]GtS!$D$54</f>
        <v>1</v>
      </c>
      <c r="I46" s="73">
        <f>[70]GtS!$D$54</f>
        <v>0</v>
      </c>
      <c r="J46" s="73">
        <f>[35]GtS!$D$54</f>
        <v>0</v>
      </c>
      <c r="K46" s="73">
        <f>[75]GtS!$D$54</f>
        <v>0</v>
      </c>
      <c r="L46" s="73">
        <f>[40]GtS!$D$54</f>
        <v>0</v>
      </c>
      <c r="M46" s="73">
        <f>[45]GtS!$D$54</f>
        <v>0</v>
      </c>
      <c r="N46" s="73">
        <f>[50]GtS!$D$54</f>
        <v>0</v>
      </c>
      <c r="O46" s="73">
        <f>[55]GtS!$D$54</f>
        <v>0</v>
      </c>
      <c r="P46" s="73">
        <f>[80]GtS!$D$54</f>
        <v>0</v>
      </c>
      <c r="Q46" s="73">
        <f>[60]GtS!$D$54</f>
        <v>0</v>
      </c>
      <c r="R46" s="73">
        <f>[65]GtS!$D$54</f>
        <v>0</v>
      </c>
      <c r="S46" s="74">
        <f t="shared" si="5"/>
        <v>97</v>
      </c>
    </row>
    <row r="47" spans="1:19">
      <c r="A47" s="410"/>
      <c r="B47" s="75" t="s">
        <v>119</v>
      </c>
      <c r="C47" s="76">
        <f>[5]GtS!$D$98</f>
        <v>1</v>
      </c>
      <c r="D47" s="76">
        <f>[10]GtS!$D$98</f>
        <v>1</v>
      </c>
      <c r="E47" s="76">
        <f>[15]GtS!$D$98</f>
        <v>403</v>
      </c>
      <c r="F47" s="76">
        <f>[20]GtS!$D$98</f>
        <v>249</v>
      </c>
      <c r="G47" s="76">
        <f>[25]GtS!$D$98</f>
        <v>0</v>
      </c>
      <c r="H47" s="76">
        <f>[30]GtS!$D$98</f>
        <v>5</v>
      </c>
      <c r="I47" s="76">
        <f>[70]GtS!$D$98</f>
        <v>113</v>
      </c>
      <c r="J47" s="76">
        <f>[35]GtS!$D$98</f>
        <v>0</v>
      </c>
      <c r="K47" s="76">
        <f>[75]GtS!$D$98</f>
        <v>0</v>
      </c>
      <c r="L47" s="76">
        <f>[40]GtS!$D$98</f>
        <v>0</v>
      </c>
      <c r="M47" s="76">
        <f>[45]GtS!$D$98</f>
        <v>0</v>
      </c>
      <c r="N47" s="76">
        <f>[50]GtS!$D$98</f>
        <v>0</v>
      </c>
      <c r="O47" s="76">
        <f>[55]GtS!$D$98</f>
        <v>0</v>
      </c>
      <c r="P47" s="76">
        <f>[80]GtS!$D$98</f>
        <v>0</v>
      </c>
      <c r="Q47" s="76">
        <f>[60]GtS!$D$98</f>
        <v>0</v>
      </c>
      <c r="R47" s="76">
        <f>[65]GtS!$D$98</f>
        <v>0</v>
      </c>
      <c r="S47" s="77">
        <f t="shared" si="5"/>
        <v>772</v>
      </c>
    </row>
    <row r="48" spans="1:19" ht="14.25" customHeight="1">
      <c r="A48" s="410" t="s">
        <v>125</v>
      </c>
      <c r="B48" s="81" t="s">
        <v>118</v>
      </c>
      <c r="C48" s="82">
        <f>[5]GtS!$D$11</f>
        <v>380</v>
      </c>
      <c r="D48" s="82">
        <f>[10]GtS!$D$11</f>
        <v>740</v>
      </c>
      <c r="E48" s="82">
        <f>[15]GtS!$D$11</f>
        <v>0</v>
      </c>
      <c r="F48" s="82">
        <f>[20]GtS!$D$11</f>
        <v>0</v>
      </c>
      <c r="G48" s="82">
        <f>[25]GtS!$D$11</f>
        <v>0</v>
      </c>
      <c r="H48" s="82">
        <f>[30]GtS!$D$11</f>
        <v>0</v>
      </c>
      <c r="I48" s="82">
        <f>[70]GtS!$D$11</f>
        <v>201</v>
      </c>
      <c r="J48" s="82">
        <f>[35]GtS!$D$11</f>
        <v>0</v>
      </c>
      <c r="K48" s="82">
        <f>[75]GtS!$D$11</f>
        <v>224</v>
      </c>
      <c r="L48" s="82">
        <f>[40]GtS!$D$11</f>
        <v>232</v>
      </c>
      <c r="M48" s="82">
        <f>[45]GtS!$D$11</f>
        <v>0</v>
      </c>
      <c r="N48" s="82">
        <f>[50]GtS!$D$11</f>
        <v>0</v>
      </c>
      <c r="O48" s="82">
        <f>[55]GtS!$D$11</f>
        <v>0</v>
      </c>
      <c r="P48" s="82">
        <f>[80]GtS!$D$11</f>
        <v>0</v>
      </c>
      <c r="Q48" s="82">
        <f>[60]GtS!$D$11</f>
        <v>0</v>
      </c>
      <c r="R48" s="82">
        <f>[65]GtS!$D$11</f>
        <v>0</v>
      </c>
      <c r="S48" s="83">
        <f t="shared" si="5"/>
        <v>1777</v>
      </c>
    </row>
    <row r="49" spans="1:19">
      <c r="A49" s="410"/>
      <c r="B49" s="72" t="s">
        <v>117</v>
      </c>
      <c r="C49" s="73">
        <f>[5]GtS!$D$55</f>
        <v>10</v>
      </c>
      <c r="D49" s="73">
        <f>[10]GtS!$D$55</f>
        <v>85</v>
      </c>
      <c r="E49" s="73">
        <f>[15]GtS!$D$55</f>
        <v>0</v>
      </c>
      <c r="F49" s="73">
        <f>[20]GtS!$D$55</f>
        <v>0</v>
      </c>
      <c r="G49" s="73">
        <f>[25]GtS!$D$55</f>
        <v>0</v>
      </c>
      <c r="H49" s="73">
        <f>[30]GtS!$D$55</f>
        <v>0</v>
      </c>
      <c r="I49" s="73">
        <f>[70]GtS!$D$55</f>
        <v>0</v>
      </c>
      <c r="J49" s="73">
        <f>[35]GtS!$D$55</f>
        <v>0</v>
      </c>
      <c r="K49" s="73">
        <f>[75]GtS!$D$55</f>
        <v>0</v>
      </c>
      <c r="L49" s="73">
        <f>[40]GtS!$D$55</f>
        <v>3</v>
      </c>
      <c r="M49" s="73">
        <f>[45]GtS!$D$55</f>
        <v>2</v>
      </c>
      <c r="N49" s="73">
        <f>[50]GtS!$D$55</f>
        <v>0</v>
      </c>
      <c r="O49" s="73">
        <f>[55]GtS!$D$55</f>
        <v>0</v>
      </c>
      <c r="P49" s="73">
        <f>[80]GtS!$D$55</f>
        <v>0</v>
      </c>
      <c r="Q49" s="73">
        <f>[60]GtS!$D$55</f>
        <v>0</v>
      </c>
      <c r="R49" s="73">
        <f>[65]GtS!$D$55</f>
        <v>0</v>
      </c>
      <c r="S49" s="74">
        <f t="shared" si="5"/>
        <v>100</v>
      </c>
    </row>
    <row r="50" spans="1:19">
      <c r="A50" s="410"/>
      <c r="B50" s="75" t="s">
        <v>119</v>
      </c>
      <c r="C50" s="76">
        <f>[5]GtS!$D$99</f>
        <v>390</v>
      </c>
      <c r="D50" s="76">
        <f>[10]GtS!$D$99</f>
        <v>825</v>
      </c>
      <c r="E50" s="76">
        <f>[15]GtS!$D$99</f>
        <v>0</v>
      </c>
      <c r="F50" s="76">
        <f>[20]GtS!$D$99</f>
        <v>0</v>
      </c>
      <c r="G50" s="76">
        <f>[25]GtS!$D$99</f>
        <v>0</v>
      </c>
      <c r="H50" s="76">
        <f>[30]GtS!$D$99</f>
        <v>0</v>
      </c>
      <c r="I50" s="76">
        <f>[70]GtS!$D$99</f>
        <v>201</v>
      </c>
      <c r="J50" s="76">
        <f>[35]GtS!$D$99</f>
        <v>0</v>
      </c>
      <c r="K50" s="76">
        <f>[75]GtS!$D$99</f>
        <v>224</v>
      </c>
      <c r="L50" s="76">
        <f>[40]GtS!$D$99</f>
        <v>235</v>
      </c>
      <c r="M50" s="76">
        <f>[45]GtS!$D$99</f>
        <v>2</v>
      </c>
      <c r="N50" s="76">
        <f>[50]GtS!$D$99</f>
        <v>0</v>
      </c>
      <c r="O50" s="76">
        <f>[55]GtS!$D$99</f>
        <v>0</v>
      </c>
      <c r="P50" s="76">
        <f>[80]GtS!$D$99</f>
        <v>0</v>
      </c>
      <c r="Q50" s="76">
        <f>[60]GtS!$D$99</f>
        <v>0</v>
      </c>
      <c r="R50" s="76">
        <f>[65]GtS!$D$99</f>
        <v>0</v>
      </c>
      <c r="S50" s="77">
        <f t="shared" si="5"/>
        <v>1877</v>
      </c>
    </row>
    <row r="51" spans="1:19" ht="14.25" customHeight="1">
      <c r="A51" s="410" t="s">
        <v>126</v>
      </c>
      <c r="B51" s="81" t="s">
        <v>118</v>
      </c>
      <c r="C51" s="82">
        <f>[5]GtS!$D$12</f>
        <v>0</v>
      </c>
      <c r="D51" s="82">
        <f>[10]GtS!$D$12</f>
        <v>0</v>
      </c>
      <c r="E51" s="82">
        <f>[15]GtS!$D$12</f>
        <v>0</v>
      </c>
      <c r="F51" s="82">
        <f>[20]GtS!$D$12</f>
        <v>94</v>
      </c>
      <c r="G51" s="82">
        <f>[25]GtS!$D$12</f>
        <v>0</v>
      </c>
      <c r="H51" s="82">
        <f>[30]GtS!$D$12</f>
        <v>0</v>
      </c>
      <c r="I51" s="82">
        <f>[70]GtS!$D$12</f>
        <v>19</v>
      </c>
      <c r="J51" s="82">
        <f>[35]GtS!$D$12</f>
        <v>132</v>
      </c>
      <c r="K51" s="82">
        <f>[75]GtS!$D$12</f>
        <v>359</v>
      </c>
      <c r="L51" s="82">
        <f>[40]GtS!$D$12</f>
        <v>115</v>
      </c>
      <c r="M51" s="82">
        <f>[45]GtS!$D$12</f>
        <v>139</v>
      </c>
      <c r="N51" s="82">
        <f>[50]GtS!$D$12</f>
        <v>0</v>
      </c>
      <c r="O51" s="82">
        <f>[55]GtS!$D$12</f>
        <v>273</v>
      </c>
      <c r="P51" s="82">
        <f>[80]GtS!$D$12</f>
        <v>61</v>
      </c>
      <c r="Q51" s="82">
        <f>[60]GtS!$D$12</f>
        <v>57</v>
      </c>
      <c r="R51" s="82">
        <f>[65]GtS!$D$12</f>
        <v>66</v>
      </c>
      <c r="S51" s="83">
        <f t="shared" si="5"/>
        <v>1315</v>
      </c>
    </row>
    <row r="52" spans="1:19">
      <c r="A52" s="410"/>
      <c r="B52" s="72" t="s">
        <v>117</v>
      </c>
      <c r="C52" s="73">
        <f>[5]GtS!$D$56</f>
        <v>0</v>
      </c>
      <c r="D52" s="73">
        <f>[10]GtS!$D$56</f>
        <v>0</v>
      </c>
      <c r="E52" s="73">
        <f>[15]GtS!$D$56</f>
        <v>0</v>
      </c>
      <c r="F52" s="73">
        <f>[20]GtS!$D$56</f>
        <v>19</v>
      </c>
      <c r="G52" s="73">
        <f>[25]GtS!$D$56</f>
        <v>0</v>
      </c>
      <c r="H52" s="73">
        <f>[30]GtS!$D$56</f>
        <v>0</v>
      </c>
      <c r="I52" s="73">
        <f>[70]GtS!$D$56</f>
        <v>0</v>
      </c>
      <c r="J52" s="73">
        <f>[35]GtS!$D$56</f>
        <v>26</v>
      </c>
      <c r="K52" s="73">
        <f>[75]GtS!$D$56</f>
        <v>0</v>
      </c>
      <c r="L52" s="73">
        <f>[40]GtS!$D$56</f>
        <v>9</v>
      </c>
      <c r="M52" s="73">
        <f>[45]GtS!$D$56</f>
        <v>5</v>
      </c>
      <c r="N52" s="73">
        <f>[50]GtS!$D$56</f>
        <v>1</v>
      </c>
      <c r="O52" s="73">
        <f>[55]GtS!$D$56</f>
        <v>64</v>
      </c>
      <c r="P52" s="73">
        <f>[80]GtS!$D$56</f>
        <v>0</v>
      </c>
      <c r="Q52" s="73">
        <f>[60]GtS!$D$56</f>
        <v>0</v>
      </c>
      <c r="R52" s="73">
        <f>[65]GtS!$D$56</f>
        <v>7</v>
      </c>
      <c r="S52" s="74">
        <f t="shared" si="5"/>
        <v>131</v>
      </c>
    </row>
    <row r="53" spans="1:19">
      <c r="A53" s="410"/>
      <c r="B53" s="75" t="s">
        <v>119</v>
      </c>
      <c r="C53" s="76">
        <f>[5]GtS!$D$100</f>
        <v>0</v>
      </c>
      <c r="D53" s="76">
        <f>[10]GtS!$D$100</f>
        <v>0</v>
      </c>
      <c r="E53" s="76">
        <f>[15]GtS!$D$100</f>
        <v>0</v>
      </c>
      <c r="F53" s="76">
        <f>[20]GtS!$D$100</f>
        <v>113</v>
      </c>
      <c r="G53" s="76">
        <f>[25]GtS!$D$100</f>
        <v>0</v>
      </c>
      <c r="H53" s="76">
        <f>[30]GtS!$D$100</f>
        <v>0</v>
      </c>
      <c r="I53" s="76">
        <f>[70]GtS!$D$100</f>
        <v>19</v>
      </c>
      <c r="J53" s="76">
        <f>[35]GtS!$D$100</f>
        <v>158</v>
      </c>
      <c r="K53" s="76">
        <f>[75]GtS!$D$100</f>
        <v>359</v>
      </c>
      <c r="L53" s="76">
        <f>[40]GtS!$D$100</f>
        <v>124</v>
      </c>
      <c r="M53" s="76">
        <f>[45]GtS!$D$100</f>
        <v>144</v>
      </c>
      <c r="N53" s="76">
        <f>[50]GtS!$D$100</f>
        <v>1</v>
      </c>
      <c r="O53" s="76">
        <f>[55]GtS!$D$100</f>
        <v>337</v>
      </c>
      <c r="P53" s="76">
        <f>[80]GtS!$D$100</f>
        <v>61</v>
      </c>
      <c r="Q53" s="76">
        <f>[60]GtS!$D$100</f>
        <v>57</v>
      </c>
      <c r="R53" s="76">
        <f>[65]GtS!$D$100</f>
        <v>73</v>
      </c>
      <c r="S53" s="77">
        <f t="shared" si="5"/>
        <v>1446</v>
      </c>
    </row>
    <row r="54" spans="1:19">
      <c r="A54" s="410" t="s">
        <v>15</v>
      </c>
      <c r="B54" s="81" t="s">
        <v>118</v>
      </c>
      <c r="C54" s="82">
        <f>[5]GtS!$D$13</f>
        <v>166</v>
      </c>
      <c r="D54" s="82">
        <f>[10]GtS!$D$13</f>
        <v>225</v>
      </c>
      <c r="E54" s="82">
        <f>[15]GtS!$D$13</f>
        <v>0</v>
      </c>
      <c r="F54" s="82">
        <f>[20]GtS!$D$13</f>
        <v>0</v>
      </c>
      <c r="G54" s="82">
        <f>[25]GtS!$D$13</f>
        <v>0</v>
      </c>
      <c r="H54" s="82">
        <f>[30]GtS!$D$13</f>
        <v>0</v>
      </c>
      <c r="I54" s="82">
        <f>[70]GtS!$D$13</f>
        <v>206</v>
      </c>
      <c r="J54" s="82">
        <f>[35]GtS!$D$13</f>
        <v>0</v>
      </c>
      <c r="K54" s="82">
        <f>[75]GtS!$D$13</f>
        <v>217</v>
      </c>
      <c r="L54" s="82">
        <f>[40]GtS!$D$13</f>
        <v>115</v>
      </c>
      <c r="M54" s="82">
        <f>[45]GtS!$D$13</f>
        <v>0</v>
      </c>
      <c r="N54" s="82">
        <f>[50]GtS!$D$13</f>
        <v>0</v>
      </c>
      <c r="O54" s="82">
        <f>[55]GtS!$D$13</f>
        <v>0</v>
      </c>
      <c r="P54" s="82">
        <f>[80]GtS!$D$13</f>
        <v>0</v>
      </c>
      <c r="Q54" s="82">
        <f>[60]GtS!$D$13</f>
        <v>0</v>
      </c>
      <c r="R54" s="82">
        <f>[65]GtS!$D$13</f>
        <v>0</v>
      </c>
      <c r="S54" s="83">
        <f t="shared" si="5"/>
        <v>929</v>
      </c>
    </row>
    <row r="55" spans="1:19">
      <c r="A55" s="410"/>
      <c r="B55" s="72" t="s">
        <v>117</v>
      </c>
      <c r="C55" s="73">
        <f>[5]GtS!$D$57</f>
        <v>31</v>
      </c>
      <c r="D55" s="73">
        <f>[10]GtS!$D$57</f>
        <v>107</v>
      </c>
      <c r="E55" s="73">
        <f>[15]GtS!$D$57</f>
        <v>0</v>
      </c>
      <c r="F55" s="73">
        <f>[20]GtS!$D$57</f>
        <v>0</v>
      </c>
      <c r="G55" s="73">
        <f>[25]GtS!$D$57</f>
        <v>0</v>
      </c>
      <c r="H55" s="73">
        <f>[30]GtS!$D$57</f>
        <v>0</v>
      </c>
      <c r="I55" s="73">
        <f>[70]GtS!$D$57</f>
        <v>0</v>
      </c>
      <c r="J55" s="73">
        <f>[35]GtS!$D$57</f>
        <v>0</v>
      </c>
      <c r="K55" s="73">
        <f>[75]GtS!$D$57</f>
        <v>0</v>
      </c>
      <c r="L55" s="73">
        <f>[40]GtS!$D$57</f>
        <v>13</v>
      </c>
      <c r="M55" s="73">
        <f>[45]GtS!$D$57</f>
        <v>3</v>
      </c>
      <c r="N55" s="73">
        <f>[50]GtS!$D$57</f>
        <v>2</v>
      </c>
      <c r="O55" s="73">
        <f>[55]GtS!$D$57</f>
        <v>0</v>
      </c>
      <c r="P55" s="73">
        <f>[80]GtS!$D$57</f>
        <v>0</v>
      </c>
      <c r="Q55" s="73">
        <f>[60]GtS!$D$57</f>
        <v>0</v>
      </c>
      <c r="R55" s="73">
        <f>[65]GtS!$D$57</f>
        <v>0</v>
      </c>
      <c r="S55" s="74">
        <f t="shared" si="5"/>
        <v>156</v>
      </c>
    </row>
    <row r="56" spans="1:19">
      <c r="A56" s="410"/>
      <c r="B56" s="75" t="s">
        <v>119</v>
      </c>
      <c r="C56" s="76">
        <f>[5]GtS!$D$101</f>
        <v>197</v>
      </c>
      <c r="D56" s="76">
        <f>[10]GtS!$D$101</f>
        <v>332</v>
      </c>
      <c r="E56" s="76">
        <f>[15]GtS!$D$101</f>
        <v>0</v>
      </c>
      <c r="F56" s="76">
        <f>[20]GtS!$D$101</f>
        <v>0</v>
      </c>
      <c r="G56" s="76">
        <f>[25]GtS!$D$101</f>
        <v>0</v>
      </c>
      <c r="H56" s="76">
        <f>[30]GtS!$D$101</f>
        <v>0</v>
      </c>
      <c r="I56" s="76">
        <f>[70]GtS!$D$101</f>
        <v>206</v>
      </c>
      <c r="J56" s="76">
        <f>[35]GtS!$D$101</f>
        <v>0</v>
      </c>
      <c r="K56" s="76">
        <f>[75]GtS!$D$101</f>
        <v>217</v>
      </c>
      <c r="L56" s="76">
        <f>[40]GtS!$D$101</f>
        <v>128</v>
      </c>
      <c r="M56" s="76">
        <f>[45]GtS!$D$101</f>
        <v>3</v>
      </c>
      <c r="N56" s="76">
        <f>[50]GtS!$D$101</f>
        <v>2</v>
      </c>
      <c r="O56" s="76">
        <f>[55]GtS!$D$101</f>
        <v>0</v>
      </c>
      <c r="P56" s="76">
        <f>[80]GtS!$D$101</f>
        <v>0</v>
      </c>
      <c r="Q56" s="76">
        <f>[60]GtS!$D$101</f>
        <v>0</v>
      </c>
      <c r="R56" s="76">
        <f>[65]GtS!$D$101</f>
        <v>0</v>
      </c>
      <c r="S56" s="77">
        <f t="shared" si="5"/>
        <v>1085</v>
      </c>
    </row>
    <row r="57" spans="1:19" ht="14.25" customHeight="1">
      <c r="A57" s="410" t="s">
        <v>73</v>
      </c>
      <c r="B57" s="81" t="s">
        <v>118</v>
      </c>
      <c r="C57" s="82">
        <f>[5]GtS!$D$14</f>
        <v>212</v>
      </c>
      <c r="D57" s="82">
        <f>[10]GtS!$D$14</f>
        <v>295</v>
      </c>
      <c r="E57" s="82">
        <f>[15]GtS!$D$14</f>
        <v>25</v>
      </c>
      <c r="F57" s="82">
        <f>[20]GtS!$D$14</f>
        <v>34</v>
      </c>
      <c r="G57" s="82">
        <f>[25]GtS!$D$14</f>
        <v>2</v>
      </c>
      <c r="H57" s="82">
        <f>[30]GtS!$D$14</f>
        <v>63</v>
      </c>
      <c r="I57" s="82">
        <f>[70]GtS!$D$14</f>
        <v>220</v>
      </c>
      <c r="J57" s="82">
        <f>[35]GtS!$D$14</f>
        <v>52</v>
      </c>
      <c r="K57" s="82">
        <f>[75]GtS!$D$14</f>
        <v>239</v>
      </c>
      <c r="L57" s="82">
        <f>[40]GtS!$D$14</f>
        <v>149</v>
      </c>
      <c r="M57" s="82">
        <f>[45]GtS!$D$14</f>
        <v>58</v>
      </c>
      <c r="N57" s="82">
        <f>[50]GtS!$D$14</f>
        <v>28</v>
      </c>
      <c r="O57" s="82">
        <f>[55]GtS!$D$14</f>
        <v>117</v>
      </c>
      <c r="P57" s="82">
        <f>[80]GtS!$D$14</f>
        <v>27</v>
      </c>
      <c r="Q57" s="82">
        <f>[60]GtS!$D$14</f>
        <v>71</v>
      </c>
      <c r="R57" s="82">
        <f>[65]GtS!$D$14</f>
        <v>17</v>
      </c>
      <c r="S57" s="83">
        <f t="shared" si="5"/>
        <v>1609</v>
      </c>
    </row>
    <row r="58" spans="1:19">
      <c r="A58" s="410"/>
      <c r="B58" s="72" t="s">
        <v>117</v>
      </c>
      <c r="C58" s="73">
        <f>[5]GtS!$D$58</f>
        <v>48</v>
      </c>
      <c r="D58" s="73">
        <f>[10]GtS!$D$58</f>
        <v>63</v>
      </c>
      <c r="E58" s="73">
        <f>[15]GtS!$D$58</f>
        <v>8</v>
      </c>
      <c r="F58" s="73">
        <f>[20]GtS!$D$58</f>
        <v>23</v>
      </c>
      <c r="G58" s="73">
        <f>[25]GtS!$D$58</f>
        <v>0</v>
      </c>
      <c r="H58" s="73">
        <f>[30]GtS!$D$58</f>
        <v>7</v>
      </c>
      <c r="I58" s="73">
        <f>[70]GtS!$D$58</f>
        <v>0</v>
      </c>
      <c r="J58" s="73">
        <f>[35]GtS!$D$58</f>
        <v>14</v>
      </c>
      <c r="K58" s="73">
        <f>[75]GtS!$D$58</f>
        <v>0</v>
      </c>
      <c r="L58" s="73">
        <f>[40]GtS!$D$58</f>
        <v>22</v>
      </c>
      <c r="M58" s="73">
        <f>[45]GtS!$D$58</f>
        <v>17</v>
      </c>
      <c r="N58" s="73">
        <f>[50]GtS!$D$58</f>
        <v>5</v>
      </c>
      <c r="O58" s="73">
        <f>[55]GtS!$D$58</f>
        <v>37</v>
      </c>
      <c r="P58" s="73">
        <f>[80]GtS!$D$58</f>
        <v>0</v>
      </c>
      <c r="Q58" s="73">
        <f>[60]GtS!$D$58</f>
        <v>0</v>
      </c>
      <c r="R58" s="73">
        <f>[65]GtS!$D$58</f>
        <v>5</v>
      </c>
      <c r="S58" s="74">
        <f t="shared" si="5"/>
        <v>249</v>
      </c>
    </row>
    <row r="59" spans="1:19">
      <c r="A59" s="410"/>
      <c r="B59" s="75" t="s">
        <v>119</v>
      </c>
      <c r="C59" s="76">
        <f>[5]GtS!$D$102</f>
        <v>260</v>
      </c>
      <c r="D59" s="76">
        <f>[10]GtS!$D$102</f>
        <v>358</v>
      </c>
      <c r="E59" s="76">
        <f>[15]GtS!$D$102</f>
        <v>33</v>
      </c>
      <c r="F59" s="76">
        <f>[20]GtS!$D$102</f>
        <v>57</v>
      </c>
      <c r="G59" s="76">
        <f>[25]GtS!$D$102</f>
        <v>2</v>
      </c>
      <c r="H59" s="76">
        <f>[30]GtS!$D$102</f>
        <v>70</v>
      </c>
      <c r="I59" s="76">
        <f>[70]GtS!$D$102</f>
        <v>220</v>
      </c>
      <c r="J59" s="76">
        <f>[35]GtS!$D$102</f>
        <v>66</v>
      </c>
      <c r="K59" s="76">
        <f>[75]GtS!$D$102</f>
        <v>239</v>
      </c>
      <c r="L59" s="76">
        <f>[40]GtS!$D$102</f>
        <v>171</v>
      </c>
      <c r="M59" s="76">
        <f>[45]GtS!$D$102</f>
        <v>75</v>
      </c>
      <c r="N59" s="76">
        <f>[50]GtS!$D$102</f>
        <v>33</v>
      </c>
      <c r="O59" s="76">
        <f>[55]GtS!$D$102</f>
        <v>154</v>
      </c>
      <c r="P59" s="76">
        <f>[80]GtS!$D$102</f>
        <v>27</v>
      </c>
      <c r="Q59" s="76">
        <f>[60]GtS!$D$102</f>
        <v>71</v>
      </c>
      <c r="R59" s="76">
        <f>[65]GtS!$D$102</f>
        <v>22</v>
      </c>
      <c r="S59" s="77">
        <f t="shared" si="5"/>
        <v>1858</v>
      </c>
    </row>
    <row r="60" spans="1:19" ht="14.25" customHeight="1">
      <c r="A60" s="410" t="s">
        <v>127</v>
      </c>
      <c r="B60" s="81" t="s">
        <v>118</v>
      </c>
      <c r="C60" s="82">
        <f>[5]GtS!$D$15</f>
        <v>434</v>
      </c>
      <c r="D60" s="82">
        <f>[10]GtS!$D$15</f>
        <v>2</v>
      </c>
      <c r="E60" s="82">
        <f>[15]GtS!$D$15</f>
        <v>121</v>
      </c>
      <c r="F60" s="82">
        <f>[20]GtS!$D$15</f>
        <v>19</v>
      </c>
      <c r="G60" s="82">
        <f>[25]GtS!$D$15</f>
        <v>31</v>
      </c>
      <c r="H60" s="82">
        <f>[30]GtS!$D$15</f>
        <v>59</v>
      </c>
      <c r="I60" s="82">
        <f>[70]GtS!$D$15</f>
        <v>98</v>
      </c>
      <c r="J60" s="82">
        <f>[35]GtS!$D$15</f>
        <v>8</v>
      </c>
      <c r="K60" s="82">
        <f>[75]GtS!$D$15</f>
        <v>91</v>
      </c>
      <c r="L60" s="82">
        <f>[40]GtS!$D$15</f>
        <v>301</v>
      </c>
      <c r="M60" s="82">
        <f>[45]GtS!$D$15</f>
        <v>50</v>
      </c>
      <c r="N60" s="82">
        <f>[50]GtS!$D$15</f>
        <v>58</v>
      </c>
      <c r="O60" s="82">
        <f>[55]GtS!$D$15</f>
        <v>0</v>
      </c>
      <c r="P60" s="82">
        <f>[80]GtS!$D$15</f>
        <v>22</v>
      </c>
      <c r="Q60" s="82">
        <f>[60]GtS!$D$15</f>
        <v>277</v>
      </c>
      <c r="R60" s="82">
        <f>[65]GtS!$D$15</f>
        <v>42</v>
      </c>
      <c r="S60" s="83">
        <f t="shared" si="5"/>
        <v>1613</v>
      </c>
    </row>
    <row r="61" spans="1:19">
      <c r="A61" s="410"/>
      <c r="B61" s="72" t="s">
        <v>117</v>
      </c>
      <c r="C61" s="73">
        <f>[5]GtS!$D$59</f>
        <v>17</v>
      </c>
      <c r="D61" s="73">
        <f>[10]GtS!$D$59</f>
        <v>0</v>
      </c>
      <c r="E61" s="73">
        <f>[15]GtS!$D$59</f>
        <v>20</v>
      </c>
      <c r="F61" s="73">
        <f>[20]GtS!$D$59</f>
        <v>9</v>
      </c>
      <c r="G61" s="73">
        <f>[25]GtS!$D$59</f>
        <v>1</v>
      </c>
      <c r="H61" s="73">
        <f>[30]GtS!$D$59</f>
        <v>15</v>
      </c>
      <c r="I61" s="73">
        <f>[70]GtS!$D$59</f>
        <v>0</v>
      </c>
      <c r="J61" s="73">
        <f>[35]GtS!$D$59</f>
        <v>12</v>
      </c>
      <c r="K61" s="73">
        <f>[75]GtS!$D$59</f>
        <v>0</v>
      </c>
      <c r="L61" s="73">
        <f>[40]GtS!$D$59</f>
        <v>22</v>
      </c>
      <c r="M61" s="73">
        <f>[45]GtS!$D$59</f>
        <v>1</v>
      </c>
      <c r="N61" s="73">
        <f>[50]GtS!$D$59</f>
        <v>3</v>
      </c>
      <c r="O61" s="73">
        <f>[55]GtS!$D$59</f>
        <v>0</v>
      </c>
      <c r="P61" s="73">
        <f>[80]GtS!$D$59</f>
        <v>0</v>
      </c>
      <c r="Q61" s="73">
        <f>[60]GtS!$D$59</f>
        <v>15</v>
      </c>
      <c r="R61" s="73">
        <f>[65]GtS!$D$59</f>
        <v>21</v>
      </c>
      <c r="S61" s="74">
        <f t="shared" si="5"/>
        <v>136</v>
      </c>
    </row>
    <row r="62" spans="1:19">
      <c r="A62" s="410"/>
      <c r="B62" s="75" t="s">
        <v>119</v>
      </c>
      <c r="C62" s="76">
        <f>[5]GtS!$D$103</f>
        <v>451</v>
      </c>
      <c r="D62" s="76">
        <f>[10]GtS!$D$103</f>
        <v>2</v>
      </c>
      <c r="E62" s="76">
        <f>[15]GtS!$D$103</f>
        <v>141</v>
      </c>
      <c r="F62" s="76">
        <f>[20]GtS!$D$103</f>
        <v>28</v>
      </c>
      <c r="G62" s="76">
        <f>[25]GtS!$D$103</f>
        <v>32</v>
      </c>
      <c r="H62" s="76">
        <f>[30]GtS!$D$103</f>
        <v>74</v>
      </c>
      <c r="I62" s="76">
        <f>[70]GtS!$D$103</f>
        <v>98</v>
      </c>
      <c r="J62" s="76">
        <f>[35]GtS!$D$103</f>
        <v>20</v>
      </c>
      <c r="K62" s="76">
        <f>[75]GtS!$D$103</f>
        <v>91</v>
      </c>
      <c r="L62" s="76">
        <f>[40]GtS!$D$103</f>
        <v>323</v>
      </c>
      <c r="M62" s="76">
        <f>[45]GtS!$D$103</f>
        <v>51</v>
      </c>
      <c r="N62" s="76">
        <f>[50]GtS!$D$103</f>
        <v>61</v>
      </c>
      <c r="O62" s="76">
        <f>[55]GtS!$D$103</f>
        <v>0</v>
      </c>
      <c r="P62" s="76">
        <f>[80]GtS!$D$103</f>
        <v>22</v>
      </c>
      <c r="Q62" s="76">
        <f>[60]GtS!$D$103</f>
        <v>292</v>
      </c>
      <c r="R62" s="76">
        <f>[65]GtS!$D$103</f>
        <v>63</v>
      </c>
      <c r="S62" s="77">
        <f t="shared" si="5"/>
        <v>1749</v>
      </c>
    </row>
    <row r="63" spans="1:19" ht="14.25" customHeight="1">
      <c r="A63" s="410" t="s">
        <v>128</v>
      </c>
      <c r="B63" s="81" t="s">
        <v>118</v>
      </c>
      <c r="C63" s="82">
        <f>[5]GtS!$D$17</f>
        <v>0</v>
      </c>
      <c r="D63" s="82">
        <f>[10]GtS!$D$17</f>
        <v>0</v>
      </c>
      <c r="E63" s="82">
        <f>[15]GtS!$D$17</f>
        <v>0</v>
      </c>
      <c r="F63" s="82">
        <f>[20]GtS!$D$17</f>
        <v>0</v>
      </c>
      <c r="G63" s="82">
        <f>[25]GtS!$D$17</f>
        <v>0</v>
      </c>
      <c r="H63" s="82">
        <f>[30]GtS!$D$17</f>
        <v>0</v>
      </c>
      <c r="I63" s="82">
        <f>[70]GtS!$D$17</f>
        <v>0</v>
      </c>
      <c r="J63" s="82">
        <f>[35]GtS!$D$17</f>
        <v>0</v>
      </c>
      <c r="K63" s="82">
        <f>[75]GtS!$D$17</f>
        <v>0</v>
      </c>
      <c r="L63" s="82">
        <f>[40]GtS!$D$17</f>
        <v>0</v>
      </c>
      <c r="M63" s="82">
        <f>[45]GtS!$D$17</f>
        <v>0</v>
      </c>
      <c r="N63" s="82">
        <f>[50]GtS!$D$17</f>
        <v>0</v>
      </c>
      <c r="O63" s="82">
        <f>[55]GtS!$D$17</f>
        <v>0</v>
      </c>
      <c r="P63" s="82">
        <f>[80]GtS!$D$17</f>
        <v>0</v>
      </c>
      <c r="Q63" s="82">
        <f>[60]GtS!$D$17</f>
        <v>0</v>
      </c>
      <c r="R63" s="82">
        <f>[65]GtS!$D$17</f>
        <v>0</v>
      </c>
      <c r="S63" s="83">
        <f t="shared" si="5"/>
        <v>0</v>
      </c>
    </row>
    <row r="64" spans="1:19" ht="8.65" customHeight="1">
      <c r="A64" s="410"/>
      <c r="B64" s="72" t="s">
        <v>117</v>
      </c>
      <c r="C64" s="73">
        <f>[5]GtS!$D$61</f>
        <v>20</v>
      </c>
      <c r="D64" s="73">
        <f>[10]GtS!$D$61</f>
        <v>20</v>
      </c>
      <c r="E64" s="73">
        <f>[15]GtS!$D$61</f>
        <v>10</v>
      </c>
      <c r="F64" s="73">
        <f>[20]GtS!$D$61</f>
        <v>5</v>
      </c>
      <c r="G64" s="73">
        <f>[25]GtS!$D$61</f>
        <v>1</v>
      </c>
      <c r="H64" s="73">
        <f>[30]GtS!$D$61</f>
        <v>1</v>
      </c>
      <c r="I64" s="73">
        <f>[70]GtS!$D$61</f>
        <v>0</v>
      </c>
      <c r="J64" s="73">
        <f>[35]GtS!$D$61</f>
        <v>1</v>
      </c>
      <c r="K64" s="73">
        <f>[75]GtS!$D$61</f>
        <v>0</v>
      </c>
      <c r="L64" s="73">
        <f>[40]GtS!$D$61</f>
        <v>43</v>
      </c>
      <c r="M64" s="73">
        <f>[45]GtS!$D$61</f>
        <v>6</v>
      </c>
      <c r="N64" s="73">
        <f>[50]GtS!$D$61</f>
        <v>3</v>
      </c>
      <c r="O64" s="73">
        <f>[55]GtS!$D$61</f>
        <v>6</v>
      </c>
      <c r="P64" s="73">
        <f>[80]GtS!$D$61</f>
        <v>0</v>
      </c>
      <c r="Q64" s="73">
        <f>[60]GtS!$D$61</f>
        <v>10</v>
      </c>
      <c r="R64" s="73">
        <f>[65]GtS!$D$61</f>
        <v>5</v>
      </c>
      <c r="S64" s="74">
        <f t="shared" si="5"/>
        <v>131</v>
      </c>
    </row>
    <row r="65" spans="1:19" ht="12.6" customHeight="1">
      <c r="A65" s="410"/>
      <c r="B65" s="75" t="s">
        <v>119</v>
      </c>
      <c r="C65" s="76">
        <f>[5]GtS!$D$105</f>
        <v>20</v>
      </c>
      <c r="D65" s="76">
        <f>[10]GtS!$D$105</f>
        <v>20</v>
      </c>
      <c r="E65" s="76">
        <f>[15]GtS!$D$105</f>
        <v>10</v>
      </c>
      <c r="F65" s="76">
        <f>[20]GtS!$D$105</f>
        <v>5</v>
      </c>
      <c r="G65" s="76">
        <f>[25]GtS!$D$105</f>
        <v>1</v>
      </c>
      <c r="H65" s="76">
        <f>[30]GtS!$D$105</f>
        <v>1</v>
      </c>
      <c r="I65" s="76">
        <f>[70]GtS!$D$105</f>
        <v>0</v>
      </c>
      <c r="J65" s="76">
        <f>[35]GtS!$D$105</f>
        <v>1</v>
      </c>
      <c r="K65" s="76">
        <f>[75]GtS!$D$105</f>
        <v>0</v>
      </c>
      <c r="L65" s="76">
        <f>[40]GtS!$D$105</f>
        <v>43</v>
      </c>
      <c r="M65" s="76">
        <f>[45]GtS!$D$105</f>
        <v>6</v>
      </c>
      <c r="N65" s="76">
        <f>[50]GtS!$D$105</f>
        <v>3</v>
      </c>
      <c r="O65" s="76">
        <f>[55]GtS!$D$105</f>
        <v>6</v>
      </c>
      <c r="P65" s="76">
        <f>[80]GtS!$D$105</f>
        <v>0</v>
      </c>
      <c r="Q65" s="76">
        <f>[60]GtS!$D$105</f>
        <v>10</v>
      </c>
      <c r="R65" s="76">
        <f>[65]GtS!$D$105</f>
        <v>5</v>
      </c>
      <c r="S65" s="77">
        <f t="shared" si="5"/>
        <v>131</v>
      </c>
    </row>
    <row r="66" spans="1:19" ht="10.15" customHeight="1">
      <c r="A66" s="226" t="s">
        <v>129</v>
      </c>
      <c r="B66" s="81" t="s">
        <v>118</v>
      </c>
      <c r="C66" s="82">
        <f>[5]GtS!$D$19</f>
        <v>201</v>
      </c>
      <c r="D66" s="82">
        <f>[10]GtS!$D$19</f>
        <v>145</v>
      </c>
      <c r="E66" s="82">
        <f>[15]GtS!$D$19</f>
        <v>50</v>
      </c>
      <c r="F66" s="82">
        <f>[20]GtS!$D$19</f>
        <v>58</v>
      </c>
      <c r="G66" s="82">
        <f>[25]GtS!$D$19</f>
        <v>0</v>
      </c>
      <c r="H66" s="82">
        <f>[30]GtS!$D$19</f>
        <v>26</v>
      </c>
      <c r="I66" s="82">
        <f>[70]GtS!$D$19</f>
        <v>157</v>
      </c>
      <c r="J66" s="82">
        <f>[35]GtS!$D$19</f>
        <v>22</v>
      </c>
      <c r="K66" s="82">
        <f>[75]GtS!$D$19</f>
        <v>135</v>
      </c>
      <c r="L66" s="82">
        <f>[40]GtS!$D$19</f>
        <v>351</v>
      </c>
      <c r="M66" s="82">
        <f>[45]GtS!$D$19</f>
        <v>106</v>
      </c>
      <c r="N66" s="82">
        <f>[50]GtS!$D$19</f>
        <v>25</v>
      </c>
      <c r="O66" s="82">
        <f>[55]GtS!$D$19</f>
        <v>135</v>
      </c>
      <c r="P66" s="82">
        <f>[80]GtS!$D$19</f>
        <v>94</v>
      </c>
      <c r="Q66" s="82">
        <f>[60]GtS!$D$19</f>
        <v>59</v>
      </c>
      <c r="R66" s="82">
        <f>[65]GtS!$D$19</f>
        <v>56</v>
      </c>
      <c r="S66" s="83">
        <f t="shared" si="5"/>
        <v>1620</v>
      </c>
    </row>
    <row r="67" spans="1:19" ht="10.15" customHeight="1">
      <c r="A67" s="226"/>
      <c r="B67" s="72" t="s">
        <v>117</v>
      </c>
      <c r="C67" s="73">
        <f>[5]GtS!$D$63</f>
        <v>103</v>
      </c>
      <c r="D67" s="73">
        <f>[10]GtS!$D$63</f>
        <v>158</v>
      </c>
      <c r="E67" s="73">
        <f>[15]GtS!$D$63</f>
        <v>3</v>
      </c>
      <c r="F67" s="73">
        <f>[20]GtS!$D$63</f>
        <v>12</v>
      </c>
      <c r="G67" s="73">
        <f>[25]GtS!$D$63</f>
        <v>0</v>
      </c>
      <c r="H67" s="73">
        <f>[30]GtS!$D$63</f>
        <v>5</v>
      </c>
      <c r="I67" s="73">
        <f>[70]GtS!$D$63</f>
        <v>0</v>
      </c>
      <c r="J67" s="73">
        <f>[35]GtS!$D$63</f>
        <v>4</v>
      </c>
      <c r="K67" s="73">
        <f>[75]GtS!$D$63</f>
        <v>0</v>
      </c>
      <c r="L67" s="73">
        <f>[40]GtS!$D$63</f>
        <v>74</v>
      </c>
      <c r="M67" s="73">
        <f>[45]GtS!$D$63</f>
        <v>20</v>
      </c>
      <c r="N67" s="73">
        <f>[50]GtS!$D$63</f>
        <v>4</v>
      </c>
      <c r="O67" s="73">
        <f>[55]GtS!$D$63</f>
        <v>5</v>
      </c>
      <c r="P67" s="73">
        <f>[80]GtS!$D$63</f>
        <v>0</v>
      </c>
      <c r="Q67" s="73">
        <f>[60]GtS!$D$63</f>
        <v>8</v>
      </c>
      <c r="R67" s="73">
        <f>[65]GtS!$D$63</f>
        <v>24</v>
      </c>
      <c r="S67" s="74">
        <f t="shared" si="5"/>
        <v>420</v>
      </c>
    </row>
    <row r="68" spans="1:19" ht="10.15" customHeight="1" thickBot="1">
      <c r="A68" s="223"/>
      <c r="B68" s="84" t="s">
        <v>119</v>
      </c>
      <c r="C68" s="85">
        <f>[5]GtS!$D$107</f>
        <v>304</v>
      </c>
      <c r="D68" s="85">
        <f>[10]GtS!$D$107</f>
        <v>303</v>
      </c>
      <c r="E68" s="85">
        <f>[15]GtS!$D$107</f>
        <v>53</v>
      </c>
      <c r="F68" s="85">
        <f>[20]GtS!$D$107</f>
        <v>70</v>
      </c>
      <c r="G68" s="85">
        <f>[25]GtS!$D$107</f>
        <v>0</v>
      </c>
      <c r="H68" s="85">
        <f>[30]GtS!$D$107</f>
        <v>31</v>
      </c>
      <c r="I68" s="85">
        <f>[70]GtS!$D$107</f>
        <v>157</v>
      </c>
      <c r="J68" s="85">
        <f>[35]GtS!$D$107</f>
        <v>26</v>
      </c>
      <c r="K68" s="85">
        <f>[75]GtS!$D$107</f>
        <v>135</v>
      </c>
      <c r="L68" s="85">
        <f>[40]GtS!$D$107</f>
        <v>425</v>
      </c>
      <c r="M68" s="85">
        <f>[45]GtS!$D$107</f>
        <v>126</v>
      </c>
      <c r="N68" s="85">
        <f>[50]GtS!$D$107</f>
        <v>29</v>
      </c>
      <c r="O68" s="85">
        <f>[55]GtS!$D$107</f>
        <v>140</v>
      </c>
      <c r="P68" s="85">
        <f>[80]GtS!$D$107</f>
        <v>94</v>
      </c>
      <c r="Q68" s="85">
        <f>[60]GtS!$D$107</f>
        <v>67</v>
      </c>
      <c r="R68" s="85">
        <f>[65]GtS!$D$107</f>
        <v>80</v>
      </c>
      <c r="S68" s="86">
        <f t="shared" si="5"/>
        <v>2040</v>
      </c>
    </row>
    <row r="69" spans="1:19" ht="13.5" thickTop="1"/>
    <row r="70" spans="1:19" ht="13.5" thickBot="1"/>
    <row r="71" spans="1:19" ht="14.25" thickTop="1" thickBot="1">
      <c r="A71" s="67"/>
      <c r="B71" s="68"/>
      <c r="C71" s="64" t="s">
        <v>80</v>
      </c>
      <c r="D71" s="64" t="s">
        <v>81</v>
      </c>
      <c r="E71" s="64" t="s">
        <v>82</v>
      </c>
      <c r="F71" s="64" t="s">
        <v>83</v>
      </c>
      <c r="G71" s="64" t="s">
        <v>84</v>
      </c>
      <c r="H71" s="64" t="s">
        <v>120</v>
      </c>
      <c r="I71" s="64" t="s">
        <v>86</v>
      </c>
      <c r="J71" s="64" t="s">
        <v>121</v>
      </c>
      <c r="K71" s="64" t="s">
        <v>88</v>
      </c>
      <c r="L71" s="64" t="s">
        <v>89</v>
      </c>
      <c r="M71" s="64" t="s">
        <v>90</v>
      </c>
      <c r="N71" s="64" t="s">
        <v>122</v>
      </c>
      <c r="O71" s="64" t="s">
        <v>92</v>
      </c>
      <c r="P71" s="64" t="s">
        <v>93</v>
      </c>
      <c r="Q71" s="64" t="s">
        <v>94</v>
      </c>
      <c r="R71" s="101" t="s">
        <v>95</v>
      </c>
      <c r="S71" s="65" t="s">
        <v>96</v>
      </c>
    </row>
    <row r="72" spans="1:19" ht="13.5" thickTop="1">
      <c r="A72" s="417" t="s">
        <v>79</v>
      </c>
      <c r="B72" s="69" t="s">
        <v>118</v>
      </c>
      <c r="C72" s="88" t="str">
        <f t="shared" ref="C72:S72" si="7">IF(C5-C39=0,"OK",C5-C39)</f>
        <v>OK</v>
      </c>
      <c r="D72" s="88" t="str">
        <f t="shared" si="7"/>
        <v>OK</v>
      </c>
      <c r="E72" s="88" t="str">
        <f t="shared" si="7"/>
        <v>OK</v>
      </c>
      <c r="F72" s="88" t="str">
        <f t="shared" si="7"/>
        <v>OK</v>
      </c>
      <c r="G72" s="88" t="str">
        <f t="shared" si="7"/>
        <v>OK</v>
      </c>
      <c r="H72" s="88" t="str">
        <f t="shared" si="7"/>
        <v>OK</v>
      </c>
      <c r="I72" s="88" t="str">
        <f t="shared" si="7"/>
        <v>OK</v>
      </c>
      <c r="J72" s="88" t="str">
        <f t="shared" si="7"/>
        <v>OK</v>
      </c>
      <c r="K72" s="88" t="str">
        <f t="shared" si="7"/>
        <v>OK</v>
      </c>
      <c r="L72" s="88" t="str">
        <f t="shared" si="7"/>
        <v>OK</v>
      </c>
      <c r="M72" s="88" t="str">
        <f t="shared" si="7"/>
        <v>OK</v>
      </c>
      <c r="N72" s="88" t="str">
        <f t="shared" si="7"/>
        <v>OK</v>
      </c>
      <c r="O72" s="88" t="str">
        <f t="shared" si="7"/>
        <v>OK</v>
      </c>
      <c r="P72" s="88" t="str">
        <f t="shared" si="7"/>
        <v>OK</v>
      </c>
      <c r="Q72" s="88" t="str">
        <f t="shared" si="7"/>
        <v>OK</v>
      </c>
      <c r="R72" s="88" t="str">
        <f t="shared" si="7"/>
        <v>OK</v>
      </c>
      <c r="S72" s="89" t="str">
        <f t="shared" si="7"/>
        <v>OK</v>
      </c>
    </row>
    <row r="73" spans="1:19">
      <c r="A73" s="418"/>
      <c r="B73" s="72" t="s">
        <v>117</v>
      </c>
      <c r="C73" s="90" t="str">
        <f t="shared" ref="C73:R88" si="8">IF(C6-C40=0,"OK",C6-C40)</f>
        <v>OK</v>
      </c>
      <c r="D73" s="90" t="str">
        <f t="shared" si="8"/>
        <v>OK</v>
      </c>
      <c r="E73" s="90" t="str">
        <f t="shared" si="8"/>
        <v>OK</v>
      </c>
      <c r="F73" s="90" t="str">
        <f t="shared" si="8"/>
        <v>OK</v>
      </c>
      <c r="G73" s="90" t="str">
        <f t="shared" si="8"/>
        <v>OK</v>
      </c>
      <c r="H73" s="90" t="str">
        <f t="shared" si="8"/>
        <v>OK</v>
      </c>
      <c r="I73" s="90" t="str">
        <f t="shared" si="8"/>
        <v>OK</v>
      </c>
      <c r="J73" s="90" t="str">
        <f t="shared" si="8"/>
        <v>OK</v>
      </c>
      <c r="K73" s="90" t="str">
        <f t="shared" si="8"/>
        <v>OK</v>
      </c>
      <c r="L73" s="90" t="str">
        <f t="shared" si="8"/>
        <v>OK</v>
      </c>
      <c r="M73" s="90" t="str">
        <f t="shared" si="8"/>
        <v>OK</v>
      </c>
      <c r="N73" s="90" t="str">
        <f t="shared" si="8"/>
        <v>OK</v>
      </c>
      <c r="O73" s="90" t="str">
        <f t="shared" si="8"/>
        <v>OK</v>
      </c>
      <c r="P73" s="90" t="str">
        <f t="shared" si="8"/>
        <v>OK</v>
      </c>
      <c r="Q73" s="90" t="str">
        <f t="shared" si="8"/>
        <v>OK</v>
      </c>
      <c r="R73" s="90" t="str">
        <f t="shared" si="8"/>
        <v>OK</v>
      </c>
      <c r="S73" s="91" t="str">
        <f t="shared" ref="S73:S87" si="9">IF(S6-S40=0,"OK",S6-S40)</f>
        <v>OK</v>
      </c>
    </row>
    <row r="74" spans="1:19">
      <c r="A74" s="419"/>
      <c r="B74" s="78" t="s">
        <v>119</v>
      </c>
      <c r="C74" s="92" t="str">
        <f>IF(C7-C41=0,"OK",C7-C41)</f>
        <v>OK</v>
      </c>
      <c r="D74" s="92" t="str">
        <f t="shared" si="8"/>
        <v>OK</v>
      </c>
      <c r="E74" s="92" t="str">
        <f t="shared" si="8"/>
        <v>OK</v>
      </c>
      <c r="F74" s="92" t="str">
        <f t="shared" si="8"/>
        <v>OK</v>
      </c>
      <c r="G74" s="92" t="str">
        <f t="shared" si="8"/>
        <v>OK</v>
      </c>
      <c r="H74" s="92" t="str">
        <f t="shared" si="8"/>
        <v>OK</v>
      </c>
      <c r="I74" s="92" t="str">
        <f t="shared" si="8"/>
        <v>OK</v>
      </c>
      <c r="J74" s="92" t="str">
        <f t="shared" si="8"/>
        <v>OK</v>
      </c>
      <c r="K74" s="92" t="str">
        <f t="shared" si="8"/>
        <v>OK</v>
      </c>
      <c r="L74" s="92" t="str">
        <f t="shared" si="8"/>
        <v>OK</v>
      </c>
      <c r="M74" s="92" t="str">
        <f t="shared" si="8"/>
        <v>OK</v>
      </c>
      <c r="N74" s="92" t="str">
        <f t="shared" si="8"/>
        <v>OK</v>
      </c>
      <c r="O74" s="92" t="str">
        <f t="shared" si="8"/>
        <v>OK</v>
      </c>
      <c r="P74" s="92" t="str">
        <f t="shared" si="8"/>
        <v>OK</v>
      </c>
      <c r="Q74" s="92" t="str">
        <f t="shared" si="8"/>
        <v>OK</v>
      </c>
      <c r="R74" s="92" t="str">
        <f t="shared" si="8"/>
        <v>OK</v>
      </c>
      <c r="S74" s="93" t="str">
        <f t="shared" si="9"/>
        <v>OK</v>
      </c>
    </row>
    <row r="75" spans="1:19">
      <c r="A75" s="410" t="s">
        <v>124</v>
      </c>
      <c r="B75" s="81" t="s">
        <v>118</v>
      </c>
      <c r="C75" s="94" t="str">
        <f t="shared" si="8"/>
        <v>OK</v>
      </c>
      <c r="D75" s="94" t="str">
        <f t="shared" si="8"/>
        <v>OK</v>
      </c>
      <c r="E75" s="94" t="str">
        <f t="shared" si="8"/>
        <v>OK</v>
      </c>
      <c r="F75" s="94" t="str">
        <f t="shared" si="8"/>
        <v>OK</v>
      </c>
      <c r="G75" s="94" t="str">
        <f t="shared" si="8"/>
        <v>OK</v>
      </c>
      <c r="H75" s="94" t="str">
        <f t="shared" si="8"/>
        <v>OK</v>
      </c>
      <c r="I75" s="94" t="str">
        <f t="shared" si="8"/>
        <v>OK</v>
      </c>
      <c r="J75" s="94" t="str">
        <f t="shared" si="8"/>
        <v>OK</v>
      </c>
      <c r="K75" s="94" t="str">
        <f t="shared" si="8"/>
        <v>OK</v>
      </c>
      <c r="L75" s="94" t="str">
        <f t="shared" si="8"/>
        <v>OK</v>
      </c>
      <c r="M75" s="94" t="str">
        <f t="shared" si="8"/>
        <v>OK</v>
      </c>
      <c r="N75" s="94" t="str">
        <f t="shared" si="8"/>
        <v>OK</v>
      </c>
      <c r="O75" s="94" t="str">
        <f t="shared" si="8"/>
        <v>OK</v>
      </c>
      <c r="P75" s="94" t="str">
        <f t="shared" si="8"/>
        <v>OK</v>
      </c>
      <c r="Q75" s="94" t="str">
        <f t="shared" si="8"/>
        <v>OK</v>
      </c>
      <c r="R75" s="94" t="str">
        <f t="shared" si="8"/>
        <v>OK</v>
      </c>
      <c r="S75" s="95" t="str">
        <f t="shared" si="9"/>
        <v>OK</v>
      </c>
    </row>
    <row r="76" spans="1:19">
      <c r="A76" s="410"/>
      <c r="B76" s="72" t="s">
        <v>117</v>
      </c>
      <c r="C76" s="90" t="str">
        <f t="shared" si="8"/>
        <v>OK</v>
      </c>
      <c r="D76" s="90" t="str">
        <f t="shared" si="8"/>
        <v>OK</v>
      </c>
      <c r="E76" s="90" t="str">
        <f t="shared" si="8"/>
        <v>OK</v>
      </c>
      <c r="F76" s="90" t="str">
        <f t="shared" si="8"/>
        <v>OK</v>
      </c>
      <c r="G76" s="90" t="str">
        <f t="shared" si="8"/>
        <v>OK</v>
      </c>
      <c r="H76" s="90" t="str">
        <f t="shared" si="8"/>
        <v>OK</v>
      </c>
      <c r="I76" s="90" t="str">
        <f t="shared" si="8"/>
        <v>OK</v>
      </c>
      <c r="J76" s="90" t="str">
        <f t="shared" si="8"/>
        <v>OK</v>
      </c>
      <c r="K76" s="90" t="str">
        <f t="shared" si="8"/>
        <v>OK</v>
      </c>
      <c r="L76" s="90" t="str">
        <f t="shared" si="8"/>
        <v>OK</v>
      </c>
      <c r="M76" s="90" t="str">
        <f t="shared" si="8"/>
        <v>OK</v>
      </c>
      <c r="N76" s="90" t="str">
        <f t="shared" si="8"/>
        <v>OK</v>
      </c>
      <c r="O76" s="90" t="str">
        <f t="shared" si="8"/>
        <v>OK</v>
      </c>
      <c r="P76" s="90" t="str">
        <f t="shared" si="8"/>
        <v>OK</v>
      </c>
      <c r="Q76" s="90" t="str">
        <f t="shared" si="8"/>
        <v>OK</v>
      </c>
      <c r="R76" s="90" t="str">
        <f t="shared" si="8"/>
        <v>OK</v>
      </c>
      <c r="S76" s="91" t="str">
        <f t="shared" si="9"/>
        <v>OK</v>
      </c>
    </row>
    <row r="77" spans="1:19">
      <c r="A77" s="410"/>
      <c r="B77" s="75" t="s">
        <v>119</v>
      </c>
      <c r="C77" s="96" t="str">
        <f t="shared" si="8"/>
        <v>OK</v>
      </c>
      <c r="D77" s="96" t="str">
        <f t="shared" si="8"/>
        <v>OK</v>
      </c>
      <c r="E77" s="96" t="str">
        <f t="shared" si="8"/>
        <v>OK</v>
      </c>
      <c r="F77" s="96" t="str">
        <f t="shared" si="8"/>
        <v>OK</v>
      </c>
      <c r="G77" s="96" t="str">
        <f t="shared" si="8"/>
        <v>OK</v>
      </c>
      <c r="H77" s="96" t="str">
        <f t="shared" si="8"/>
        <v>OK</v>
      </c>
      <c r="I77" s="96" t="str">
        <f t="shared" si="8"/>
        <v>OK</v>
      </c>
      <c r="J77" s="96" t="str">
        <f t="shared" si="8"/>
        <v>OK</v>
      </c>
      <c r="K77" s="96" t="str">
        <f t="shared" si="8"/>
        <v>OK</v>
      </c>
      <c r="L77" s="96" t="str">
        <f t="shared" si="8"/>
        <v>OK</v>
      </c>
      <c r="M77" s="96" t="str">
        <f t="shared" si="8"/>
        <v>OK</v>
      </c>
      <c r="N77" s="96" t="str">
        <f t="shared" si="8"/>
        <v>OK</v>
      </c>
      <c r="O77" s="96" t="str">
        <f t="shared" si="8"/>
        <v>OK</v>
      </c>
      <c r="P77" s="96" t="str">
        <f t="shared" si="8"/>
        <v>OK</v>
      </c>
      <c r="Q77" s="96" t="str">
        <f t="shared" si="8"/>
        <v>OK</v>
      </c>
      <c r="R77" s="96" t="str">
        <f t="shared" si="8"/>
        <v>OK</v>
      </c>
      <c r="S77" s="97" t="str">
        <f t="shared" si="9"/>
        <v>OK</v>
      </c>
    </row>
    <row r="78" spans="1:19">
      <c r="A78" s="410" t="s">
        <v>9</v>
      </c>
      <c r="B78" s="81" t="s">
        <v>118</v>
      </c>
      <c r="C78" s="94" t="str">
        <f t="shared" si="8"/>
        <v>OK</v>
      </c>
      <c r="D78" s="94" t="str">
        <f t="shared" si="8"/>
        <v>OK</v>
      </c>
      <c r="E78" s="94" t="str">
        <f t="shared" si="8"/>
        <v>OK</v>
      </c>
      <c r="F78" s="94" t="str">
        <f t="shared" si="8"/>
        <v>OK</v>
      </c>
      <c r="G78" s="94" t="str">
        <f t="shared" si="8"/>
        <v>OK</v>
      </c>
      <c r="H78" s="94" t="str">
        <f t="shared" si="8"/>
        <v>OK</v>
      </c>
      <c r="I78" s="94" t="str">
        <f t="shared" si="8"/>
        <v>OK</v>
      </c>
      <c r="J78" s="94" t="str">
        <f t="shared" si="8"/>
        <v>OK</v>
      </c>
      <c r="K78" s="94" t="str">
        <f t="shared" si="8"/>
        <v>OK</v>
      </c>
      <c r="L78" s="94" t="str">
        <f t="shared" si="8"/>
        <v>OK</v>
      </c>
      <c r="M78" s="94" t="str">
        <f t="shared" si="8"/>
        <v>OK</v>
      </c>
      <c r="N78" s="94" t="str">
        <f t="shared" si="8"/>
        <v>OK</v>
      </c>
      <c r="O78" s="94" t="str">
        <f t="shared" si="8"/>
        <v>OK</v>
      </c>
      <c r="P78" s="94" t="str">
        <f t="shared" si="8"/>
        <v>OK</v>
      </c>
      <c r="Q78" s="94" t="str">
        <f t="shared" si="8"/>
        <v>OK</v>
      </c>
      <c r="R78" s="94" t="str">
        <f t="shared" si="8"/>
        <v>OK</v>
      </c>
      <c r="S78" s="95" t="str">
        <f t="shared" si="9"/>
        <v>OK</v>
      </c>
    </row>
    <row r="79" spans="1:19">
      <c r="A79" s="410"/>
      <c r="B79" s="72" t="s">
        <v>117</v>
      </c>
      <c r="C79" s="90" t="str">
        <f t="shared" si="8"/>
        <v>OK</v>
      </c>
      <c r="D79" s="90" t="str">
        <f t="shared" si="8"/>
        <v>OK</v>
      </c>
      <c r="E79" s="90" t="str">
        <f t="shared" si="8"/>
        <v>OK</v>
      </c>
      <c r="F79" s="90" t="str">
        <f t="shared" si="8"/>
        <v>OK</v>
      </c>
      <c r="G79" s="90" t="str">
        <f t="shared" si="8"/>
        <v>OK</v>
      </c>
      <c r="H79" s="90" t="str">
        <f t="shared" si="8"/>
        <v>OK</v>
      </c>
      <c r="I79" s="90" t="str">
        <f t="shared" si="8"/>
        <v>OK</v>
      </c>
      <c r="J79" s="90" t="str">
        <f t="shared" si="8"/>
        <v>OK</v>
      </c>
      <c r="K79" s="90" t="str">
        <f t="shared" si="8"/>
        <v>OK</v>
      </c>
      <c r="L79" s="90" t="str">
        <f t="shared" si="8"/>
        <v>OK</v>
      </c>
      <c r="M79" s="90" t="str">
        <f t="shared" si="8"/>
        <v>OK</v>
      </c>
      <c r="N79" s="90" t="str">
        <f t="shared" si="8"/>
        <v>OK</v>
      </c>
      <c r="O79" s="90" t="str">
        <f t="shared" si="8"/>
        <v>OK</v>
      </c>
      <c r="P79" s="90" t="str">
        <f t="shared" si="8"/>
        <v>OK</v>
      </c>
      <c r="Q79" s="90" t="str">
        <f t="shared" si="8"/>
        <v>OK</v>
      </c>
      <c r="R79" s="90" t="str">
        <f t="shared" si="8"/>
        <v>OK</v>
      </c>
      <c r="S79" s="91" t="str">
        <f t="shared" si="9"/>
        <v>OK</v>
      </c>
    </row>
    <row r="80" spans="1:19">
      <c r="A80" s="410"/>
      <c r="B80" s="75" t="s">
        <v>119</v>
      </c>
      <c r="C80" s="96" t="str">
        <f t="shared" si="8"/>
        <v>OK</v>
      </c>
      <c r="D80" s="96" t="str">
        <f t="shared" si="8"/>
        <v>OK</v>
      </c>
      <c r="E80" s="96" t="str">
        <f t="shared" si="8"/>
        <v>OK</v>
      </c>
      <c r="F80" s="96" t="str">
        <f t="shared" si="8"/>
        <v>OK</v>
      </c>
      <c r="G80" s="96" t="str">
        <f t="shared" si="8"/>
        <v>OK</v>
      </c>
      <c r="H80" s="96" t="str">
        <f t="shared" si="8"/>
        <v>OK</v>
      </c>
      <c r="I80" s="96" t="str">
        <f t="shared" si="8"/>
        <v>OK</v>
      </c>
      <c r="J80" s="96" t="str">
        <f t="shared" si="8"/>
        <v>OK</v>
      </c>
      <c r="K80" s="96" t="str">
        <f t="shared" si="8"/>
        <v>OK</v>
      </c>
      <c r="L80" s="96" t="str">
        <f t="shared" si="8"/>
        <v>OK</v>
      </c>
      <c r="M80" s="96" t="str">
        <f t="shared" si="8"/>
        <v>OK</v>
      </c>
      <c r="N80" s="96" t="str">
        <f t="shared" si="8"/>
        <v>OK</v>
      </c>
      <c r="O80" s="96" t="str">
        <f t="shared" si="8"/>
        <v>OK</v>
      </c>
      <c r="P80" s="96" t="str">
        <f t="shared" si="8"/>
        <v>OK</v>
      </c>
      <c r="Q80" s="96" t="str">
        <f t="shared" si="8"/>
        <v>OK</v>
      </c>
      <c r="R80" s="96" t="str">
        <f t="shared" si="8"/>
        <v>OK</v>
      </c>
      <c r="S80" s="97" t="str">
        <f t="shared" si="9"/>
        <v>OK</v>
      </c>
    </row>
    <row r="81" spans="1:19">
      <c r="A81" s="410" t="s">
        <v>125</v>
      </c>
      <c r="B81" s="81" t="s">
        <v>118</v>
      </c>
      <c r="C81" s="94" t="str">
        <f t="shared" si="8"/>
        <v>OK</v>
      </c>
      <c r="D81" s="94" t="str">
        <f t="shared" si="8"/>
        <v>OK</v>
      </c>
      <c r="E81" s="94" t="str">
        <f t="shared" si="8"/>
        <v>OK</v>
      </c>
      <c r="F81" s="94" t="str">
        <f t="shared" si="8"/>
        <v>OK</v>
      </c>
      <c r="G81" s="94" t="str">
        <f t="shared" si="8"/>
        <v>OK</v>
      </c>
      <c r="H81" s="94" t="str">
        <f t="shared" si="8"/>
        <v>OK</v>
      </c>
      <c r="I81" s="94" t="str">
        <f t="shared" si="8"/>
        <v>OK</v>
      </c>
      <c r="J81" s="94" t="str">
        <f t="shared" si="8"/>
        <v>OK</v>
      </c>
      <c r="K81" s="94" t="str">
        <f t="shared" si="8"/>
        <v>OK</v>
      </c>
      <c r="L81" s="94" t="str">
        <f t="shared" si="8"/>
        <v>OK</v>
      </c>
      <c r="M81" s="94" t="str">
        <f t="shared" si="8"/>
        <v>OK</v>
      </c>
      <c r="N81" s="94" t="str">
        <f t="shared" si="8"/>
        <v>OK</v>
      </c>
      <c r="O81" s="94" t="str">
        <f t="shared" si="8"/>
        <v>OK</v>
      </c>
      <c r="P81" s="94" t="str">
        <f t="shared" si="8"/>
        <v>OK</v>
      </c>
      <c r="Q81" s="94" t="str">
        <f t="shared" si="8"/>
        <v>OK</v>
      </c>
      <c r="R81" s="94" t="str">
        <f t="shared" si="8"/>
        <v>OK</v>
      </c>
      <c r="S81" s="95" t="str">
        <f t="shared" si="9"/>
        <v>OK</v>
      </c>
    </row>
    <row r="82" spans="1:19">
      <c r="A82" s="410"/>
      <c r="B82" s="72" t="s">
        <v>117</v>
      </c>
      <c r="C82" s="90" t="str">
        <f t="shared" si="8"/>
        <v>OK</v>
      </c>
      <c r="D82" s="90" t="str">
        <f t="shared" si="8"/>
        <v>OK</v>
      </c>
      <c r="E82" s="90" t="str">
        <f t="shared" si="8"/>
        <v>OK</v>
      </c>
      <c r="F82" s="90" t="str">
        <f t="shared" si="8"/>
        <v>OK</v>
      </c>
      <c r="G82" s="90" t="str">
        <f t="shared" si="8"/>
        <v>OK</v>
      </c>
      <c r="H82" s="90" t="str">
        <f t="shared" si="8"/>
        <v>OK</v>
      </c>
      <c r="I82" s="90" t="str">
        <f t="shared" si="8"/>
        <v>OK</v>
      </c>
      <c r="J82" s="90" t="str">
        <f t="shared" si="8"/>
        <v>OK</v>
      </c>
      <c r="K82" s="90" t="str">
        <f t="shared" si="8"/>
        <v>OK</v>
      </c>
      <c r="L82" s="90" t="str">
        <f t="shared" si="8"/>
        <v>OK</v>
      </c>
      <c r="M82" s="90" t="str">
        <f t="shared" si="8"/>
        <v>OK</v>
      </c>
      <c r="N82" s="90" t="str">
        <f t="shared" si="8"/>
        <v>OK</v>
      </c>
      <c r="O82" s="90" t="str">
        <f t="shared" si="8"/>
        <v>OK</v>
      </c>
      <c r="P82" s="90" t="str">
        <f t="shared" si="8"/>
        <v>OK</v>
      </c>
      <c r="Q82" s="90" t="str">
        <f t="shared" si="8"/>
        <v>OK</v>
      </c>
      <c r="R82" s="90" t="str">
        <f t="shared" si="8"/>
        <v>OK</v>
      </c>
      <c r="S82" s="91" t="str">
        <f t="shared" si="9"/>
        <v>OK</v>
      </c>
    </row>
    <row r="83" spans="1:19" ht="10.5" customHeight="1">
      <c r="A83" s="410"/>
      <c r="B83" s="75" t="s">
        <v>119</v>
      </c>
      <c r="C83" s="96" t="str">
        <f t="shared" si="8"/>
        <v>OK</v>
      </c>
      <c r="D83" s="96" t="str">
        <f t="shared" si="8"/>
        <v>OK</v>
      </c>
      <c r="E83" s="96" t="str">
        <f t="shared" si="8"/>
        <v>OK</v>
      </c>
      <c r="F83" s="96" t="str">
        <f t="shared" si="8"/>
        <v>OK</v>
      </c>
      <c r="G83" s="96" t="str">
        <f t="shared" si="8"/>
        <v>OK</v>
      </c>
      <c r="H83" s="96" t="str">
        <f t="shared" si="8"/>
        <v>OK</v>
      </c>
      <c r="I83" s="96" t="str">
        <f t="shared" si="8"/>
        <v>OK</v>
      </c>
      <c r="J83" s="96" t="str">
        <f t="shared" si="8"/>
        <v>OK</v>
      </c>
      <c r="K83" s="96" t="str">
        <f t="shared" si="8"/>
        <v>OK</v>
      </c>
      <c r="L83" s="96" t="str">
        <f t="shared" si="8"/>
        <v>OK</v>
      </c>
      <c r="M83" s="96" t="str">
        <f t="shared" si="8"/>
        <v>OK</v>
      </c>
      <c r="N83" s="96" t="str">
        <f t="shared" si="8"/>
        <v>OK</v>
      </c>
      <c r="O83" s="96" t="str">
        <f t="shared" si="8"/>
        <v>OK</v>
      </c>
      <c r="P83" s="96" t="str">
        <f t="shared" si="8"/>
        <v>OK</v>
      </c>
      <c r="Q83" s="96" t="str">
        <f t="shared" si="8"/>
        <v>OK</v>
      </c>
      <c r="R83" s="96" t="str">
        <f t="shared" si="8"/>
        <v>OK</v>
      </c>
      <c r="S83" s="97" t="str">
        <f t="shared" si="9"/>
        <v>OK</v>
      </c>
    </row>
    <row r="84" spans="1:19" ht="10.15" customHeight="1">
      <c r="A84" s="422" t="s">
        <v>126</v>
      </c>
      <c r="B84" s="81" t="s">
        <v>118</v>
      </c>
      <c r="C84" s="94" t="str">
        <f t="shared" si="8"/>
        <v>OK</v>
      </c>
      <c r="D84" s="94" t="str">
        <f t="shared" si="8"/>
        <v>OK</v>
      </c>
      <c r="E84" s="94" t="str">
        <f t="shared" si="8"/>
        <v>OK</v>
      </c>
      <c r="F84" s="94" t="str">
        <f t="shared" si="8"/>
        <v>OK</v>
      </c>
      <c r="G84" s="94" t="str">
        <f t="shared" si="8"/>
        <v>OK</v>
      </c>
      <c r="H84" s="94" t="str">
        <f t="shared" si="8"/>
        <v>OK</v>
      </c>
      <c r="I84" s="94" t="str">
        <f t="shared" si="8"/>
        <v>OK</v>
      </c>
      <c r="J84" s="94" t="str">
        <f t="shared" si="8"/>
        <v>OK</v>
      </c>
      <c r="K84" s="94" t="str">
        <f t="shared" si="8"/>
        <v>OK</v>
      </c>
      <c r="L84" s="94" t="str">
        <f t="shared" si="8"/>
        <v>OK</v>
      </c>
      <c r="M84" s="94" t="str">
        <f t="shared" si="8"/>
        <v>OK</v>
      </c>
      <c r="N84" s="94" t="str">
        <f t="shared" si="8"/>
        <v>OK</v>
      </c>
      <c r="O84" s="94" t="str">
        <f t="shared" si="8"/>
        <v>OK</v>
      </c>
      <c r="P84" s="94" t="str">
        <f t="shared" si="8"/>
        <v>OK</v>
      </c>
      <c r="Q84" s="109" t="str">
        <f t="shared" si="8"/>
        <v>OK</v>
      </c>
      <c r="R84" s="94" t="str">
        <f t="shared" si="8"/>
        <v>OK</v>
      </c>
      <c r="S84" s="95" t="str">
        <f t="shared" si="9"/>
        <v>OK</v>
      </c>
    </row>
    <row r="85" spans="1:19">
      <c r="A85" s="410"/>
      <c r="B85" s="72" t="s">
        <v>117</v>
      </c>
      <c r="C85" s="90" t="str">
        <f t="shared" si="8"/>
        <v>OK</v>
      </c>
      <c r="D85" s="90" t="str">
        <f t="shared" si="8"/>
        <v>OK</v>
      </c>
      <c r="E85" s="90" t="str">
        <f t="shared" si="8"/>
        <v>OK</v>
      </c>
      <c r="F85" s="90" t="str">
        <f t="shared" si="8"/>
        <v>OK</v>
      </c>
      <c r="G85" s="90" t="str">
        <f t="shared" si="8"/>
        <v>OK</v>
      </c>
      <c r="H85" s="90" t="str">
        <f t="shared" si="8"/>
        <v>OK</v>
      </c>
      <c r="I85" s="90" t="str">
        <f t="shared" si="8"/>
        <v>OK</v>
      </c>
      <c r="J85" s="90" t="str">
        <f t="shared" si="8"/>
        <v>OK</v>
      </c>
      <c r="K85" s="90" t="str">
        <f t="shared" si="8"/>
        <v>OK</v>
      </c>
      <c r="L85" s="90" t="str">
        <f t="shared" si="8"/>
        <v>OK</v>
      </c>
      <c r="M85" s="90" t="str">
        <f t="shared" si="8"/>
        <v>OK</v>
      </c>
      <c r="N85" s="90" t="str">
        <f t="shared" si="8"/>
        <v>OK</v>
      </c>
      <c r="O85" s="90" t="str">
        <f t="shared" si="8"/>
        <v>OK</v>
      </c>
      <c r="P85" s="90" t="str">
        <f t="shared" si="8"/>
        <v>OK</v>
      </c>
      <c r="Q85" s="90" t="str">
        <f t="shared" si="8"/>
        <v>OK</v>
      </c>
      <c r="R85" s="108" t="str">
        <f t="shared" si="8"/>
        <v>OK</v>
      </c>
      <c r="S85" s="91" t="str">
        <f t="shared" si="9"/>
        <v>OK</v>
      </c>
    </row>
    <row r="86" spans="1:19">
      <c r="A86" s="410"/>
      <c r="B86" s="75" t="s">
        <v>119</v>
      </c>
      <c r="C86" s="96" t="str">
        <f t="shared" si="8"/>
        <v>OK</v>
      </c>
      <c r="D86" s="96" t="str">
        <f t="shared" si="8"/>
        <v>OK</v>
      </c>
      <c r="E86" s="96" t="str">
        <f t="shared" si="8"/>
        <v>OK</v>
      </c>
      <c r="F86" s="96" t="str">
        <f t="shared" si="8"/>
        <v>OK</v>
      </c>
      <c r="G86" s="96" t="str">
        <f t="shared" si="8"/>
        <v>OK</v>
      </c>
      <c r="H86" s="96" t="str">
        <f t="shared" si="8"/>
        <v>OK</v>
      </c>
      <c r="I86" s="96" t="str">
        <f t="shared" si="8"/>
        <v>OK</v>
      </c>
      <c r="J86" s="96" t="str">
        <f t="shared" si="8"/>
        <v>OK</v>
      </c>
      <c r="K86" s="96" t="str">
        <f t="shared" si="8"/>
        <v>OK</v>
      </c>
      <c r="L86" s="96" t="str">
        <f t="shared" si="8"/>
        <v>OK</v>
      </c>
      <c r="M86" s="96" t="str">
        <f t="shared" si="8"/>
        <v>OK</v>
      </c>
      <c r="N86" s="96" t="str">
        <f t="shared" si="8"/>
        <v>OK</v>
      </c>
      <c r="O86" s="96" t="str">
        <f t="shared" si="8"/>
        <v>OK</v>
      </c>
      <c r="P86" s="96" t="str">
        <f t="shared" si="8"/>
        <v>OK</v>
      </c>
      <c r="Q86" s="110" t="str">
        <f t="shared" si="8"/>
        <v>OK</v>
      </c>
      <c r="R86" s="96" t="str">
        <f t="shared" si="8"/>
        <v>OK</v>
      </c>
      <c r="S86" s="97" t="str">
        <f t="shared" si="9"/>
        <v>OK</v>
      </c>
    </row>
    <row r="87" spans="1:19">
      <c r="A87" s="410" t="s">
        <v>15</v>
      </c>
      <c r="B87" s="81" t="s">
        <v>118</v>
      </c>
      <c r="C87" s="94" t="str">
        <f t="shared" si="8"/>
        <v>OK</v>
      </c>
      <c r="D87" s="94" t="str">
        <f t="shared" si="8"/>
        <v>OK</v>
      </c>
      <c r="E87" s="94" t="str">
        <f t="shared" si="8"/>
        <v>OK</v>
      </c>
      <c r="F87" s="94" t="str">
        <f t="shared" si="8"/>
        <v>OK</v>
      </c>
      <c r="G87" s="94" t="str">
        <f t="shared" si="8"/>
        <v>OK</v>
      </c>
      <c r="H87" s="94" t="str">
        <f t="shared" si="8"/>
        <v>OK</v>
      </c>
      <c r="I87" s="94" t="str">
        <f t="shared" si="8"/>
        <v>OK</v>
      </c>
      <c r="J87" s="94" t="str">
        <f t="shared" si="8"/>
        <v>OK</v>
      </c>
      <c r="K87" s="94" t="str">
        <f t="shared" si="8"/>
        <v>OK</v>
      </c>
      <c r="L87" s="94" t="str">
        <f t="shared" si="8"/>
        <v>OK</v>
      </c>
      <c r="M87" s="94" t="str">
        <f t="shared" si="8"/>
        <v>OK</v>
      </c>
      <c r="N87" s="94" t="str">
        <f t="shared" si="8"/>
        <v>OK</v>
      </c>
      <c r="O87" s="94" t="str">
        <f t="shared" si="8"/>
        <v>OK</v>
      </c>
      <c r="P87" s="94" t="str">
        <f t="shared" si="8"/>
        <v>OK</v>
      </c>
      <c r="Q87" s="94" t="str">
        <f t="shared" si="8"/>
        <v>OK</v>
      </c>
      <c r="R87" s="94" t="str">
        <f t="shared" si="8"/>
        <v>OK</v>
      </c>
      <c r="S87" s="95" t="str">
        <f t="shared" si="9"/>
        <v>OK</v>
      </c>
    </row>
    <row r="88" spans="1:19">
      <c r="A88" s="410"/>
      <c r="B88" s="72" t="s">
        <v>117</v>
      </c>
      <c r="C88" s="90" t="str">
        <f t="shared" si="8"/>
        <v>OK</v>
      </c>
      <c r="D88" s="90" t="str">
        <f t="shared" si="8"/>
        <v>OK</v>
      </c>
      <c r="E88" s="90" t="str">
        <f t="shared" si="8"/>
        <v>OK</v>
      </c>
      <c r="F88" s="90" t="str">
        <f t="shared" si="8"/>
        <v>OK</v>
      </c>
      <c r="G88" s="90" t="str">
        <f t="shared" si="8"/>
        <v>OK</v>
      </c>
      <c r="H88" s="90" t="str">
        <f t="shared" si="8"/>
        <v>OK</v>
      </c>
      <c r="I88" s="90" t="str">
        <f t="shared" si="8"/>
        <v>OK</v>
      </c>
      <c r="J88" s="90" t="str">
        <f t="shared" si="8"/>
        <v>OK</v>
      </c>
      <c r="K88" s="90" t="str">
        <f t="shared" si="8"/>
        <v>OK</v>
      </c>
      <c r="L88" s="90" t="str">
        <f t="shared" si="8"/>
        <v>OK</v>
      </c>
      <c r="M88" s="90" t="str">
        <f t="shared" si="8"/>
        <v>OK</v>
      </c>
      <c r="N88" s="90" t="str">
        <f t="shared" si="8"/>
        <v>OK</v>
      </c>
      <c r="O88" s="90" t="str">
        <f t="shared" si="8"/>
        <v>OK</v>
      </c>
      <c r="P88" s="90" t="str">
        <f t="shared" si="8"/>
        <v>OK</v>
      </c>
      <c r="Q88" s="90" t="str">
        <f t="shared" si="8"/>
        <v>OK</v>
      </c>
      <c r="R88" s="90" t="str">
        <f t="shared" ref="R88:S101" si="10">IF(R21-R55=0,"OK",R21-R55)</f>
        <v>OK</v>
      </c>
      <c r="S88" s="91" t="str">
        <f t="shared" si="10"/>
        <v>OK</v>
      </c>
    </row>
    <row r="89" spans="1:19">
      <c r="A89" s="410"/>
      <c r="B89" s="75" t="s">
        <v>119</v>
      </c>
      <c r="C89" s="96" t="str">
        <f t="shared" ref="C89:R101" si="11">IF(C22-C56=0,"OK",C22-C56)</f>
        <v>OK</v>
      </c>
      <c r="D89" s="96" t="str">
        <f t="shared" si="11"/>
        <v>OK</v>
      </c>
      <c r="E89" s="96" t="str">
        <f t="shared" si="11"/>
        <v>OK</v>
      </c>
      <c r="F89" s="96" t="str">
        <f t="shared" si="11"/>
        <v>OK</v>
      </c>
      <c r="G89" s="96" t="str">
        <f t="shared" si="11"/>
        <v>OK</v>
      </c>
      <c r="H89" s="96" t="str">
        <f t="shared" si="11"/>
        <v>OK</v>
      </c>
      <c r="I89" s="96" t="str">
        <f t="shared" si="11"/>
        <v>OK</v>
      </c>
      <c r="J89" s="96" t="str">
        <f t="shared" si="11"/>
        <v>OK</v>
      </c>
      <c r="K89" s="96" t="str">
        <f t="shared" si="11"/>
        <v>OK</v>
      </c>
      <c r="L89" s="96" t="str">
        <f t="shared" si="11"/>
        <v>OK</v>
      </c>
      <c r="M89" s="96" t="str">
        <f t="shared" si="11"/>
        <v>OK</v>
      </c>
      <c r="N89" s="96" t="str">
        <f t="shared" si="11"/>
        <v>OK</v>
      </c>
      <c r="O89" s="96" t="str">
        <f t="shared" si="11"/>
        <v>OK</v>
      </c>
      <c r="P89" s="96" t="str">
        <f t="shared" si="11"/>
        <v>OK</v>
      </c>
      <c r="Q89" s="96" t="str">
        <f t="shared" si="11"/>
        <v>OK</v>
      </c>
      <c r="R89" s="96" t="str">
        <f t="shared" si="11"/>
        <v>OK</v>
      </c>
      <c r="S89" s="97" t="str">
        <f t="shared" si="10"/>
        <v>OK</v>
      </c>
    </row>
    <row r="90" spans="1:19">
      <c r="A90" s="410" t="s">
        <v>73</v>
      </c>
      <c r="B90" s="81" t="s">
        <v>118</v>
      </c>
      <c r="C90" s="94" t="str">
        <f t="shared" si="11"/>
        <v>OK</v>
      </c>
      <c r="D90" s="94" t="str">
        <f t="shared" si="11"/>
        <v>OK</v>
      </c>
      <c r="E90" s="94" t="str">
        <f t="shared" si="11"/>
        <v>OK</v>
      </c>
      <c r="F90" s="94" t="str">
        <f t="shared" si="11"/>
        <v>OK</v>
      </c>
      <c r="G90" s="94" t="str">
        <f t="shared" si="11"/>
        <v>OK</v>
      </c>
      <c r="H90" s="94" t="str">
        <f t="shared" si="11"/>
        <v>OK</v>
      </c>
      <c r="I90" s="94" t="str">
        <f t="shared" si="11"/>
        <v>OK</v>
      </c>
      <c r="J90" s="94" t="str">
        <f t="shared" si="11"/>
        <v>OK</v>
      </c>
      <c r="K90" s="94" t="str">
        <f t="shared" si="11"/>
        <v>OK</v>
      </c>
      <c r="L90" s="94" t="str">
        <f t="shared" si="11"/>
        <v>OK</v>
      </c>
      <c r="M90" s="94" t="str">
        <f t="shared" si="11"/>
        <v>OK</v>
      </c>
      <c r="N90" s="94" t="str">
        <f t="shared" si="11"/>
        <v>OK</v>
      </c>
      <c r="O90" s="94" t="str">
        <f t="shared" si="11"/>
        <v>OK</v>
      </c>
      <c r="P90" s="94" t="str">
        <f t="shared" si="11"/>
        <v>OK</v>
      </c>
      <c r="Q90" s="94" t="str">
        <f t="shared" si="11"/>
        <v>OK</v>
      </c>
      <c r="R90" s="94" t="str">
        <f t="shared" si="11"/>
        <v>OK</v>
      </c>
      <c r="S90" s="95" t="str">
        <f t="shared" si="10"/>
        <v>OK</v>
      </c>
    </row>
    <row r="91" spans="1:19">
      <c r="A91" s="410"/>
      <c r="B91" s="72" t="s">
        <v>117</v>
      </c>
      <c r="C91" s="90" t="str">
        <f t="shared" si="11"/>
        <v>OK</v>
      </c>
      <c r="D91" s="90" t="str">
        <f t="shared" si="11"/>
        <v>OK</v>
      </c>
      <c r="E91" s="90" t="str">
        <f t="shared" si="11"/>
        <v>OK</v>
      </c>
      <c r="F91" s="90" t="str">
        <f t="shared" si="11"/>
        <v>OK</v>
      </c>
      <c r="G91" s="90" t="str">
        <f t="shared" si="11"/>
        <v>OK</v>
      </c>
      <c r="H91" s="90" t="str">
        <f t="shared" si="11"/>
        <v>OK</v>
      </c>
      <c r="I91" s="90" t="str">
        <f t="shared" si="11"/>
        <v>OK</v>
      </c>
      <c r="J91" s="90" t="str">
        <f t="shared" si="11"/>
        <v>OK</v>
      </c>
      <c r="K91" s="90" t="str">
        <f t="shared" si="11"/>
        <v>OK</v>
      </c>
      <c r="L91" s="90" t="str">
        <f t="shared" si="11"/>
        <v>OK</v>
      </c>
      <c r="M91" s="90" t="str">
        <f t="shared" si="11"/>
        <v>OK</v>
      </c>
      <c r="N91" s="90" t="str">
        <f t="shared" si="11"/>
        <v>OK</v>
      </c>
      <c r="O91" s="90" t="str">
        <f t="shared" si="11"/>
        <v>OK</v>
      </c>
      <c r="P91" s="90" t="str">
        <f t="shared" si="11"/>
        <v>OK</v>
      </c>
      <c r="Q91" s="90" t="str">
        <f t="shared" si="11"/>
        <v>OK</v>
      </c>
      <c r="R91" s="90" t="str">
        <f t="shared" si="11"/>
        <v>OK</v>
      </c>
      <c r="S91" s="91" t="str">
        <f t="shared" si="10"/>
        <v>OK</v>
      </c>
    </row>
    <row r="92" spans="1:19">
      <c r="A92" s="410"/>
      <c r="B92" s="75" t="s">
        <v>119</v>
      </c>
      <c r="C92" s="96" t="str">
        <f t="shared" si="11"/>
        <v>OK</v>
      </c>
      <c r="D92" s="96" t="str">
        <f t="shared" si="11"/>
        <v>OK</v>
      </c>
      <c r="E92" s="96" t="str">
        <f t="shared" si="11"/>
        <v>OK</v>
      </c>
      <c r="F92" s="96" t="str">
        <f t="shared" si="11"/>
        <v>OK</v>
      </c>
      <c r="G92" s="96" t="str">
        <f t="shared" si="11"/>
        <v>OK</v>
      </c>
      <c r="H92" s="96" t="str">
        <f t="shared" si="11"/>
        <v>OK</v>
      </c>
      <c r="I92" s="96" t="str">
        <f t="shared" si="11"/>
        <v>OK</v>
      </c>
      <c r="J92" s="96" t="str">
        <f t="shared" si="11"/>
        <v>OK</v>
      </c>
      <c r="K92" s="96" t="str">
        <f t="shared" si="11"/>
        <v>OK</v>
      </c>
      <c r="L92" s="96" t="str">
        <f t="shared" si="11"/>
        <v>OK</v>
      </c>
      <c r="M92" s="96" t="str">
        <f t="shared" si="11"/>
        <v>OK</v>
      </c>
      <c r="N92" s="96" t="str">
        <f t="shared" si="11"/>
        <v>OK</v>
      </c>
      <c r="O92" s="96" t="str">
        <f t="shared" si="11"/>
        <v>OK</v>
      </c>
      <c r="P92" s="96" t="str">
        <f t="shared" si="11"/>
        <v>OK</v>
      </c>
      <c r="Q92" s="96" t="str">
        <f t="shared" si="11"/>
        <v>OK</v>
      </c>
      <c r="R92" s="96" t="str">
        <f t="shared" si="11"/>
        <v>OK</v>
      </c>
      <c r="S92" s="97" t="str">
        <f t="shared" si="10"/>
        <v>OK</v>
      </c>
    </row>
    <row r="93" spans="1:19">
      <c r="A93" s="410" t="s">
        <v>127</v>
      </c>
      <c r="B93" s="81" t="s">
        <v>118</v>
      </c>
      <c r="C93" s="94" t="str">
        <f t="shared" si="11"/>
        <v>OK</v>
      </c>
      <c r="D93" s="94" t="str">
        <f t="shared" si="11"/>
        <v>OK</v>
      </c>
      <c r="E93" s="94" t="str">
        <f t="shared" si="11"/>
        <v>OK</v>
      </c>
      <c r="F93" s="94" t="str">
        <f t="shared" si="11"/>
        <v>OK</v>
      </c>
      <c r="G93" s="94" t="str">
        <f t="shared" si="11"/>
        <v>OK</v>
      </c>
      <c r="H93" s="94" t="str">
        <f t="shared" si="11"/>
        <v>OK</v>
      </c>
      <c r="I93" s="94" t="str">
        <f t="shared" si="11"/>
        <v>OK</v>
      </c>
      <c r="J93" s="94" t="str">
        <f t="shared" si="11"/>
        <v>OK</v>
      </c>
      <c r="K93" s="94" t="str">
        <f t="shared" si="11"/>
        <v>OK</v>
      </c>
      <c r="L93" s="94" t="str">
        <f t="shared" si="11"/>
        <v>OK</v>
      </c>
      <c r="M93" s="94" t="str">
        <f t="shared" si="11"/>
        <v>OK</v>
      </c>
      <c r="N93" s="94" t="str">
        <f t="shared" si="11"/>
        <v>OK</v>
      </c>
      <c r="O93" s="94" t="str">
        <f t="shared" si="11"/>
        <v>OK</v>
      </c>
      <c r="P93" s="94" t="str">
        <f t="shared" si="11"/>
        <v>OK</v>
      </c>
      <c r="Q93" s="94" t="str">
        <f t="shared" si="11"/>
        <v>OK</v>
      </c>
      <c r="R93" s="94" t="str">
        <f t="shared" si="11"/>
        <v>OK</v>
      </c>
      <c r="S93" s="95" t="str">
        <f t="shared" si="10"/>
        <v>OK</v>
      </c>
    </row>
    <row r="94" spans="1:19">
      <c r="A94" s="410"/>
      <c r="B94" s="72" t="s">
        <v>117</v>
      </c>
      <c r="C94" s="90" t="str">
        <f t="shared" si="11"/>
        <v>OK</v>
      </c>
      <c r="D94" s="90" t="str">
        <f t="shared" si="11"/>
        <v>OK</v>
      </c>
      <c r="E94" s="90" t="str">
        <f t="shared" si="11"/>
        <v>OK</v>
      </c>
      <c r="F94" s="90" t="str">
        <f t="shared" si="11"/>
        <v>OK</v>
      </c>
      <c r="G94" s="90" t="str">
        <f t="shared" si="11"/>
        <v>OK</v>
      </c>
      <c r="H94" s="90" t="str">
        <f t="shared" si="11"/>
        <v>OK</v>
      </c>
      <c r="I94" s="90" t="str">
        <f t="shared" si="11"/>
        <v>OK</v>
      </c>
      <c r="J94" s="90" t="str">
        <f t="shared" si="11"/>
        <v>OK</v>
      </c>
      <c r="K94" s="90" t="str">
        <f t="shared" si="11"/>
        <v>OK</v>
      </c>
      <c r="L94" s="90" t="str">
        <f t="shared" si="11"/>
        <v>OK</v>
      </c>
      <c r="M94" s="90" t="str">
        <f t="shared" si="11"/>
        <v>OK</v>
      </c>
      <c r="N94" s="90" t="str">
        <f t="shared" si="11"/>
        <v>OK</v>
      </c>
      <c r="O94" s="90" t="str">
        <f t="shared" si="11"/>
        <v>OK</v>
      </c>
      <c r="P94" s="90" t="str">
        <f t="shared" si="11"/>
        <v>OK</v>
      </c>
      <c r="Q94" s="90" t="str">
        <f t="shared" si="11"/>
        <v>OK</v>
      </c>
      <c r="R94" s="90" t="str">
        <f t="shared" si="11"/>
        <v>OK</v>
      </c>
      <c r="S94" s="91" t="str">
        <f t="shared" si="10"/>
        <v>OK</v>
      </c>
    </row>
    <row r="95" spans="1:19">
      <c r="A95" s="410"/>
      <c r="B95" s="75" t="s">
        <v>119</v>
      </c>
      <c r="C95" s="96" t="str">
        <f t="shared" si="11"/>
        <v>OK</v>
      </c>
      <c r="D95" s="96" t="str">
        <f t="shared" si="11"/>
        <v>OK</v>
      </c>
      <c r="E95" s="96" t="str">
        <f t="shared" si="11"/>
        <v>OK</v>
      </c>
      <c r="F95" s="96" t="str">
        <f t="shared" si="11"/>
        <v>OK</v>
      </c>
      <c r="G95" s="96" t="str">
        <f t="shared" si="11"/>
        <v>OK</v>
      </c>
      <c r="H95" s="96" t="str">
        <f t="shared" si="11"/>
        <v>OK</v>
      </c>
      <c r="I95" s="96" t="str">
        <f t="shared" si="11"/>
        <v>OK</v>
      </c>
      <c r="J95" s="96" t="str">
        <f t="shared" si="11"/>
        <v>OK</v>
      </c>
      <c r="K95" s="96" t="str">
        <f t="shared" si="11"/>
        <v>OK</v>
      </c>
      <c r="L95" s="96" t="str">
        <f t="shared" si="11"/>
        <v>OK</v>
      </c>
      <c r="M95" s="96" t="str">
        <f t="shared" si="11"/>
        <v>OK</v>
      </c>
      <c r="N95" s="96" t="str">
        <f t="shared" si="11"/>
        <v>OK</v>
      </c>
      <c r="O95" s="96" t="str">
        <f t="shared" si="11"/>
        <v>OK</v>
      </c>
      <c r="P95" s="96" t="str">
        <f t="shared" si="11"/>
        <v>OK</v>
      </c>
      <c r="Q95" s="96" t="str">
        <f t="shared" si="11"/>
        <v>OK</v>
      </c>
      <c r="R95" s="96" t="str">
        <f t="shared" si="11"/>
        <v>OK</v>
      </c>
      <c r="S95" s="97" t="str">
        <f t="shared" si="10"/>
        <v>OK</v>
      </c>
    </row>
    <row r="96" spans="1:19">
      <c r="A96" s="410" t="s">
        <v>128</v>
      </c>
      <c r="B96" s="81" t="s">
        <v>118</v>
      </c>
      <c r="C96" s="94" t="str">
        <f t="shared" si="11"/>
        <v>OK</v>
      </c>
      <c r="D96" s="94" t="str">
        <f t="shared" si="11"/>
        <v>OK</v>
      </c>
      <c r="E96" s="94" t="str">
        <f t="shared" si="11"/>
        <v>OK</v>
      </c>
      <c r="F96" s="94" t="str">
        <f t="shared" si="11"/>
        <v>OK</v>
      </c>
      <c r="G96" s="94" t="str">
        <f t="shared" si="11"/>
        <v>OK</v>
      </c>
      <c r="H96" s="94" t="str">
        <f t="shared" si="11"/>
        <v>OK</v>
      </c>
      <c r="I96" s="94" t="str">
        <f t="shared" si="11"/>
        <v>OK</v>
      </c>
      <c r="J96" s="94" t="str">
        <f t="shared" si="11"/>
        <v>OK</v>
      </c>
      <c r="K96" s="94" t="str">
        <f t="shared" si="11"/>
        <v>OK</v>
      </c>
      <c r="L96" s="94" t="str">
        <f t="shared" si="11"/>
        <v>OK</v>
      </c>
      <c r="M96" s="94" t="str">
        <f t="shared" si="11"/>
        <v>OK</v>
      </c>
      <c r="N96" s="94" t="str">
        <f t="shared" si="11"/>
        <v>OK</v>
      </c>
      <c r="O96" s="94" t="str">
        <f t="shared" si="11"/>
        <v>OK</v>
      </c>
      <c r="P96" s="94" t="str">
        <f t="shared" si="11"/>
        <v>OK</v>
      </c>
      <c r="Q96" s="94" t="str">
        <f t="shared" si="11"/>
        <v>OK</v>
      </c>
      <c r="R96" s="94" t="str">
        <f t="shared" si="11"/>
        <v>OK</v>
      </c>
      <c r="S96" s="95" t="str">
        <f t="shared" si="10"/>
        <v>OK</v>
      </c>
    </row>
    <row r="97" spans="1:19">
      <c r="A97" s="410"/>
      <c r="B97" s="72" t="s">
        <v>117</v>
      </c>
      <c r="C97" s="90" t="str">
        <f t="shared" si="11"/>
        <v>OK</v>
      </c>
      <c r="D97" s="90" t="str">
        <f t="shared" si="11"/>
        <v>OK</v>
      </c>
      <c r="E97" s="90" t="str">
        <f t="shared" si="11"/>
        <v>OK</v>
      </c>
      <c r="F97" s="90" t="str">
        <f t="shared" si="11"/>
        <v>OK</v>
      </c>
      <c r="G97" s="90" t="str">
        <f t="shared" si="11"/>
        <v>OK</v>
      </c>
      <c r="H97" s="90" t="str">
        <f t="shared" si="11"/>
        <v>OK</v>
      </c>
      <c r="I97" s="90" t="str">
        <f t="shared" si="11"/>
        <v>OK</v>
      </c>
      <c r="J97" s="90" t="str">
        <f t="shared" si="11"/>
        <v>OK</v>
      </c>
      <c r="K97" s="90" t="str">
        <f t="shared" si="11"/>
        <v>OK</v>
      </c>
      <c r="L97" s="90" t="str">
        <f t="shared" si="11"/>
        <v>OK</v>
      </c>
      <c r="M97" s="90" t="str">
        <f t="shared" si="11"/>
        <v>OK</v>
      </c>
      <c r="N97" s="90" t="str">
        <f t="shared" si="11"/>
        <v>OK</v>
      </c>
      <c r="O97" s="90" t="str">
        <f t="shared" si="11"/>
        <v>OK</v>
      </c>
      <c r="P97" s="90" t="str">
        <f t="shared" si="11"/>
        <v>OK</v>
      </c>
      <c r="Q97" s="90" t="str">
        <f t="shared" si="11"/>
        <v>OK</v>
      </c>
      <c r="R97" s="90" t="str">
        <f t="shared" si="11"/>
        <v>OK</v>
      </c>
      <c r="S97" s="91" t="str">
        <f t="shared" si="10"/>
        <v>OK</v>
      </c>
    </row>
    <row r="98" spans="1:19">
      <c r="A98" s="410"/>
      <c r="B98" s="75" t="s">
        <v>119</v>
      </c>
      <c r="C98" s="96" t="str">
        <f t="shared" si="11"/>
        <v>OK</v>
      </c>
      <c r="D98" s="96" t="str">
        <f t="shared" si="11"/>
        <v>OK</v>
      </c>
      <c r="E98" s="96" t="str">
        <f t="shared" si="11"/>
        <v>OK</v>
      </c>
      <c r="F98" s="96" t="str">
        <f t="shared" si="11"/>
        <v>OK</v>
      </c>
      <c r="G98" s="96" t="str">
        <f t="shared" si="11"/>
        <v>OK</v>
      </c>
      <c r="H98" s="96" t="str">
        <f t="shared" si="11"/>
        <v>OK</v>
      </c>
      <c r="I98" s="96" t="str">
        <f t="shared" si="11"/>
        <v>OK</v>
      </c>
      <c r="J98" s="96" t="str">
        <f t="shared" si="11"/>
        <v>OK</v>
      </c>
      <c r="K98" s="96" t="str">
        <f t="shared" si="11"/>
        <v>OK</v>
      </c>
      <c r="L98" s="96" t="str">
        <f t="shared" si="11"/>
        <v>OK</v>
      </c>
      <c r="M98" s="96" t="str">
        <f t="shared" si="11"/>
        <v>OK</v>
      </c>
      <c r="N98" s="96" t="str">
        <f t="shared" si="11"/>
        <v>OK</v>
      </c>
      <c r="O98" s="96" t="str">
        <f t="shared" si="11"/>
        <v>OK</v>
      </c>
      <c r="P98" s="96" t="str">
        <f t="shared" si="11"/>
        <v>OK</v>
      </c>
      <c r="Q98" s="96" t="str">
        <f t="shared" si="11"/>
        <v>OK</v>
      </c>
      <c r="R98" s="96" t="str">
        <f t="shared" si="11"/>
        <v>OK</v>
      </c>
      <c r="S98" s="97" t="str">
        <f t="shared" si="10"/>
        <v>OK</v>
      </c>
    </row>
    <row r="99" spans="1:19">
      <c r="A99" s="410" t="s">
        <v>129</v>
      </c>
      <c r="B99" s="81" t="s">
        <v>118</v>
      </c>
      <c r="C99" s="105" t="str">
        <f t="shared" si="11"/>
        <v>OK</v>
      </c>
      <c r="D99" s="94" t="str">
        <f t="shared" si="11"/>
        <v>OK</v>
      </c>
      <c r="E99" s="94" t="str">
        <f t="shared" si="11"/>
        <v>OK</v>
      </c>
      <c r="F99" s="94" t="str">
        <f t="shared" si="11"/>
        <v>OK</v>
      </c>
      <c r="G99" s="94" t="str">
        <f t="shared" si="11"/>
        <v>OK</v>
      </c>
      <c r="H99" s="94" t="str">
        <f t="shared" si="11"/>
        <v>OK</v>
      </c>
      <c r="I99" s="94" t="str">
        <f t="shared" si="11"/>
        <v>OK</v>
      </c>
      <c r="J99" s="94" t="str">
        <f t="shared" si="11"/>
        <v>OK</v>
      </c>
      <c r="K99" s="94" t="str">
        <f t="shared" si="11"/>
        <v>OK</v>
      </c>
      <c r="L99" s="94" t="str">
        <f t="shared" si="11"/>
        <v>OK</v>
      </c>
      <c r="M99" s="94" t="str">
        <f t="shared" si="11"/>
        <v>OK</v>
      </c>
      <c r="N99" s="94" t="str">
        <f t="shared" si="11"/>
        <v>OK</v>
      </c>
      <c r="O99" s="94" t="str">
        <f t="shared" si="11"/>
        <v>OK</v>
      </c>
      <c r="P99" s="94" t="str">
        <f t="shared" si="11"/>
        <v>OK</v>
      </c>
      <c r="Q99" s="94" t="str">
        <f t="shared" si="11"/>
        <v>OK</v>
      </c>
      <c r="R99" s="94" t="str">
        <f t="shared" si="11"/>
        <v>OK</v>
      </c>
      <c r="S99" s="95" t="str">
        <f t="shared" si="10"/>
        <v>OK</v>
      </c>
    </row>
    <row r="100" spans="1:19">
      <c r="A100" s="410"/>
      <c r="B100" s="72" t="s">
        <v>117</v>
      </c>
      <c r="C100" s="106" t="str">
        <f t="shared" si="11"/>
        <v>OK</v>
      </c>
      <c r="D100" s="90" t="str">
        <f t="shared" si="11"/>
        <v>OK</v>
      </c>
      <c r="E100" s="90" t="str">
        <f t="shared" si="11"/>
        <v>OK</v>
      </c>
      <c r="F100" s="90" t="str">
        <f t="shared" si="11"/>
        <v>OK</v>
      </c>
      <c r="G100" s="90" t="str">
        <f t="shared" si="11"/>
        <v>OK</v>
      </c>
      <c r="H100" s="90" t="str">
        <f t="shared" si="11"/>
        <v>OK</v>
      </c>
      <c r="I100" s="90" t="str">
        <f t="shared" si="11"/>
        <v>OK</v>
      </c>
      <c r="J100" s="90" t="str">
        <f t="shared" si="11"/>
        <v>OK</v>
      </c>
      <c r="K100" s="90" t="str">
        <f t="shared" si="11"/>
        <v>OK</v>
      </c>
      <c r="L100" s="90" t="str">
        <f t="shared" si="11"/>
        <v>OK</v>
      </c>
      <c r="M100" s="90" t="str">
        <f t="shared" si="11"/>
        <v>OK</v>
      </c>
      <c r="N100" s="90" t="str">
        <f t="shared" si="11"/>
        <v>OK</v>
      </c>
      <c r="O100" s="90" t="str">
        <f t="shared" si="11"/>
        <v>OK</v>
      </c>
      <c r="P100" s="90" t="str">
        <f t="shared" si="11"/>
        <v>OK</v>
      </c>
      <c r="Q100" s="90" t="str">
        <f t="shared" si="11"/>
        <v>OK</v>
      </c>
      <c r="R100" s="90" t="str">
        <f t="shared" si="11"/>
        <v>OK</v>
      </c>
      <c r="S100" s="91" t="str">
        <f t="shared" si="10"/>
        <v>OK</v>
      </c>
    </row>
    <row r="101" spans="1:19" ht="13.5" thickBot="1">
      <c r="A101" s="420"/>
      <c r="B101" s="84" t="s">
        <v>119</v>
      </c>
      <c r="C101" s="107" t="str">
        <f t="shared" si="11"/>
        <v>OK</v>
      </c>
      <c r="D101" s="98" t="str">
        <f t="shared" si="11"/>
        <v>OK</v>
      </c>
      <c r="E101" s="98" t="str">
        <f t="shared" si="11"/>
        <v>OK</v>
      </c>
      <c r="F101" s="98" t="str">
        <f t="shared" si="11"/>
        <v>OK</v>
      </c>
      <c r="G101" s="98" t="str">
        <f t="shared" si="11"/>
        <v>OK</v>
      </c>
      <c r="H101" s="98" t="str">
        <f t="shared" si="11"/>
        <v>OK</v>
      </c>
      <c r="I101" s="98" t="str">
        <f t="shared" si="11"/>
        <v>OK</v>
      </c>
      <c r="J101" s="98" t="str">
        <f t="shared" si="11"/>
        <v>OK</v>
      </c>
      <c r="K101" s="98" t="str">
        <f t="shared" si="11"/>
        <v>OK</v>
      </c>
      <c r="L101" s="98" t="str">
        <f t="shared" si="11"/>
        <v>OK</v>
      </c>
      <c r="M101" s="98" t="str">
        <f t="shared" si="11"/>
        <v>OK</v>
      </c>
      <c r="N101" s="98" t="str">
        <f t="shared" si="11"/>
        <v>OK</v>
      </c>
      <c r="O101" s="98" t="str">
        <f t="shared" si="11"/>
        <v>OK</v>
      </c>
      <c r="P101" s="98" t="str">
        <f t="shared" si="11"/>
        <v>OK</v>
      </c>
      <c r="Q101" s="98" t="str">
        <f t="shared" si="11"/>
        <v>OK</v>
      </c>
      <c r="R101" s="98" t="str">
        <f t="shared" si="11"/>
        <v>OK</v>
      </c>
      <c r="S101" s="99" t="str">
        <f t="shared" si="10"/>
        <v>OK</v>
      </c>
    </row>
    <row r="102" spans="1:19" ht="13.5" thickTop="1"/>
  </sheetData>
  <mergeCells count="32">
    <mergeCell ref="A96:A98"/>
    <mergeCell ref="A99:A101"/>
    <mergeCell ref="A36:S36"/>
    <mergeCell ref="A48:A50"/>
    <mergeCell ref="A93:A95"/>
    <mergeCell ref="A72:A74"/>
    <mergeCell ref="A75:A77"/>
    <mergeCell ref="A54:A56"/>
    <mergeCell ref="A78:A80"/>
    <mergeCell ref="A81:A83"/>
    <mergeCell ref="A90:A92"/>
    <mergeCell ref="A1:D1"/>
    <mergeCell ref="A84:A86"/>
    <mergeCell ref="A87:A89"/>
    <mergeCell ref="A2:S2"/>
    <mergeCell ref="A17:A19"/>
    <mergeCell ref="A29:A31"/>
    <mergeCell ref="A20:A22"/>
    <mergeCell ref="A45:A47"/>
    <mergeCell ref="A32:A34"/>
    <mergeCell ref="A39:A41"/>
    <mergeCell ref="A42:A44"/>
    <mergeCell ref="A51:A53"/>
    <mergeCell ref="A57:A59"/>
    <mergeCell ref="A60:A62"/>
    <mergeCell ref="A63:A65"/>
    <mergeCell ref="A23:A25"/>
    <mergeCell ref="A26:A28"/>
    <mergeCell ref="A5:A7"/>
    <mergeCell ref="A8:A10"/>
    <mergeCell ref="A11:A13"/>
    <mergeCell ref="A14:A16"/>
  </mergeCells>
  <phoneticPr fontId="18" type="noConversion"/>
  <conditionalFormatting sqref="C72:S101">
    <cfRule type="expression" dxfId="1" priority="1" stopIfTrue="1">
      <formula>C5-C39&gt;0</formula>
    </cfRule>
    <cfRule type="expression" dxfId="0" priority="2" stopIfTrue="1">
      <formula>C5-C39&lt;0</formula>
    </cfRule>
  </conditionalFormatting>
  <pageMargins left="0.78740157499999996" right="0.78740157499999996" top="0.984251969" bottom="0.984251969" header="0.4921259845" footer="0.4921259845"/>
  <pageSetup paperSize="9" scale="76" orientation="landscape" r:id="rId1"/>
  <headerFooter alignWithMargins="0"/>
  <rowBreaks count="2" manualBreakCount="2">
    <brk id="34" max="16383" man="1"/>
    <brk id="69" max="16383"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4">
    <tabColor theme="6" tint="0.39997558519241921"/>
  </sheetPr>
  <dimension ref="A1:P215"/>
  <sheetViews>
    <sheetView view="pageBreakPreview" zoomScale="110" zoomScaleNormal="100" zoomScaleSheetLayoutView="110" workbookViewId="0">
      <pane ySplit="4" topLeftCell="A182" activePane="bottomLeft" state="frozen"/>
      <selection sqref="A1:D1"/>
      <selection pane="bottomLeft" activeCell="S180" sqref="S180"/>
    </sheetView>
  </sheetViews>
  <sheetFormatPr baseColWidth="10" defaultRowHeight="12.75"/>
  <cols>
    <col min="8" max="10" width="11.42578125" style="245"/>
    <col min="11" max="13" width="11.42578125" style="320"/>
    <col min="14" max="16" width="11.42578125" style="355"/>
  </cols>
  <sheetData>
    <row r="1" spans="1:16">
      <c r="A1" s="319"/>
    </row>
    <row r="2" spans="1:16" ht="18.75" thickBot="1">
      <c r="A2" s="326" t="s">
        <v>154</v>
      </c>
    </row>
    <row r="3" spans="1:16" ht="13.5" thickTop="1">
      <c r="A3" s="138"/>
      <c r="B3" s="427">
        <v>2012</v>
      </c>
      <c r="C3" s="427"/>
      <c r="D3" s="428"/>
      <c r="E3" s="427">
        <v>2013</v>
      </c>
      <c r="F3" s="427"/>
      <c r="G3" s="428"/>
      <c r="H3" s="427">
        <v>2014</v>
      </c>
      <c r="I3" s="427"/>
      <c r="J3" s="428"/>
      <c r="K3" s="427">
        <v>2015</v>
      </c>
      <c r="L3" s="427"/>
      <c r="M3" s="428"/>
      <c r="N3" s="427">
        <v>2016</v>
      </c>
      <c r="O3" s="427"/>
      <c r="P3" s="428"/>
    </row>
    <row r="4" spans="1:16">
      <c r="A4" s="139"/>
      <c r="B4" s="205" t="s">
        <v>151</v>
      </c>
      <c r="C4" s="205" t="s">
        <v>152</v>
      </c>
      <c r="D4" s="206" t="s">
        <v>119</v>
      </c>
      <c r="E4" s="205" t="s">
        <v>151</v>
      </c>
      <c r="F4" s="205" t="s">
        <v>152</v>
      </c>
      <c r="G4" s="206" t="s">
        <v>119</v>
      </c>
      <c r="H4" s="205" t="s">
        <v>151</v>
      </c>
      <c r="I4" s="205" t="s">
        <v>152</v>
      </c>
      <c r="J4" s="206" t="s">
        <v>119</v>
      </c>
      <c r="K4" s="205" t="s">
        <v>151</v>
      </c>
      <c r="L4" s="205" t="s">
        <v>152</v>
      </c>
      <c r="M4" s="206" t="s">
        <v>119</v>
      </c>
      <c r="N4" s="205" t="s">
        <v>151</v>
      </c>
      <c r="O4" s="205" t="s">
        <v>152</v>
      </c>
      <c r="P4" s="206" t="s">
        <v>119</v>
      </c>
    </row>
    <row r="5" spans="1:16" ht="13.5" thickBot="1">
      <c r="A5" s="423" t="s">
        <v>149</v>
      </c>
      <c r="B5" s="424"/>
      <c r="C5" s="424"/>
      <c r="D5" s="424"/>
      <c r="E5" s="424"/>
      <c r="F5" s="424"/>
      <c r="G5" s="424"/>
      <c r="H5" s="424"/>
      <c r="I5" s="424"/>
      <c r="J5" s="424"/>
      <c r="K5" s="424"/>
      <c r="L5" s="424"/>
      <c r="M5" s="424"/>
      <c r="N5" s="424"/>
      <c r="O5" s="424"/>
      <c r="P5" s="424"/>
    </row>
    <row r="6" spans="1:16" ht="13.5" thickTop="1">
      <c r="A6" s="207" t="s">
        <v>80</v>
      </c>
      <c r="B6" s="131">
        <f>[1]GtS!$I$9</f>
        <v>2389</v>
      </c>
      <c r="C6" s="140">
        <f>[1]GtS!$I$51</f>
        <v>101</v>
      </c>
      <c r="D6" s="136">
        <f>SUM(B6:C6)</f>
        <v>2490</v>
      </c>
      <c r="E6" s="131">
        <f>[2]GtS!$I$9</f>
        <v>2307</v>
      </c>
      <c r="F6" s="140">
        <f>[2]GtS!$I$53</f>
        <v>102</v>
      </c>
      <c r="G6" s="136">
        <f>SUM(E6:F6)</f>
        <v>2409</v>
      </c>
      <c r="H6" s="131">
        <f>[3]GtS!$I$9</f>
        <v>2228</v>
      </c>
      <c r="I6" s="140">
        <f>[3]GtS!$I$53</f>
        <v>103</v>
      </c>
      <c r="J6" s="136">
        <f>SUM(H6:I6)</f>
        <v>2331</v>
      </c>
      <c r="K6" s="131">
        <f>[4]GtS!$I$9</f>
        <v>2172</v>
      </c>
      <c r="L6" s="140">
        <f>[4]GtS!$I$53</f>
        <v>102</v>
      </c>
      <c r="M6" s="136">
        <f>SUM(K6:L6)</f>
        <v>2274</v>
      </c>
      <c r="N6" s="131">
        <f>[5]GtS!$I$9</f>
        <v>2140</v>
      </c>
      <c r="O6" s="140">
        <f>[5]GtS!$I$53</f>
        <v>101</v>
      </c>
      <c r="P6" s="136">
        <f>SUM(N6:O6)</f>
        <v>2241</v>
      </c>
    </row>
    <row r="7" spans="1:16">
      <c r="A7" s="135" t="s">
        <v>81</v>
      </c>
      <c r="B7" s="132">
        <f>[6]GtS!$I$9</f>
        <v>2266</v>
      </c>
      <c r="C7" s="141">
        <f>[6]GtS!$I$51</f>
        <v>145</v>
      </c>
      <c r="D7" s="137">
        <f t="shared" ref="D7:D21" si="0">SUM(B7:C7)</f>
        <v>2411</v>
      </c>
      <c r="E7" s="132">
        <f>[7]GtS!$I$9</f>
        <v>2260</v>
      </c>
      <c r="F7" s="141">
        <f>[7]GtS!$I$53</f>
        <v>146</v>
      </c>
      <c r="G7" s="137">
        <f t="shared" ref="G7:G21" si="1">SUM(E7:F7)</f>
        <v>2406</v>
      </c>
      <c r="H7" s="132">
        <f>[8]GtS!$I$9</f>
        <v>2258</v>
      </c>
      <c r="I7" s="141">
        <f>[8]GtS!$I$53</f>
        <v>147</v>
      </c>
      <c r="J7" s="137">
        <f t="shared" ref="J7:J21" si="2">SUM(H7:I7)</f>
        <v>2405</v>
      </c>
      <c r="K7" s="132">
        <f>[9]GtS!$I$9</f>
        <v>2258</v>
      </c>
      <c r="L7" s="141">
        <f>[9]GtS!$I$53</f>
        <v>146</v>
      </c>
      <c r="M7" s="137">
        <f t="shared" ref="M7:M21" si="3">SUM(K7:L7)</f>
        <v>2404</v>
      </c>
      <c r="N7" s="132">
        <f>[10]GtS!$I$9</f>
        <v>2258</v>
      </c>
      <c r="O7" s="141">
        <f>[10]GtS!$I$53</f>
        <v>145</v>
      </c>
      <c r="P7" s="137">
        <f t="shared" ref="P7:P21" si="4">SUM(N7:O7)</f>
        <v>2403</v>
      </c>
    </row>
    <row r="8" spans="1:16">
      <c r="A8" s="135" t="s">
        <v>82</v>
      </c>
      <c r="B8" s="132">
        <f>[11]GtS!$I$9</f>
        <v>362</v>
      </c>
      <c r="C8" s="141">
        <f>[11]GtS!$I$51</f>
        <v>56</v>
      </c>
      <c r="D8" s="137">
        <f t="shared" si="0"/>
        <v>418</v>
      </c>
      <c r="E8" s="132">
        <f>[12]GtS!$I$9</f>
        <v>362</v>
      </c>
      <c r="F8" s="141">
        <f>[12]GtS!$I$53</f>
        <v>48</v>
      </c>
      <c r="G8" s="137">
        <f t="shared" si="1"/>
        <v>410</v>
      </c>
      <c r="H8" s="132">
        <f>[13]GtS!$I$9</f>
        <v>371</v>
      </c>
      <c r="I8" s="141">
        <f>[13]GtS!$I$53</f>
        <v>60</v>
      </c>
      <c r="J8" s="137">
        <f t="shared" si="2"/>
        <v>431</v>
      </c>
      <c r="K8" s="132">
        <f>[14]GtS!$I$9</f>
        <v>367</v>
      </c>
      <c r="L8" s="141">
        <f>[14]GtS!$I$53</f>
        <v>59</v>
      </c>
      <c r="M8" s="137">
        <f t="shared" si="3"/>
        <v>426</v>
      </c>
      <c r="N8" s="132">
        <f>[15]GtS!$I$9</f>
        <v>368</v>
      </c>
      <c r="O8" s="141">
        <f>[15]GtS!$I$53</f>
        <v>56</v>
      </c>
      <c r="P8" s="137">
        <f t="shared" si="4"/>
        <v>424</v>
      </c>
    </row>
    <row r="9" spans="1:16">
      <c r="A9" s="135" t="s">
        <v>83</v>
      </c>
      <c r="B9" s="132">
        <f>[16]GtS!$I$9</f>
        <v>443</v>
      </c>
      <c r="C9" s="141">
        <f>[16]GtS!$I$51</f>
        <v>62</v>
      </c>
      <c r="D9" s="137">
        <f t="shared" si="0"/>
        <v>505</v>
      </c>
      <c r="E9" s="132">
        <f>[17]GtS!$I$9</f>
        <v>441</v>
      </c>
      <c r="F9" s="141">
        <f>[17]GtS!$I$53</f>
        <v>63</v>
      </c>
      <c r="G9" s="137">
        <f t="shared" si="1"/>
        <v>504</v>
      </c>
      <c r="H9" s="132">
        <f>[18]GtS!$I$9</f>
        <v>438</v>
      </c>
      <c r="I9" s="141">
        <f>[18]GtS!$I$53</f>
        <v>63</v>
      </c>
      <c r="J9" s="137">
        <f t="shared" si="2"/>
        <v>501</v>
      </c>
      <c r="K9" s="132">
        <f>[19]GtS!$I$9</f>
        <v>437</v>
      </c>
      <c r="L9" s="141">
        <f>[19]GtS!$I$53</f>
        <v>65</v>
      </c>
      <c r="M9" s="137">
        <f t="shared" si="3"/>
        <v>502</v>
      </c>
      <c r="N9" s="132">
        <f>[20]GtS!$I$9</f>
        <v>439</v>
      </c>
      <c r="O9" s="141">
        <f>[20]GtS!$I$53</f>
        <v>65</v>
      </c>
      <c r="P9" s="137">
        <f t="shared" si="4"/>
        <v>504</v>
      </c>
    </row>
    <row r="10" spans="1:16" ht="10.15" customHeight="1">
      <c r="A10" s="135" t="s">
        <v>84</v>
      </c>
      <c r="B10" s="132">
        <f>[21]GtS!$I$9</f>
        <v>91</v>
      </c>
      <c r="C10" s="141">
        <f>[21]GtS!$I$51</f>
        <v>9</v>
      </c>
      <c r="D10" s="137">
        <f t="shared" si="0"/>
        <v>100</v>
      </c>
      <c r="E10" s="132">
        <f>[22]GtS!$I$9</f>
        <v>90</v>
      </c>
      <c r="F10" s="141">
        <f>[22]GtS!$I$53</f>
        <v>9</v>
      </c>
      <c r="G10" s="137">
        <f t="shared" si="1"/>
        <v>99</v>
      </c>
      <c r="H10" s="132">
        <f>[23]GtS!$I$9</f>
        <v>90</v>
      </c>
      <c r="I10" s="141">
        <f>[23]GtS!$I$53</f>
        <v>8</v>
      </c>
      <c r="J10" s="137">
        <f t="shared" si="2"/>
        <v>98</v>
      </c>
      <c r="K10" s="132">
        <f>[24]GtS!$I$9</f>
        <v>90</v>
      </c>
      <c r="L10" s="141">
        <f>[24]GtS!$I$53</f>
        <v>8</v>
      </c>
      <c r="M10" s="137">
        <f t="shared" si="3"/>
        <v>98</v>
      </c>
      <c r="N10" s="132">
        <f>[25]GtS!$I$9</f>
        <v>91</v>
      </c>
      <c r="O10" s="141">
        <f>[25]GtS!$I$53</f>
        <v>7</v>
      </c>
      <c r="P10" s="137">
        <f t="shared" si="4"/>
        <v>98</v>
      </c>
    </row>
    <row r="11" spans="1:16">
      <c r="A11" s="135" t="s">
        <v>85</v>
      </c>
      <c r="B11" s="132">
        <f>[26]GtS!$I$9</f>
        <v>192</v>
      </c>
      <c r="C11" s="141">
        <f>[26]GtS!$I$51</f>
        <v>29</v>
      </c>
      <c r="D11" s="137">
        <f t="shared" si="0"/>
        <v>221</v>
      </c>
      <c r="E11" s="132">
        <f>[27]GtS!$I$9</f>
        <v>190</v>
      </c>
      <c r="F11" s="141">
        <f>[27]GtS!$I$53</f>
        <v>30</v>
      </c>
      <c r="G11" s="137">
        <f t="shared" si="1"/>
        <v>220</v>
      </c>
      <c r="H11" s="132">
        <f>[28]GtS!$I$9</f>
        <v>190</v>
      </c>
      <c r="I11" s="141">
        <f>[28]GtS!$I$53</f>
        <v>31</v>
      </c>
      <c r="J11" s="137">
        <f t="shared" si="2"/>
        <v>221</v>
      </c>
      <c r="K11" s="132">
        <f>[29]GtS!$I$9</f>
        <v>190</v>
      </c>
      <c r="L11" s="141">
        <f>[29]GtS!$I$53</f>
        <v>30</v>
      </c>
      <c r="M11" s="137">
        <f t="shared" si="3"/>
        <v>220</v>
      </c>
      <c r="N11" s="132">
        <f>[30]GtS!$I$9</f>
        <v>191</v>
      </c>
      <c r="O11" s="141">
        <f>[30]GtS!$I$53</f>
        <v>30</v>
      </c>
      <c r="P11" s="137">
        <f t="shared" si="4"/>
        <v>221</v>
      </c>
    </row>
    <row r="12" spans="1:16">
      <c r="A12" s="135" t="s">
        <v>86</v>
      </c>
      <c r="B12" s="132">
        <f>[66]GtS!$I$9</f>
        <v>1127</v>
      </c>
      <c r="C12" s="141">
        <f>[66]GtS!$I$51</f>
        <v>48</v>
      </c>
      <c r="D12" s="137">
        <f t="shared" si="0"/>
        <v>1175</v>
      </c>
      <c r="E12" s="132">
        <f>[67]GtS!$I$9</f>
        <v>1115</v>
      </c>
      <c r="F12" s="141">
        <f>[67]GtS!$I$53</f>
        <v>0</v>
      </c>
      <c r="G12" s="137">
        <f t="shared" si="1"/>
        <v>1115</v>
      </c>
      <c r="H12" s="132">
        <f>[68]GtS!$I$9</f>
        <v>1115</v>
      </c>
      <c r="I12" s="141">
        <f>[68]GtS!$I$53</f>
        <v>0</v>
      </c>
      <c r="J12" s="137">
        <f t="shared" si="2"/>
        <v>1115</v>
      </c>
      <c r="K12" s="132">
        <f>[69]GtS!$I$9</f>
        <v>1104</v>
      </c>
      <c r="L12" s="141">
        <f>[69]GtS!$I$53</f>
        <v>0</v>
      </c>
      <c r="M12" s="137">
        <f t="shared" si="3"/>
        <v>1104</v>
      </c>
      <c r="N12" s="132">
        <f>[70]GtS!$I$9</f>
        <v>1101</v>
      </c>
      <c r="O12" s="141">
        <f>[70]GtS!$I$53</f>
        <v>0</v>
      </c>
      <c r="P12" s="137">
        <f t="shared" si="4"/>
        <v>1101</v>
      </c>
    </row>
    <row r="13" spans="1:16">
      <c r="A13" s="135" t="s">
        <v>87</v>
      </c>
      <c r="B13" s="132">
        <f>[31]GtS!$I$9</f>
        <v>272</v>
      </c>
      <c r="C13" s="141">
        <f>[31]GtS!$I$51</f>
        <v>50</v>
      </c>
      <c r="D13" s="137">
        <f t="shared" si="0"/>
        <v>322</v>
      </c>
      <c r="E13" s="132">
        <f>[32]GtS!$I$9</f>
        <v>271</v>
      </c>
      <c r="F13" s="141">
        <f>[32]GtS!$I$53</f>
        <v>52</v>
      </c>
      <c r="G13" s="137">
        <f t="shared" si="1"/>
        <v>323</v>
      </c>
      <c r="H13" s="132">
        <f>[33]GtS!$I$9</f>
        <v>271</v>
      </c>
      <c r="I13" s="141">
        <f>[33]GtS!$I$53</f>
        <v>53</v>
      </c>
      <c r="J13" s="137">
        <f t="shared" si="2"/>
        <v>324</v>
      </c>
      <c r="K13" s="132">
        <f>[34]GtS!$I$9</f>
        <v>270</v>
      </c>
      <c r="L13" s="141">
        <f>[34]GtS!$I$53</f>
        <v>52</v>
      </c>
      <c r="M13" s="137">
        <f t="shared" si="3"/>
        <v>322</v>
      </c>
      <c r="N13" s="132">
        <f>[35]GtS!$I$9</f>
        <v>269</v>
      </c>
      <c r="O13" s="141">
        <f>[35]GtS!$I$53</f>
        <v>52</v>
      </c>
      <c r="P13" s="137">
        <f t="shared" si="4"/>
        <v>321</v>
      </c>
    </row>
    <row r="14" spans="1:16">
      <c r="A14" s="135" t="s">
        <v>88</v>
      </c>
      <c r="B14" s="132">
        <f>[71]GtS!$I$9</f>
        <v>1748</v>
      </c>
      <c r="C14" s="141">
        <f>[71]GtS!$I$51</f>
        <v>33</v>
      </c>
      <c r="D14" s="137">
        <f t="shared" si="0"/>
        <v>1781</v>
      </c>
      <c r="E14" s="132">
        <f>[72]GtS!$I$9</f>
        <v>1726</v>
      </c>
      <c r="F14" s="141">
        <f>[72]GtS!$I$53</f>
        <v>32</v>
      </c>
      <c r="G14" s="137">
        <f t="shared" si="1"/>
        <v>1758</v>
      </c>
      <c r="H14" s="132">
        <f>[73]GtS!$I$9</f>
        <v>1706</v>
      </c>
      <c r="I14" s="141">
        <f>[73]GtS!$I$53</f>
        <v>33</v>
      </c>
      <c r="J14" s="137">
        <f t="shared" si="2"/>
        <v>1739</v>
      </c>
      <c r="K14" s="132">
        <f>[74]GtS!$I$9</f>
        <v>1693</v>
      </c>
      <c r="L14" s="141">
        <f>[74]GtS!$I$53</f>
        <v>35</v>
      </c>
      <c r="M14" s="137">
        <f t="shared" si="3"/>
        <v>1728</v>
      </c>
      <c r="N14" s="132">
        <f>[75]GtS!$I$9</f>
        <v>1674</v>
      </c>
      <c r="O14" s="141">
        <f>[75]GtS!$I$53</f>
        <v>35</v>
      </c>
      <c r="P14" s="137">
        <f t="shared" si="4"/>
        <v>1709</v>
      </c>
    </row>
    <row r="15" spans="1:16">
      <c r="A15" s="135" t="s">
        <v>89</v>
      </c>
      <c r="B15" s="132">
        <f>[36]GtS!$I$9</f>
        <v>2978</v>
      </c>
      <c r="C15" s="141">
        <f>[36]GtS!$I$51</f>
        <v>51</v>
      </c>
      <c r="D15" s="137">
        <f t="shared" si="0"/>
        <v>3029</v>
      </c>
      <c r="E15" s="132">
        <f>[37]GtS!$I$9</f>
        <v>2891</v>
      </c>
      <c r="F15" s="141">
        <f>[37]GtS!$I$53</f>
        <v>54</v>
      </c>
      <c r="G15" s="137">
        <f t="shared" si="1"/>
        <v>2945</v>
      </c>
      <c r="H15" s="132">
        <f>[38]GtS!$I$9</f>
        <v>2827</v>
      </c>
      <c r="I15" s="141">
        <f>[38]GtS!$I$53</f>
        <v>56</v>
      </c>
      <c r="J15" s="137">
        <f t="shared" si="2"/>
        <v>2883</v>
      </c>
      <c r="K15" s="132">
        <f>[39]GtS!$I$9</f>
        <v>2786</v>
      </c>
      <c r="L15" s="141">
        <f>[39]GtS!$I$53</f>
        <v>60</v>
      </c>
      <c r="M15" s="137">
        <f t="shared" si="3"/>
        <v>2846</v>
      </c>
      <c r="N15" s="132">
        <f>[40]GtS!$I$9</f>
        <v>2750</v>
      </c>
      <c r="O15" s="141">
        <f>[40]GtS!$I$53</f>
        <v>63</v>
      </c>
      <c r="P15" s="137">
        <f t="shared" si="4"/>
        <v>2813</v>
      </c>
    </row>
    <row r="16" spans="1:16">
      <c r="A16" s="135" t="s">
        <v>90</v>
      </c>
      <c r="B16" s="132">
        <f>[41]GtS!$I$9</f>
        <v>948</v>
      </c>
      <c r="C16" s="141">
        <f>[41]GtS!$I$51</f>
        <v>21</v>
      </c>
      <c r="D16" s="137">
        <f t="shared" si="0"/>
        <v>969</v>
      </c>
      <c r="E16" s="132">
        <f>[42]GtS!$I$9</f>
        <v>948</v>
      </c>
      <c r="F16" s="141">
        <f>[42]GtS!$I$53</f>
        <v>22</v>
      </c>
      <c r="G16" s="137">
        <f t="shared" si="1"/>
        <v>970</v>
      </c>
      <c r="H16" s="132">
        <f>[43]GtS!$I$9</f>
        <v>945</v>
      </c>
      <c r="I16" s="141">
        <f>[43]GtS!$I$53</f>
        <v>24</v>
      </c>
      <c r="J16" s="137">
        <f t="shared" si="2"/>
        <v>969</v>
      </c>
      <c r="K16" s="132">
        <f>[44]GtS!$I$9</f>
        <v>941</v>
      </c>
      <c r="L16" s="141">
        <f>[44]GtS!$I$53</f>
        <v>24</v>
      </c>
      <c r="M16" s="137">
        <f t="shared" si="3"/>
        <v>965</v>
      </c>
      <c r="N16" s="132">
        <f>[45]GtS!$I$9</f>
        <v>940</v>
      </c>
      <c r="O16" s="141">
        <f>[45]GtS!$I$53</f>
        <v>24</v>
      </c>
      <c r="P16" s="137">
        <f t="shared" si="4"/>
        <v>964</v>
      </c>
    </row>
    <row r="17" spans="1:16">
      <c r="A17" s="135" t="s">
        <v>91</v>
      </c>
      <c r="B17" s="132">
        <f>[46]GtS!$I$9</f>
        <v>155</v>
      </c>
      <c r="C17" s="141">
        <f>[46]GtS!$I$51</f>
        <v>7</v>
      </c>
      <c r="D17" s="137">
        <f t="shared" si="0"/>
        <v>162</v>
      </c>
      <c r="E17" s="132">
        <f>[47]GtS!$I$9</f>
        <v>155</v>
      </c>
      <c r="F17" s="141">
        <f>[47]GtS!$I$53</f>
        <v>7</v>
      </c>
      <c r="G17" s="137">
        <f t="shared" si="1"/>
        <v>162</v>
      </c>
      <c r="H17" s="132">
        <f>[48]GtS!$I$9</f>
        <v>155</v>
      </c>
      <c r="I17" s="141">
        <f>[48]GtS!$I$53</f>
        <v>7</v>
      </c>
      <c r="J17" s="137">
        <f t="shared" si="2"/>
        <v>162</v>
      </c>
      <c r="K17" s="132">
        <f>[49]GtS!$I$9</f>
        <v>155</v>
      </c>
      <c r="L17" s="141">
        <f>[49]GtS!$I$53</f>
        <v>7</v>
      </c>
      <c r="M17" s="137">
        <f t="shared" si="3"/>
        <v>162</v>
      </c>
      <c r="N17" s="132">
        <f>[50]GtS!$I$9</f>
        <v>155</v>
      </c>
      <c r="O17" s="141">
        <f>[50]GtS!$I$53</f>
        <v>7</v>
      </c>
      <c r="P17" s="137">
        <f t="shared" si="4"/>
        <v>162</v>
      </c>
    </row>
    <row r="18" spans="1:16">
      <c r="A18" s="135" t="s">
        <v>92</v>
      </c>
      <c r="B18" s="132">
        <f>[51]GtS!$I$9</f>
        <v>755</v>
      </c>
      <c r="C18" s="141">
        <f>[51]GtS!$I$51</f>
        <v>76</v>
      </c>
      <c r="D18" s="137">
        <f t="shared" si="0"/>
        <v>831</v>
      </c>
      <c r="E18" s="132">
        <f>[52]GtS!$I$9</f>
        <v>746</v>
      </c>
      <c r="F18" s="141">
        <f>[52]GtS!$I$53</f>
        <v>78</v>
      </c>
      <c r="G18" s="137">
        <f t="shared" si="1"/>
        <v>824</v>
      </c>
      <c r="H18" s="132">
        <f>[53]GtS!$I$9</f>
        <v>746</v>
      </c>
      <c r="I18" s="141">
        <f>[53]GtS!$I$53</f>
        <v>79</v>
      </c>
      <c r="J18" s="137">
        <f t="shared" si="2"/>
        <v>825</v>
      </c>
      <c r="K18" s="132">
        <f>[54]GtS!$I$9</f>
        <v>746</v>
      </c>
      <c r="L18" s="141">
        <f>[54]GtS!$I$53</f>
        <v>80</v>
      </c>
      <c r="M18" s="137">
        <f t="shared" si="3"/>
        <v>826</v>
      </c>
      <c r="N18" s="132">
        <f>[55]GtS!$I$9</f>
        <v>746</v>
      </c>
      <c r="O18" s="141">
        <f>[55]GtS!$I$53</f>
        <v>83</v>
      </c>
      <c r="P18" s="137">
        <f t="shared" si="4"/>
        <v>829</v>
      </c>
    </row>
    <row r="19" spans="1:16">
      <c r="A19" s="135" t="s">
        <v>93</v>
      </c>
      <c r="B19" s="132">
        <f>[76]GtS!$I$9</f>
        <v>499</v>
      </c>
      <c r="C19" s="141">
        <f>[76]GtS!$I$51</f>
        <v>0</v>
      </c>
      <c r="D19" s="137">
        <f t="shared" si="0"/>
        <v>499</v>
      </c>
      <c r="E19" s="132">
        <f>[77]GtS!$I$9</f>
        <v>491</v>
      </c>
      <c r="F19" s="141">
        <f>[77]GtS!$I$53</f>
        <v>0</v>
      </c>
      <c r="G19" s="137">
        <f t="shared" si="1"/>
        <v>491</v>
      </c>
      <c r="H19" s="132">
        <f>[78]GtS!$I$9</f>
        <v>461</v>
      </c>
      <c r="I19" s="141">
        <f>[78]GtS!$I$53</f>
        <v>0</v>
      </c>
      <c r="J19" s="137">
        <f t="shared" si="2"/>
        <v>461</v>
      </c>
      <c r="K19" s="132">
        <f>[79]GtS!$I$9</f>
        <v>453</v>
      </c>
      <c r="L19" s="141">
        <f>[79]GtS!$I$53</f>
        <v>0</v>
      </c>
      <c r="M19" s="137">
        <f t="shared" si="3"/>
        <v>453</v>
      </c>
      <c r="N19" s="132">
        <f>[80]GtS!$I$9</f>
        <v>449</v>
      </c>
      <c r="O19" s="141">
        <f>[80]GtS!$I$53</f>
        <v>0</v>
      </c>
      <c r="P19" s="137">
        <f t="shared" si="4"/>
        <v>449</v>
      </c>
    </row>
    <row r="20" spans="1:16">
      <c r="A20" s="135" t="s">
        <v>94</v>
      </c>
      <c r="B20" s="132">
        <f>[56]GtS!$I$9</f>
        <v>488</v>
      </c>
      <c r="C20" s="141">
        <f>[56]GtS!$I$51</f>
        <v>56</v>
      </c>
      <c r="D20" s="137">
        <f t="shared" si="0"/>
        <v>544</v>
      </c>
      <c r="E20" s="132">
        <f>[57]GtS!$I$9</f>
        <v>482</v>
      </c>
      <c r="F20" s="141">
        <f>[57]GtS!$I$53</f>
        <v>57</v>
      </c>
      <c r="G20" s="137">
        <f t="shared" si="1"/>
        <v>539</v>
      </c>
      <c r="H20" s="132">
        <f>[58]GtS!$I$9</f>
        <v>477</v>
      </c>
      <c r="I20" s="141">
        <f>[58]GtS!$I$53</f>
        <v>57</v>
      </c>
      <c r="J20" s="137">
        <f t="shared" si="2"/>
        <v>534</v>
      </c>
      <c r="K20" s="132">
        <f>[59]GtS!$I$9</f>
        <v>537</v>
      </c>
      <c r="L20" s="141">
        <f>[59]GtS!$I$53</f>
        <v>60</v>
      </c>
      <c r="M20" s="137">
        <f t="shared" si="3"/>
        <v>597</v>
      </c>
      <c r="N20" s="132">
        <f>[60]GtS!$I$9</f>
        <v>604</v>
      </c>
      <c r="O20" s="141">
        <f>[60]GtS!$I$53</f>
        <v>62</v>
      </c>
      <c r="P20" s="137">
        <f t="shared" si="4"/>
        <v>666</v>
      </c>
    </row>
    <row r="21" spans="1:16">
      <c r="A21" s="135" t="s">
        <v>95</v>
      </c>
      <c r="B21" s="132">
        <f>[61]GtS!$I$9</f>
        <v>429</v>
      </c>
      <c r="C21" s="141">
        <f>[61]GtS!$I$51</f>
        <v>35</v>
      </c>
      <c r="D21" s="137">
        <f t="shared" si="0"/>
        <v>464</v>
      </c>
      <c r="E21" s="132">
        <f>[62]GtS!$I$9</f>
        <v>428</v>
      </c>
      <c r="F21" s="141">
        <f>[62]GtS!$I$53</f>
        <v>33</v>
      </c>
      <c r="G21" s="137">
        <f t="shared" si="1"/>
        <v>461</v>
      </c>
      <c r="H21" s="132">
        <f>[63]GtS!$I$9</f>
        <v>427</v>
      </c>
      <c r="I21" s="141">
        <f>[63]GtS!$I$53</f>
        <v>31</v>
      </c>
      <c r="J21" s="137">
        <f t="shared" si="2"/>
        <v>458</v>
      </c>
      <c r="K21" s="132">
        <f>[64]GtS!$I$9</f>
        <v>421</v>
      </c>
      <c r="L21" s="141">
        <f>[64]GtS!$I$53</f>
        <v>30</v>
      </c>
      <c r="M21" s="137">
        <f t="shared" si="3"/>
        <v>451</v>
      </c>
      <c r="N21" s="132">
        <f>[65]GtS!$I$9</f>
        <v>413</v>
      </c>
      <c r="O21" s="141">
        <f>[65]GtS!$I$53</f>
        <v>30</v>
      </c>
      <c r="P21" s="137">
        <f t="shared" si="4"/>
        <v>443</v>
      </c>
    </row>
    <row r="22" spans="1:16">
      <c r="A22" s="135" t="s">
        <v>96</v>
      </c>
      <c r="B22" s="132">
        <f>SUM(B6:B21)</f>
        <v>15142</v>
      </c>
      <c r="C22" s="141">
        <f>SUM(C6:C21)-C14-C12-C19</f>
        <v>698</v>
      </c>
      <c r="D22" s="137">
        <f>SUM(B22:C22)</f>
        <v>15840</v>
      </c>
      <c r="E22" s="132">
        <f>SUM(E6:E21)</f>
        <v>14903</v>
      </c>
      <c r="F22" s="141">
        <f>SUM(F6:F21)-F14-F12-F19</f>
        <v>701</v>
      </c>
      <c r="G22" s="137">
        <f>SUM(E22:F22)</f>
        <v>15604</v>
      </c>
      <c r="H22" s="132">
        <f>SUM(H6:H21)</f>
        <v>14705</v>
      </c>
      <c r="I22" s="141">
        <f>SUM(I6:I21)-I14-I12-I19</f>
        <v>719</v>
      </c>
      <c r="J22" s="137">
        <f>SUM(H22:I22)</f>
        <v>15424</v>
      </c>
      <c r="K22" s="132">
        <f>SUM(K6:K21)</f>
        <v>14620</v>
      </c>
      <c r="L22" s="141">
        <f>SUM(L6:L21)-L14-L12-L19</f>
        <v>723</v>
      </c>
      <c r="M22" s="137">
        <f>SUM(K22:L22)</f>
        <v>15343</v>
      </c>
      <c r="N22" s="132">
        <f>SUM(N6:N21)</f>
        <v>14588</v>
      </c>
      <c r="O22" s="141">
        <f>SUM(O6:O21)-O14-O12-O19</f>
        <v>725</v>
      </c>
      <c r="P22" s="137">
        <f>SUM(N22:O22)</f>
        <v>15313</v>
      </c>
    </row>
    <row r="23" spans="1:16" ht="13.5" thickBot="1">
      <c r="A23" s="423" t="s">
        <v>9</v>
      </c>
      <c r="B23" s="424"/>
      <c r="C23" s="424"/>
      <c r="D23" s="424"/>
      <c r="E23" s="424"/>
      <c r="F23" s="424"/>
      <c r="G23" s="424"/>
      <c r="H23" s="424"/>
      <c r="I23" s="424"/>
      <c r="J23" s="424"/>
      <c r="K23" s="424"/>
      <c r="L23" s="424"/>
      <c r="M23" s="424"/>
      <c r="N23" s="424"/>
      <c r="O23" s="424"/>
      <c r="P23" s="424"/>
    </row>
    <row r="24" spans="1:16" ht="13.5" thickTop="1">
      <c r="A24" s="133" t="s">
        <v>80</v>
      </c>
      <c r="B24" s="131">
        <f>[1]GtS!$I$10</f>
        <v>1</v>
      </c>
      <c r="C24" s="140">
        <f>[1]GtS!$I$52</f>
        <v>0</v>
      </c>
      <c r="D24" s="136">
        <f>SUM(B24:C24)</f>
        <v>1</v>
      </c>
      <c r="E24" s="131">
        <f>[2]GtS!$I$10</f>
        <v>1</v>
      </c>
      <c r="F24" s="140">
        <f>[2]GtS!$I$54</f>
        <v>0</v>
      </c>
      <c r="G24" s="136">
        <f>SUM(E24:F24)</f>
        <v>1</v>
      </c>
      <c r="H24" s="131">
        <f>[3]GtS!$I$10</f>
        <v>1</v>
      </c>
      <c r="I24" s="140">
        <f>[3]GtS!$I$54</f>
        <v>0</v>
      </c>
      <c r="J24" s="136">
        <f>SUM(H24:I24)</f>
        <v>1</v>
      </c>
      <c r="K24" s="131">
        <f>[4]GtS!$I$10</f>
        <v>1</v>
      </c>
      <c r="L24" s="140">
        <f>[4]GtS!$I$54</f>
        <v>0</v>
      </c>
      <c r="M24" s="136">
        <f>SUM(K24:L24)</f>
        <v>1</v>
      </c>
      <c r="N24" s="131">
        <f>[5]GtS!$I$10</f>
        <v>1</v>
      </c>
      <c r="O24" s="140">
        <f>[5]GtS!$I$54</f>
        <v>0</v>
      </c>
      <c r="P24" s="136">
        <f>SUM(N24:O24)</f>
        <v>1</v>
      </c>
    </row>
    <row r="25" spans="1:16">
      <c r="A25" s="133" t="s">
        <v>81</v>
      </c>
      <c r="B25" s="132">
        <f>[6]GtS!$I$10</f>
        <v>1</v>
      </c>
      <c r="C25" s="141">
        <f>[6]GtS!$I$52</f>
        <v>0</v>
      </c>
      <c r="D25" s="137">
        <f t="shared" ref="D25:D39" si="5">SUM(B25:C25)</f>
        <v>1</v>
      </c>
      <c r="E25" s="132">
        <f>[7]GtS!$I$10</f>
        <v>1</v>
      </c>
      <c r="F25" s="141">
        <f>[7]GtS!$I$54</f>
        <v>0</v>
      </c>
      <c r="G25" s="137">
        <f t="shared" ref="G25:G39" si="6">SUM(E25:F25)</f>
        <v>1</v>
      </c>
      <c r="H25" s="132">
        <f>[8]GtS!$I$10</f>
        <v>1</v>
      </c>
      <c r="I25" s="141">
        <f>[8]GtS!$I$54</f>
        <v>0</v>
      </c>
      <c r="J25" s="137">
        <f t="shared" ref="J25:J39" si="7">SUM(H25:I25)</f>
        <v>1</v>
      </c>
      <c r="K25" s="132">
        <f>[9]GtS!$I$10</f>
        <v>1</v>
      </c>
      <c r="L25" s="141" t="str">
        <f>[9]GtS!$I$54</f>
        <v xml:space="preserve">                                      -   </v>
      </c>
      <c r="M25" s="137">
        <f t="shared" ref="M25:M39" si="8">SUM(K25:L25)</f>
        <v>1</v>
      </c>
      <c r="N25" s="132">
        <f>[10]GtS!$I$10</f>
        <v>1</v>
      </c>
      <c r="O25" s="141">
        <f>[10]GtS!$I$54</f>
        <v>0</v>
      </c>
      <c r="P25" s="137">
        <f t="shared" ref="P25:P39" si="9">SUM(N25:O25)</f>
        <v>1</v>
      </c>
    </row>
    <row r="26" spans="1:16">
      <c r="A26" s="133" t="s">
        <v>82</v>
      </c>
      <c r="B26" s="132">
        <f>[11]GtS!$I$10</f>
        <v>358</v>
      </c>
      <c r="C26" s="141">
        <f>[11]GtS!$I$52</f>
        <v>50</v>
      </c>
      <c r="D26" s="137">
        <f t="shared" si="5"/>
        <v>408</v>
      </c>
      <c r="E26" s="132">
        <f>[12]GtS!$I$10</f>
        <v>359</v>
      </c>
      <c r="F26" s="141">
        <f>[12]GtS!$I$54</f>
        <v>45</v>
      </c>
      <c r="G26" s="137">
        <f t="shared" si="6"/>
        <v>404</v>
      </c>
      <c r="H26" s="132">
        <f>[13]GtS!$I$10</f>
        <v>369</v>
      </c>
      <c r="I26" s="141">
        <f>[13]GtS!$I$54</f>
        <v>57</v>
      </c>
      <c r="J26" s="137">
        <f t="shared" si="7"/>
        <v>426</v>
      </c>
      <c r="K26" s="132">
        <f>[14]GtS!$I$10</f>
        <v>365</v>
      </c>
      <c r="L26" s="141">
        <f>[14]GtS!$I$54</f>
        <v>57</v>
      </c>
      <c r="M26" s="137">
        <f t="shared" si="8"/>
        <v>422</v>
      </c>
      <c r="N26" s="132">
        <f>[15]GtS!$I$10</f>
        <v>368</v>
      </c>
      <c r="O26" s="141">
        <f>[15]GtS!$I$54</f>
        <v>54</v>
      </c>
      <c r="P26" s="137">
        <f t="shared" si="9"/>
        <v>422</v>
      </c>
    </row>
    <row r="27" spans="1:16">
      <c r="A27" s="133" t="s">
        <v>83</v>
      </c>
      <c r="B27" s="132">
        <f>[16]GtS!$I$10</f>
        <v>440</v>
      </c>
      <c r="C27" s="141">
        <f>[16]GtS!$I$52</f>
        <v>56</v>
      </c>
      <c r="D27" s="137">
        <f t="shared" si="5"/>
        <v>496</v>
      </c>
      <c r="E27" s="132">
        <f>[17]GtS!$I$10</f>
        <v>438</v>
      </c>
      <c r="F27" s="141">
        <f>[17]GtS!$I$54</f>
        <v>59</v>
      </c>
      <c r="G27" s="137">
        <f t="shared" si="6"/>
        <v>497</v>
      </c>
      <c r="H27" s="132">
        <f>[18]GtS!$I$10</f>
        <v>436</v>
      </c>
      <c r="I27" s="141">
        <f>[18]GtS!$I$54</f>
        <v>60</v>
      </c>
      <c r="J27" s="137">
        <f t="shared" si="7"/>
        <v>496</v>
      </c>
      <c r="K27" s="132">
        <f>[19]GtS!$I$10</f>
        <v>434</v>
      </c>
      <c r="L27" s="141">
        <f>[19]GtS!$I$54</f>
        <v>61</v>
      </c>
      <c r="M27" s="137">
        <f t="shared" si="8"/>
        <v>495</v>
      </c>
      <c r="N27" s="132">
        <f>[20]GtS!$I$10</f>
        <v>433</v>
      </c>
      <c r="O27" s="141">
        <f>[20]GtS!$I$54</f>
        <v>62</v>
      </c>
      <c r="P27" s="137">
        <f t="shared" si="9"/>
        <v>495</v>
      </c>
    </row>
    <row r="28" spans="1:16">
      <c r="A28" s="133" t="s">
        <v>84</v>
      </c>
      <c r="B28" s="132">
        <f>[21]GtS!$I$10</f>
        <v>0</v>
      </c>
      <c r="C28" s="141">
        <f>[21]GtS!$I$52</f>
        <v>0</v>
      </c>
      <c r="D28" s="137">
        <f t="shared" si="5"/>
        <v>0</v>
      </c>
      <c r="E28" s="132">
        <f>[22]GtS!$I$10</f>
        <v>0</v>
      </c>
      <c r="F28" s="141">
        <f>[22]GtS!$I$54</f>
        <v>0</v>
      </c>
      <c r="G28" s="137">
        <f t="shared" si="6"/>
        <v>0</v>
      </c>
      <c r="H28" s="132">
        <f>[23]GtS!$I$10</f>
        <v>0</v>
      </c>
      <c r="I28" s="141">
        <f>[23]GtS!$I$54</f>
        <v>0</v>
      </c>
      <c r="J28" s="137">
        <f t="shared" si="7"/>
        <v>0</v>
      </c>
      <c r="K28" s="132">
        <f>[24]GtS!$I$10</f>
        <v>0</v>
      </c>
      <c r="L28" s="141">
        <f>[24]GtS!$I$54</f>
        <v>0</v>
      </c>
      <c r="M28" s="137">
        <f t="shared" si="8"/>
        <v>0</v>
      </c>
      <c r="N28" s="132">
        <f>[25]GtS!$I$10</f>
        <v>0</v>
      </c>
      <c r="O28" s="141">
        <f>[25]GtS!$I$54</f>
        <v>0</v>
      </c>
      <c r="P28" s="137">
        <f t="shared" si="9"/>
        <v>0</v>
      </c>
    </row>
    <row r="29" spans="1:16">
      <c r="A29" s="133" t="s">
        <v>85</v>
      </c>
      <c r="B29" s="132">
        <f>[26]GtS!$I$10</f>
        <v>5</v>
      </c>
      <c r="C29" s="141">
        <f>[26]GtS!$I$52</f>
        <v>0</v>
      </c>
      <c r="D29" s="137">
        <f t="shared" si="5"/>
        <v>5</v>
      </c>
      <c r="E29" s="132">
        <f>[27]GtS!$I$10</f>
        <v>4</v>
      </c>
      <c r="F29" s="141">
        <f>[27]GtS!$I$54</f>
        <v>1</v>
      </c>
      <c r="G29" s="137">
        <f t="shared" si="6"/>
        <v>5</v>
      </c>
      <c r="H29" s="132">
        <f>[28]GtS!$I$10</f>
        <v>4</v>
      </c>
      <c r="I29" s="141">
        <f>[28]GtS!$I$54</f>
        <v>1</v>
      </c>
      <c r="J29" s="137">
        <f t="shared" si="7"/>
        <v>5</v>
      </c>
      <c r="K29" s="132">
        <f>[29]GtS!$I$10</f>
        <v>4</v>
      </c>
      <c r="L29" s="141">
        <f>[29]GtS!$I$54</f>
        <v>1</v>
      </c>
      <c r="M29" s="137">
        <f t="shared" si="8"/>
        <v>5</v>
      </c>
      <c r="N29" s="132">
        <f>[30]GtS!$I$10</f>
        <v>4</v>
      </c>
      <c r="O29" s="141">
        <f>[30]GtS!$I$54</f>
        <v>1</v>
      </c>
      <c r="P29" s="137">
        <f t="shared" si="9"/>
        <v>5</v>
      </c>
    </row>
    <row r="30" spans="1:16">
      <c r="A30" s="133" t="s">
        <v>86</v>
      </c>
      <c r="B30" s="132">
        <f>[66]GtS!$I$10</f>
        <v>118</v>
      </c>
      <c r="C30" s="141">
        <f>[66]GtS!$I$52</f>
        <v>13</v>
      </c>
      <c r="D30" s="137">
        <f t="shared" si="5"/>
        <v>131</v>
      </c>
      <c r="E30" s="132">
        <f>[67]GtS!$I$10</f>
        <v>120</v>
      </c>
      <c r="F30" s="141">
        <f>[67]GtS!$I$54</f>
        <v>0</v>
      </c>
      <c r="G30" s="137">
        <f t="shared" si="6"/>
        <v>120</v>
      </c>
      <c r="H30" s="132">
        <f>[68]GtS!$I$10</f>
        <v>117</v>
      </c>
      <c r="I30" s="141">
        <f>[68]GtS!$I$54</f>
        <v>0</v>
      </c>
      <c r="J30" s="137">
        <f t="shared" si="7"/>
        <v>117</v>
      </c>
      <c r="K30" s="132">
        <f>[69]GtS!$I$10</f>
        <v>117</v>
      </c>
      <c r="L30" s="141">
        <f>[69]GtS!$I$54</f>
        <v>0</v>
      </c>
      <c r="M30" s="137">
        <f t="shared" si="8"/>
        <v>117</v>
      </c>
      <c r="N30" s="132">
        <f>[70]GtS!$I$10</f>
        <v>116</v>
      </c>
      <c r="O30" s="141">
        <f>[70]GtS!$I$54</f>
        <v>0</v>
      </c>
      <c r="P30" s="137">
        <f t="shared" si="9"/>
        <v>116</v>
      </c>
    </row>
    <row r="31" spans="1:16">
      <c r="A31" s="133" t="s">
        <v>87</v>
      </c>
      <c r="B31" s="132">
        <f>[31]GtS!$I$10</f>
        <v>0</v>
      </c>
      <c r="C31" s="141">
        <f>[31]GtS!$I$52</f>
        <v>0</v>
      </c>
      <c r="D31" s="137">
        <f t="shared" si="5"/>
        <v>0</v>
      </c>
      <c r="E31" s="132">
        <f>[32]GtS!$I$10</f>
        <v>0</v>
      </c>
      <c r="F31" s="141">
        <f>[32]GtS!$I$54</f>
        <v>0</v>
      </c>
      <c r="G31" s="137">
        <f t="shared" si="6"/>
        <v>0</v>
      </c>
      <c r="H31" s="132">
        <f>[33]GtS!$I$10</f>
        <v>0</v>
      </c>
      <c r="I31" s="141">
        <f>[33]GtS!$I$54</f>
        <v>0</v>
      </c>
      <c r="J31" s="137">
        <f t="shared" si="7"/>
        <v>0</v>
      </c>
      <c r="K31" s="132">
        <f>[34]GtS!$I$10</f>
        <v>0</v>
      </c>
      <c r="L31" s="141">
        <f>[34]GtS!$I$54</f>
        <v>0</v>
      </c>
      <c r="M31" s="137">
        <f t="shared" si="8"/>
        <v>0</v>
      </c>
      <c r="N31" s="132">
        <f>[35]GtS!$I$10</f>
        <v>0</v>
      </c>
      <c r="O31" s="141">
        <f>[35]GtS!$I$54</f>
        <v>0</v>
      </c>
      <c r="P31" s="137">
        <f t="shared" si="9"/>
        <v>0</v>
      </c>
    </row>
    <row r="32" spans="1:16">
      <c r="A32" s="133" t="s">
        <v>88</v>
      </c>
      <c r="B32" s="132">
        <f>[71]GtS!$I$10</f>
        <v>0</v>
      </c>
      <c r="C32" s="141">
        <f>[71]GtS!$I$52</f>
        <v>0</v>
      </c>
      <c r="D32" s="137">
        <f t="shared" si="5"/>
        <v>0</v>
      </c>
      <c r="E32" s="132">
        <f>[72]GtS!$I$10</f>
        <v>0</v>
      </c>
      <c r="F32" s="141">
        <f>[72]GtS!$I$54</f>
        <v>0</v>
      </c>
      <c r="G32" s="137">
        <f t="shared" si="6"/>
        <v>0</v>
      </c>
      <c r="H32" s="132">
        <f>[73]GtS!$I$10</f>
        <v>0</v>
      </c>
      <c r="I32" s="141">
        <f>[73]GtS!$I$54</f>
        <v>0</v>
      </c>
      <c r="J32" s="137">
        <f t="shared" si="7"/>
        <v>0</v>
      </c>
      <c r="K32" s="132">
        <f>[74]GtS!$I$10</f>
        <v>0</v>
      </c>
      <c r="L32" s="141">
        <f>[74]GtS!$I$54</f>
        <v>0</v>
      </c>
      <c r="M32" s="137">
        <f t="shared" si="8"/>
        <v>0</v>
      </c>
      <c r="N32" s="132">
        <f>[75]GtS!$I$10</f>
        <v>0</v>
      </c>
      <c r="O32" s="141">
        <f>[75]GtS!$I$54</f>
        <v>0</v>
      </c>
      <c r="P32" s="137">
        <f t="shared" si="9"/>
        <v>0</v>
      </c>
    </row>
    <row r="33" spans="1:16">
      <c r="A33" s="133" t="s">
        <v>89</v>
      </c>
      <c r="B33" s="132">
        <f>[36]GtS!$I$10</f>
        <v>0</v>
      </c>
      <c r="C33" s="141">
        <f>[36]GtS!$I$52</f>
        <v>0</v>
      </c>
      <c r="D33" s="137">
        <f t="shared" si="5"/>
        <v>0</v>
      </c>
      <c r="E33" s="132">
        <f>[37]GtS!$I$10</f>
        <v>0</v>
      </c>
      <c r="F33" s="141">
        <f>[37]GtS!$I$54</f>
        <v>0</v>
      </c>
      <c r="G33" s="137">
        <f t="shared" si="6"/>
        <v>0</v>
      </c>
      <c r="H33" s="132">
        <f>[38]GtS!$I$10</f>
        <v>0</v>
      </c>
      <c r="I33" s="141">
        <f>[38]GtS!$I$54</f>
        <v>0</v>
      </c>
      <c r="J33" s="137">
        <f t="shared" si="7"/>
        <v>0</v>
      </c>
      <c r="K33" s="132">
        <f>[39]GtS!$I$10</f>
        <v>0</v>
      </c>
      <c r="L33" s="141">
        <f>[39]GtS!$I$54</f>
        <v>0</v>
      </c>
      <c r="M33" s="137">
        <f t="shared" si="8"/>
        <v>0</v>
      </c>
      <c r="N33" s="132">
        <f>[40]GtS!$I$10</f>
        <v>0</v>
      </c>
      <c r="O33" s="141">
        <f>[40]GtS!$I$54</f>
        <v>0</v>
      </c>
      <c r="P33" s="137">
        <f t="shared" si="9"/>
        <v>0</v>
      </c>
    </row>
    <row r="34" spans="1:16">
      <c r="A34" s="133" t="s">
        <v>90</v>
      </c>
      <c r="B34" s="132">
        <f>[41]GtS!$I$10</f>
        <v>0</v>
      </c>
      <c r="C34" s="141">
        <f>[41]GtS!$I$52</f>
        <v>0</v>
      </c>
      <c r="D34" s="137">
        <f t="shared" si="5"/>
        <v>0</v>
      </c>
      <c r="E34" s="132">
        <f>[42]GtS!$I$10</f>
        <v>0</v>
      </c>
      <c r="F34" s="141">
        <f>[42]GtS!$I$54</f>
        <v>0</v>
      </c>
      <c r="G34" s="137">
        <f t="shared" si="6"/>
        <v>0</v>
      </c>
      <c r="H34" s="132">
        <f>[43]GtS!$I$10</f>
        <v>0</v>
      </c>
      <c r="I34" s="141">
        <f>[43]GtS!$I$54</f>
        <v>0</v>
      </c>
      <c r="J34" s="137">
        <f t="shared" si="7"/>
        <v>0</v>
      </c>
      <c r="K34" s="132">
        <f>[44]GtS!$I$10</f>
        <v>0</v>
      </c>
      <c r="L34" s="141">
        <f>[44]GtS!$I$54</f>
        <v>0</v>
      </c>
      <c r="M34" s="137">
        <f t="shared" si="8"/>
        <v>0</v>
      </c>
      <c r="N34" s="132">
        <f>[45]GtS!$I$10</f>
        <v>0</v>
      </c>
      <c r="O34" s="141">
        <f>[45]GtS!$I$54</f>
        <v>0</v>
      </c>
      <c r="P34" s="137">
        <f t="shared" si="9"/>
        <v>0</v>
      </c>
    </row>
    <row r="35" spans="1:16">
      <c r="A35" s="133" t="s">
        <v>91</v>
      </c>
      <c r="B35" s="132">
        <f>[46]GtS!$I$10</f>
        <v>0</v>
      </c>
      <c r="C35" s="141">
        <f>[46]GtS!$I$52</f>
        <v>0</v>
      </c>
      <c r="D35" s="137">
        <f t="shared" si="5"/>
        <v>0</v>
      </c>
      <c r="E35" s="132">
        <f>[47]GtS!$I$10</f>
        <v>0</v>
      </c>
      <c r="F35" s="141">
        <f>[47]GtS!$I$54</f>
        <v>0</v>
      </c>
      <c r="G35" s="137">
        <f t="shared" si="6"/>
        <v>0</v>
      </c>
      <c r="H35" s="132">
        <f>[48]GtS!$I$10</f>
        <v>0</v>
      </c>
      <c r="I35" s="141">
        <f>[48]GtS!$I$54</f>
        <v>0</v>
      </c>
      <c r="J35" s="137">
        <f t="shared" si="7"/>
        <v>0</v>
      </c>
      <c r="K35" s="132">
        <f>[49]GtS!$I$10</f>
        <v>0</v>
      </c>
      <c r="L35" s="141">
        <f>[49]GtS!$I$54</f>
        <v>0</v>
      </c>
      <c r="M35" s="137">
        <f t="shared" si="8"/>
        <v>0</v>
      </c>
      <c r="N35" s="132">
        <f>[50]GtS!$I$10</f>
        <v>0</v>
      </c>
      <c r="O35" s="141">
        <f>[50]GtS!$I$54</f>
        <v>0</v>
      </c>
      <c r="P35" s="137">
        <f t="shared" si="9"/>
        <v>0</v>
      </c>
    </row>
    <row r="36" spans="1:16">
      <c r="A36" s="133" t="s">
        <v>92</v>
      </c>
      <c r="B36" s="132">
        <f>[51]GtS!$I$10</f>
        <v>0</v>
      </c>
      <c r="C36" s="141">
        <f>[51]GtS!$I$52</f>
        <v>0</v>
      </c>
      <c r="D36" s="137">
        <f t="shared" si="5"/>
        <v>0</v>
      </c>
      <c r="E36" s="132">
        <f>[52]GtS!$I$10</f>
        <v>0</v>
      </c>
      <c r="F36" s="141">
        <f>[52]GtS!$I$54</f>
        <v>0</v>
      </c>
      <c r="G36" s="137">
        <f t="shared" si="6"/>
        <v>0</v>
      </c>
      <c r="H36" s="132">
        <f>[53]GtS!$I$10</f>
        <v>0</v>
      </c>
      <c r="I36" s="141">
        <f>[53]GtS!$I$54</f>
        <v>0</v>
      </c>
      <c r="J36" s="137">
        <f t="shared" si="7"/>
        <v>0</v>
      </c>
      <c r="K36" s="132">
        <f>[54]GtS!$I$10</f>
        <v>0</v>
      </c>
      <c r="L36" s="141">
        <f>[54]GtS!$I$54</f>
        <v>0</v>
      </c>
      <c r="M36" s="137">
        <f t="shared" si="8"/>
        <v>0</v>
      </c>
      <c r="N36" s="132">
        <f>[55]GtS!$I$10</f>
        <v>0</v>
      </c>
      <c r="O36" s="141">
        <f>[55]GtS!$I$54</f>
        <v>0</v>
      </c>
      <c r="P36" s="137">
        <f t="shared" si="9"/>
        <v>0</v>
      </c>
    </row>
    <row r="37" spans="1:16">
      <c r="A37" s="133" t="s">
        <v>93</v>
      </c>
      <c r="B37" s="132">
        <f>[76]GtS!$I$10</f>
        <v>0</v>
      </c>
      <c r="C37" s="141">
        <f>[76]GtS!$I$52</f>
        <v>0</v>
      </c>
      <c r="D37" s="137">
        <f t="shared" si="5"/>
        <v>0</v>
      </c>
      <c r="E37" s="132">
        <f>[77]GtS!$I$10</f>
        <v>0</v>
      </c>
      <c r="F37" s="141">
        <f>[77]GtS!$I$54</f>
        <v>0</v>
      </c>
      <c r="G37" s="137">
        <f t="shared" si="6"/>
        <v>0</v>
      </c>
      <c r="H37" s="132">
        <f>[78]GtS!$I$10</f>
        <v>0</v>
      </c>
      <c r="I37" s="141">
        <f>[78]GtS!$I$54</f>
        <v>0</v>
      </c>
      <c r="J37" s="137">
        <f t="shared" si="7"/>
        <v>0</v>
      </c>
      <c r="K37" s="132">
        <f>[79]GtS!$I$10</f>
        <v>0</v>
      </c>
      <c r="L37" s="141">
        <f>[79]GtS!$I$54</f>
        <v>0</v>
      </c>
      <c r="M37" s="137">
        <f t="shared" si="8"/>
        <v>0</v>
      </c>
      <c r="N37" s="132">
        <f>[80]GtS!$I$10</f>
        <v>0</v>
      </c>
      <c r="O37" s="141">
        <f>[80]GtS!$I$54</f>
        <v>0</v>
      </c>
      <c r="P37" s="137">
        <f t="shared" si="9"/>
        <v>0</v>
      </c>
    </row>
    <row r="38" spans="1:16">
      <c r="A38" s="133" t="s">
        <v>94</v>
      </c>
      <c r="B38" s="132">
        <f>[56]GtS!$I$10</f>
        <v>0</v>
      </c>
      <c r="C38" s="141">
        <f>[56]GtS!$I$52</f>
        <v>0</v>
      </c>
      <c r="D38" s="137">
        <f t="shared" si="5"/>
        <v>0</v>
      </c>
      <c r="E38" s="132">
        <f>[57]GtS!$I$10</f>
        <v>0</v>
      </c>
      <c r="F38" s="141">
        <f>[57]GtS!$I$54</f>
        <v>0</v>
      </c>
      <c r="G38" s="137">
        <f t="shared" si="6"/>
        <v>0</v>
      </c>
      <c r="H38" s="132">
        <f>[58]GtS!$I$10</f>
        <v>0</v>
      </c>
      <c r="I38" s="141">
        <f>[58]GtS!$I$54</f>
        <v>0</v>
      </c>
      <c r="J38" s="137">
        <f t="shared" si="7"/>
        <v>0</v>
      </c>
      <c r="K38" s="132">
        <f>[59]GtS!$I$10</f>
        <v>0</v>
      </c>
      <c r="L38" s="141">
        <f>[59]GtS!$I$54</f>
        <v>0</v>
      </c>
      <c r="M38" s="137">
        <f t="shared" si="8"/>
        <v>0</v>
      </c>
      <c r="N38" s="132">
        <f>[60]GtS!$I$10</f>
        <v>0</v>
      </c>
      <c r="O38" s="141">
        <f>[60]GtS!$I$54</f>
        <v>0</v>
      </c>
      <c r="P38" s="137">
        <f t="shared" si="9"/>
        <v>0</v>
      </c>
    </row>
    <row r="39" spans="1:16">
      <c r="A39" s="133" t="s">
        <v>95</v>
      </c>
      <c r="B39" s="132">
        <f>[61]GtS!$I$10</f>
        <v>0</v>
      </c>
      <c r="C39" s="141">
        <f>[61]GtS!$I$52</f>
        <v>0</v>
      </c>
      <c r="D39" s="137">
        <f t="shared" si="5"/>
        <v>0</v>
      </c>
      <c r="E39" s="132">
        <f>[62]GtS!$I$10</f>
        <v>0</v>
      </c>
      <c r="F39" s="141">
        <f>[62]GtS!$I$54</f>
        <v>0</v>
      </c>
      <c r="G39" s="137">
        <f t="shared" si="6"/>
        <v>0</v>
      </c>
      <c r="H39" s="132">
        <f>[63]GtS!$I$10</f>
        <v>0</v>
      </c>
      <c r="I39" s="141">
        <f>[63]GtS!$I$54</f>
        <v>0</v>
      </c>
      <c r="J39" s="137">
        <f t="shared" si="7"/>
        <v>0</v>
      </c>
      <c r="K39" s="132">
        <f>[64]GtS!$I$10</f>
        <v>0</v>
      </c>
      <c r="L39" s="141">
        <f>[64]GtS!$I$54</f>
        <v>0</v>
      </c>
      <c r="M39" s="137">
        <f t="shared" si="8"/>
        <v>0</v>
      </c>
      <c r="N39" s="132">
        <f>[65]GtS!$I$10</f>
        <v>0</v>
      </c>
      <c r="O39" s="141">
        <f>[65]GtS!$I$54</f>
        <v>0</v>
      </c>
      <c r="P39" s="137">
        <f t="shared" si="9"/>
        <v>0</v>
      </c>
    </row>
    <row r="40" spans="1:16">
      <c r="A40" s="133" t="s">
        <v>96</v>
      </c>
      <c r="B40" s="132">
        <f>SUM(B24:B39)</f>
        <v>923</v>
      </c>
      <c r="C40" s="141">
        <f>SUM(C24:C39)-C32-C30-C37</f>
        <v>106</v>
      </c>
      <c r="D40" s="137">
        <f>SUM(B40:C40)</f>
        <v>1029</v>
      </c>
      <c r="E40" s="132">
        <f>SUM(E24:E39)</f>
        <v>923</v>
      </c>
      <c r="F40" s="141">
        <f>SUM(F24:F39)-F32-F30-F37</f>
        <v>105</v>
      </c>
      <c r="G40" s="137">
        <f>SUM(E40:F40)</f>
        <v>1028</v>
      </c>
      <c r="H40" s="132">
        <f>SUM(H24:H39)</f>
        <v>928</v>
      </c>
      <c r="I40" s="141">
        <f>SUM(I24:I39)-I32-I30-I37</f>
        <v>118</v>
      </c>
      <c r="J40" s="137">
        <f>SUM(H40:I40)</f>
        <v>1046</v>
      </c>
      <c r="K40" s="132">
        <f>SUM(K24:K39)</f>
        <v>922</v>
      </c>
      <c r="L40" s="141">
        <f>SUM(L24:L39)-L32-L30-L37</f>
        <v>119</v>
      </c>
      <c r="M40" s="137">
        <f>SUM(K40:L40)</f>
        <v>1041</v>
      </c>
      <c r="N40" s="132">
        <f>SUM(N24:N39)</f>
        <v>923</v>
      </c>
      <c r="O40" s="141">
        <f>SUM(O24:O39)-O32-O30-O37</f>
        <v>117</v>
      </c>
      <c r="P40" s="137">
        <f>SUM(N40:O40)</f>
        <v>1040</v>
      </c>
    </row>
    <row r="41" spans="1:16" ht="13.5" thickBot="1">
      <c r="A41" s="423" t="s">
        <v>11</v>
      </c>
      <c r="B41" s="424"/>
      <c r="C41" s="424"/>
      <c r="D41" s="424"/>
      <c r="E41" s="424"/>
      <c r="F41" s="424"/>
      <c r="G41" s="424"/>
      <c r="H41" s="424"/>
      <c r="I41" s="424"/>
      <c r="J41" s="424"/>
      <c r="K41" s="424"/>
      <c r="L41" s="424"/>
      <c r="M41" s="424"/>
      <c r="N41" s="424"/>
      <c r="O41" s="424"/>
      <c r="P41" s="424"/>
    </row>
    <row r="42" spans="1:16" ht="13.5" thickTop="1">
      <c r="A42" s="133" t="s">
        <v>80</v>
      </c>
      <c r="B42" s="131">
        <f>[1]GtS!$I$11</f>
        <v>862</v>
      </c>
      <c r="C42" s="140">
        <f>[1]GtS!$I$53</f>
        <v>44</v>
      </c>
      <c r="D42" s="136">
        <f>SUM(B42:C42)</f>
        <v>906</v>
      </c>
      <c r="E42" s="131">
        <f>[2]GtS!$I$11</f>
        <v>824</v>
      </c>
      <c r="F42" s="140">
        <f>[2]GtS!$I$55</f>
        <v>44</v>
      </c>
      <c r="G42" s="136">
        <f>SUM(E42:F42)</f>
        <v>868</v>
      </c>
      <c r="H42" s="131">
        <f>[3]GtS!$I$11</f>
        <v>782</v>
      </c>
      <c r="I42" s="140">
        <f>[3]GtS!$I$55</f>
        <v>45</v>
      </c>
      <c r="J42" s="136">
        <f>SUM(H42:I42)</f>
        <v>827</v>
      </c>
      <c r="K42" s="131">
        <f>[4]GtS!$I$11</f>
        <v>747</v>
      </c>
      <c r="L42" s="140">
        <f>[4]GtS!$I$55</f>
        <v>44</v>
      </c>
      <c r="M42" s="136">
        <f>SUM(K42:L42)</f>
        <v>791</v>
      </c>
      <c r="N42" s="131">
        <f>[5]GtS!$I$11</f>
        <v>682</v>
      </c>
      <c r="O42" s="140">
        <f>[5]GtS!$I$55</f>
        <v>44</v>
      </c>
      <c r="P42" s="136">
        <f>SUM(N42:O42)</f>
        <v>726</v>
      </c>
    </row>
    <row r="43" spans="1:16">
      <c r="A43" s="133" t="s">
        <v>81</v>
      </c>
      <c r="B43" s="132">
        <f>[6]GtS!$I$11</f>
        <v>926</v>
      </c>
      <c r="C43" s="141">
        <f>[6]GtS!$I$53</f>
        <v>107</v>
      </c>
      <c r="D43" s="137">
        <f t="shared" ref="D43:D57" si="10">SUM(B43:C43)</f>
        <v>1033</v>
      </c>
      <c r="E43" s="132">
        <f>[7]GtS!$I$11</f>
        <v>916</v>
      </c>
      <c r="F43" s="141">
        <f>[7]GtS!$I$55</f>
        <v>107</v>
      </c>
      <c r="G43" s="137">
        <f t="shared" ref="G43:G57" si="11">SUM(E43:F43)</f>
        <v>1023</v>
      </c>
      <c r="H43" s="132">
        <f>[8]GtS!$I$11</f>
        <v>897</v>
      </c>
      <c r="I43" s="141">
        <f>[8]GtS!$I$55</f>
        <v>108</v>
      </c>
      <c r="J43" s="137">
        <f t="shared" ref="J43:J57" si="12">SUM(H43:I43)</f>
        <v>1005</v>
      </c>
      <c r="K43" s="132">
        <f>[9]GtS!$I$11</f>
        <v>888</v>
      </c>
      <c r="L43" s="141">
        <f>[9]GtS!$I$55</f>
        <v>109</v>
      </c>
      <c r="M43" s="137">
        <f t="shared" ref="M43:M57" si="13">SUM(K43:L43)</f>
        <v>997</v>
      </c>
      <c r="N43" s="132">
        <f>[10]GtS!$I$11</f>
        <v>891</v>
      </c>
      <c r="O43" s="141">
        <f>[10]GtS!$I$55</f>
        <v>109</v>
      </c>
      <c r="P43" s="137">
        <f t="shared" ref="P43:P57" si="14">SUM(N43:O43)</f>
        <v>1000</v>
      </c>
    </row>
    <row r="44" spans="1:16">
      <c r="A44" s="133" t="s">
        <v>82</v>
      </c>
      <c r="B44" s="132">
        <f>[11]GtS!$I$11</f>
        <v>0</v>
      </c>
      <c r="C44" s="141">
        <f>[11]GtS!$I$53</f>
        <v>0</v>
      </c>
      <c r="D44" s="137">
        <f t="shared" si="10"/>
        <v>0</v>
      </c>
      <c r="E44" s="132">
        <f>[12]GtS!$I$11</f>
        <v>0</v>
      </c>
      <c r="F44" s="141">
        <f>[12]GtS!$I$55</f>
        <v>0</v>
      </c>
      <c r="G44" s="137">
        <f t="shared" si="11"/>
        <v>0</v>
      </c>
      <c r="H44" s="132">
        <f>[13]GtS!$I$11</f>
        <v>0</v>
      </c>
      <c r="I44" s="141">
        <f>[13]GtS!$I$55</f>
        <v>0</v>
      </c>
      <c r="J44" s="137">
        <f t="shared" si="12"/>
        <v>0</v>
      </c>
      <c r="K44" s="132">
        <f>[14]GtS!$I$11</f>
        <v>0</v>
      </c>
      <c r="L44" s="141">
        <f>[14]GtS!$I$55</f>
        <v>0</v>
      </c>
      <c r="M44" s="137">
        <f t="shared" si="13"/>
        <v>0</v>
      </c>
      <c r="N44" s="132">
        <f>[15]GtS!$I$11</f>
        <v>0</v>
      </c>
      <c r="O44" s="141">
        <f>[15]GtS!$I$55</f>
        <v>0</v>
      </c>
      <c r="P44" s="137">
        <f t="shared" si="14"/>
        <v>0</v>
      </c>
    </row>
    <row r="45" spans="1:16">
      <c r="A45" s="133" t="s">
        <v>83</v>
      </c>
      <c r="B45" s="132">
        <f>[16]GtS!$I$11</f>
        <v>0</v>
      </c>
      <c r="C45" s="141">
        <f>[16]GtS!$I$53</f>
        <v>0</v>
      </c>
      <c r="D45" s="137">
        <f t="shared" si="10"/>
        <v>0</v>
      </c>
      <c r="E45" s="132">
        <f>[17]GtS!$I$11</f>
        <v>0</v>
      </c>
      <c r="F45" s="141">
        <f>[17]GtS!$I$55</f>
        <v>0</v>
      </c>
      <c r="G45" s="137">
        <f t="shared" si="11"/>
        <v>0</v>
      </c>
      <c r="H45" s="132">
        <f>[18]GtS!$I$11</f>
        <v>0</v>
      </c>
      <c r="I45" s="141">
        <f>[18]GtS!$I$55</f>
        <v>0</v>
      </c>
      <c r="J45" s="137">
        <f t="shared" si="12"/>
        <v>0</v>
      </c>
      <c r="K45" s="132">
        <f>[19]GtS!$I$11</f>
        <v>0</v>
      </c>
      <c r="L45" s="141">
        <f>[19]GtS!$I$55</f>
        <v>0</v>
      </c>
      <c r="M45" s="137">
        <f t="shared" si="13"/>
        <v>0</v>
      </c>
      <c r="N45" s="132">
        <f>[20]GtS!$I$11</f>
        <v>0</v>
      </c>
      <c r="O45" s="141">
        <f>[20]GtS!$I$55</f>
        <v>0</v>
      </c>
      <c r="P45" s="137">
        <f t="shared" si="14"/>
        <v>0</v>
      </c>
    </row>
    <row r="46" spans="1:16">
      <c r="A46" s="133" t="s">
        <v>84</v>
      </c>
      <c r="B46" s="132">
        <f>[21]GtS!$I$11</f>
        <v>0</v>
      </c>
      <c r="C46" s="141">
        <f>[21]GtS!$I$53</f>
        <v>0</v>
      </c>
      <c r="D46" s="137">
        <f t="shared" si="10"/>
        <v>0</v>
      </c>
      <c r="E46" s="132">
        <f>[22]GtS!$I$11</f>
        <v>0</v>
      </c>
      <c r="F46" s="141">
        <f>[22]GtS!$I$55</f>
        <v>0</v>
      </c>
      <c r="G46" s="137">
        <f t="shared" si="11"/>
        <v>0</v>
      </c>
      <c r="H46" s="132">
        <f>[23]GtS!$I$11</f>
        <v>0</v>
      </c>
      <c r="I46" s="141">
        <f>[23]GtS!$I$55</f>
        <v>0</v>
      </c>
      <c r="J46" s="137">
        <f t="shared" si="12"/>
        <v>0</v>
      </c>
      <c r="K46" s="132">
        <f>[24]GtS!$I$11</f>
        <v>0</v>
      </c>
      <c r="L46" s="141">
        <f>[24]GtS!$I$55</f>
        <v>0</v>
      </c>
      <c r="M46" s="137">
        <f t="shared" si="13"/>
        <v>0</v>
      </c>
      <c r="N46" s="132">
        <f>[25]GtS!$I$11</f>
        <v>0</v>
      </c>
      <c r="O46" s="141">
        <f>[25]GtS!$I$55</f>
        <v>0</v>
      </c>
      <c r="P46" s="137">
        <f t="shared" si="14"/>
        <v>0</v>
      </c>
    </row>
    <row r="47" spans="1:16">
      <c r="A47" s="133" t="s">
        <v>85</v>
      </c>
      <c r="B47" s="132">
        <f>[26]GtS!$I$11</f>
        <v>0</v>
      </c>
      <c r="C47" s="141">
        <f>[26]GtS!$I$53</f>
        <v>0</v>
      </c>
      <c r="D47" s="137">
        <f t="shared" si="10"/>
        <v>0</v>
      </c>
      <c r="E47" s="132">
        <f>[27]GtS!$I$11</f>
        <v>0</v>
      </c>
      <c r="F47" s="141">
        <f>[27]GtS!$I$55</f>
        <v>0</v>
      </c>
      <c r="G47" s="137">
        <f t="shared" si="11"/>
        <v>0</v>
      </c>
      <c r="H47" s="132">
        <f>[28]GtS!$I$11</f>
        <v>0</v>
      </c>
      <c r="I47" s="141">
        <f>[28]GtS!$I$55</f>
        <v>0</v>
      </c>
      <c r="J47" s="137">
        <f t="shared" si="12"/>
        <v>0</v>
      </c>
      <c r="K47" s="132">
        <f>[29]GtS!$I$11</f>
        <v>0</v>
      </c>
      <c r="L47" s="141">
        <f>[29]GtS!$I$55</f>
        <v>0</v>
      </c>
      <c r="M47" s="137">
        <f t="shared" si="13"/>
        <v>0</v>
      </c>
      <c r="N47" s="132">
        <f>[30]GtS!$I$11</f>
        <v>0</v>
      </c>
      <c r="O47" s="141">
        <f>[30]GtS!$I$55</f>
        <v>0</v>
      </c>
      <c r="P47" s="137">
        <f t="shared" si="14"/>
        <v>0</v>
      </c>
    </row>
    <row r="48" spans="1:16">
      <c r="A48" s="133" t="s">
        <v>86</v>
      </c>
      <c r="B48" s="132">
        <f>[66]GtS!$I$11</f>
        <v>251</v>
      </c>
      <c r="C48" s="141">
        <f>[66]GtS!$I$53</f>
        <v>2</v>
      </c>
      <c r="D48" s="137">
        <f t="shared" si="10"/>
        <v>253</v>
      </c>
      <c r="E48" s="132">
        <f>[67]GtS!$I$11</f>
        <v>245</v>
      </c>
      <c r="F48" s="141">
        <f>[67]GtS!$I$55</f>
        <v>0</v>
      </c>
      <c r="G48" s="137">
        <f t="shared" si="11"/>
        <v>245</v>
      </c>
      <c r="H48" s="132">
        <f>[68]GtS!$I$11</f>
        <v>237</v>
      </c>
      <c r="I48" s="141">
        <f>[68]GtS!$I$55</f>
        <v>0</v>
      </c>
      <c r="J48" s="137">
        <f t="shared" si="12"/>
        <v>237</v>
      </c>
      <c r="K48" s="132">
        <f>[69]GtS!$I$11</f>
        <v>220</v>
      </c>
      <c r="L48" s="141">
        <f>[69]GtS!$I$55</f>
        <v>0</v>
      </c>
      <c r="M48" s="137">
        <f t="shared" si="13"/>
        <v>220</v>
      </c>
      <c r="N48" s="132">
        <f>[70]GtS!$I$11</f>
        <v>213</v>
      </c>
      <c r="O48" s="141">
        <f>[70]GtS!$I$55</f>
        <v>0</v>
      </c>
      <c r="P48" s="137">
        <f t="shared" si="14"/>
        <v>213</v>
      </c>
    </row>
    <row r="49" spans="1:16">
      <c r="A49" s="133" t="s">
        <v>87</v>
      </c>
      <c r="B49" s="132">
        <f>[31]GtS!$I$11</f>
        <v>0</v>
      </c>
      <c r="C49" s="141">
        <f>[31]GtS!$I$53</f>
        <v>0</v>
      </c>
      <c r="D49" s="137">
        <f t="shared" si="10"/>
        <v>0</v>
      </c>
      <c r="E49" s="132">
        <f>[32]GtS!$I$11</f>
        <v>0</v>
      </c>
      <c r="F49" s="141">
        <f>[32]GtS!$I$55</f>
        <v>0</v>
      </c>
      <c r="G49" s="137">
        <f t="shared" si="11"/>
        <v>0</v>
      </c>
      <c r="H49" s="132">
        <f>[33]GtS!$I$11</f>
        <v>0</v>
      </c>
      <c r="I49" s="141">
        <f>[33]GtS!$I$55</f>
        <v>0</v>
      </c>
      <c r="J49" s="137">
        <f t="shared" si="12"/>
        <v>0</v>
      </c>
      <c r="K49" s="132">
        <f>[34]GtS!$I$11</f>
        <v>0</v>
      </c>
      <c r="L49" s="141">
        <f>[34]GtS!$I$55</f>
        <v>0</v>
      </c>
      <c r="M49" s="137">
        <f t="shared" si="13"/>
        <v>0</v>
      </c>
      <c r="N49" s="132">
        <f>[35]GtS!$I$11</f>
        <v>0</v>
      </c>
      <c r="O49" s="141">
        <f>[35]GtS!$I$55</f>
        <v>0</v>
      </c>
      <c r="P49" s="137">
        <f t="shared" si="14"/>
        <v>0</v>
      </c>
    </row>
    <row r="50" spans="1:16">
      <c r="A50" s="133" t="s">
        <v>88</v>
      </c>
      <c r="B50" s="132">
        <f>[71]GtS!$I$11</f>
        <v>468</v>
      </c>
      <c r="C50" s="141">
        <f>[71]GtS!$I$53</f>
        <v>20</v>
      </c>
      <c r="D50" s="137">
        <f t="shared" si="10"/>
        <v>488</v>
      </c>
      <c r="E50" s="132">
        <f>[72]GtS!$I$11</f>
        <v>462</v>
      </c>
      <c r="F50" s="141">
        <f>[72]GtS!$I$55</f>
        <v>19</v>
      </c>
      <c r="G50" s="137">
        <f t="shared" si="11"/>
        <v>481</v>
      </c>
      <c r="H50" s="132">
        <f>[73]GtS!$I$11</f>
        <v>444</v>
      </c>
      <c r="I50" s="141">
        <f>[73]GtS!$I$55</f>
        <v>18</v>
      </c>
      <c r="J50" s="137">
        <f t="shared" si="12"/>
        <v>462</v>
      </c>
      <c r="K50" s="132">
        <f>[74]GtS!$I$11</f>
        <v>403</v>
      </c>
      <c r="L50" s="141">
        <f>[74]GtS!$I$55</f>
        <v>18</v>
      </c>
      <c r="M50" s="137">
        <f t="shared" si="13"/>
        <v>421</v>
      </c>
      <c r="N50" s="132">
        <f>[75]GtS!$I$11</f>
        <v>268</v>
      </c>
      <c r="O50" s="141">
        <f>[75]GtS!$I$55</f>
        <v>8</v>
      </c>
      <c r="P50" s="137">
        <f t="shared" si="14"/>
        <v>276</v>
      </c>
    </row>
    <row r="51" spans="1:16">
      <c r="A51" s="133" t="s">
        <v>89</v>
      </c>
      <c r="B51" s="132">
        <f>[36]GtS!$I$11</f>
        <v>568</v>
      </c>
      <c r="C51" s="141">
        <f>[36]GtS!$I$53</f>
        <v>8</v>
      </c>
      <c r="D51" s="137">
        <f t="shared" si="10"/>
        <v>576</v>
      </c>
      <c r="E51" s="132">
        <f>[37]GtS!$I$11</f>
        <v>527</v>
      </c>
      <c r="F51" s="141">
        <f>[37]GtS!$I$55</f>
        <v>9</v>
      </c>
      <c r="G51" s="137">
        <f t="shared" si="11"/>
        <v>536</v>
      </c>
      <c r="H51" s="132">
        <f>[38]GtS!$I$11</f>
        <v>485</v>
      </c>
      <c r="I51" s="141">
        <f>[38]GtS!$I$55</f>
        <v>9</v>
      </c>
      <c r="J51" s="137">
        <f t="shared" si="12"/>
        <v>494</v>
      </c>
      <c r="K51" s="132">
        <f>[39]GtS!$I$11</f>
        <v>448</v>
      </c>
      <c r="L51" s="141">
        <f>[39]GtS!$I$55</f>
        <v>9</v>
      </c>
      <c r="M51" s="137">
        <f t="shared" si="13"/>
        <v>457</v>
      </c>
      <c r="N51" s="132">
        <f>[40]GtS!$I$11</f>
        <v>395</v>
      </c>
      <c r="O51" s="141">
        <f>[40]GtS!$I$55</f>
        <v>9</v>
      </c>
      <c r="P51" s="137">
        <f t="shared" si="14"/>
        <v>404</v>
      </c>
    </row>
    <row r="52" spans="1:16">
      <c r="A52" s="133" t="s">
        <v>90</v>
      </c>
      <c r="B52" s="132">
        <f>[41]GtS!$I$11</f>
        <v>20</v>
      </c>
      <c r="C52" s="141">
        <f>[41]GtS!$I$53</f>
        <v>6</v>
      </c>
      <c r="D52" s="137">
        <f t="shared" si="10"/>
        <v>26</v>
      </c>
      <c r="E52" s="132">
        <f>[42]GtS!$I$11</f>
        <v>0</v>
      </c>
      <c r="F52" s="141">
        <f>[42]GtS!$I$55</f>
        <v>5</v>
      </c>
      <c r="G52" s="137">
        <f t="shared" si="11"/>
        <v>5</v>
      </c>
      <c r="H52" s="132">
        <f>[43]GtS!$I$11</f>
        <v>0</v>
      </c>
      <c r="I52" s="141">
        <f>[43]GtS!$I$55</f>
        <v>4</v>
      </c>
      <c r="J52" s="137">
        <f t="shared" si="12"/>
        <v>4</v>
      </c>
      <c r="K52" s="132">
        <f>[44]GtS!$I$11</f>
        <v>0</v>
      </c>
      <c r="L52" s="141">
        <f>[44]GtS!$I$55</f>
        <v>4</v>
      </c>
      <c r="M52" s="137">
        <f t="shared" si="13"/>
        <v>4</v>
      </c>
      <c r="N52" s="132">
        <f>[45]GtS!$I$11</f>
        <v>0</v>
      </c>
      <c r="O52" s="141">
        <f>[45]GtS!$I$55</f>
        <v>4</v>
      </c>
      <c r="P52" s="137">
        <f t="shared" si="14"/>
        <v>4</v>
      </c>
    </row>
    <row r="53" spans="1:16">
      <c r="A53" s="133" t="s">
        <v>91</v>
      </c>
      <c r="B53" s="132">
        <f>[46]GtS!$I$11</f>
        <v>0</v>
      </c>
      <c r="C53" s="141">
        <f>[46]GtS!$I$53</f>
        <v>1</v>
      </c>
      <c r="D53" s="137">
        <f t="shared" si="10"/>
        <v>1</v>
      </c>
      <c r="E53" s="132">
        <f>[47]GtS!$I$11</f>
        <v>0</v>
      </c>
      <c r="F53" s="141">
        <f>[47]GtS!$I$55</f>
        <v>1</v>
      </c>
      <c r="G53" s="137">
        <f t="shared" si="11"/>
        <v>1</v>
      </c>
      <c r="H53" s="132">
        <f>[48]GtS!$I$11</f>
        <v>0</v>
      </c>
      <c r="I53" s="141">
        <f>[48]GtS!$I$55</f>
        <v>1</v>
      </c>
      <c r="J53" s="137">
        <f t="shared" si="12"/>
        <v>1</v>
      </c>
      <c r="K53" s="132">
        <f>[49]GtS!$I$11</f>
        <v>0</v>
      </c>
      <c r="L53" s="141">
        <f>[49]GtS!$I$55</f>
        <v>0</v>
      </c>
      <c r="M53" s="137">
        <f t="shared" si="13"/>
        <v>0</v>
      </c>
      <c r="N53" s="132">
        <f>[50]GtS!$I$11</f>
        <v>0</v>
      </c>
      <c r="O53" s="141">
        <f>[50]GtS!$I$55</f>
        <v>0</v>
      </c>
      <c r="P53" s="137">
        <f t="shared" si="14"/>
        <v>0</v>
      </c>
    </row>
    <row r="54" spans="1:16">
      <c r="A54" s="133" t="s">
        <v>92</v>
      </c>
      <c r="B54" s="132">
        <f>[51]GtS!$I$11</f>
        <v>0</v>
      </c>
      <c r="C54" s="141">
        <f>[51]GtS!$I$53</f>
        <v>0</v>
      </c>
      <c r="D54" s="137">
        <f t="shared" si="10"/>
        <v>0</v>
      </c>
      <c r="E54" s="132">
        <f>[52]GtS!$I$11</f>
        <v>0</v>
      </c>
      <c r="F54" s="141">
        <f>[52]GtS!$I$55</f>
        <v>0</v>
      </c>
      <c r="G54" s="137">
        <f t="shared" si="11"/>
        <v>0</v>
      </c>
      <c r="H54" s="132">
        <f>[53]GtS!$I$11</f>
        <v>0</v>
      </c>
      <c r="I54" s="141">
        <f>[53]GtS!$I$55</f>
        <v>0</v>
      </c>
      <c r="J54" s="137">
        <f t="shared" si="12"/>
        <v>0</v>
      </c>
      <c r="K54" s="132">
        <f>[54]GtS!$I$11</f>
        <v>0</v>
      </c>
      <c r="L54" s="141">
        <f>[54]GtS!$I$55</f>
        <v>0</v>
      </c>
      <c r="M54" s="137">
        <f t="shared" si="13"/>
        <v>0</v>
      </c>
      <c r="N54" s="132">
        <f>[55]GtS!$I$11</f>
        <v>0</v>
      </c>
      <c r="O54" s="141">
        <f>[55]GtS!$I$55</f>
        <v>0</v>
      </c>
      <c r="P54" s="137">
        <f t="shared" si="14"/>
        <v>0</v>
      </c>
    </row>
    <row r="55" spans="1:16">
      <c r="A55" s="133" t="s">
        <v>93</v>
      </c>
      <c r="B55" s="132">
        <f>[76]GtS!$I$11</f>
        <v>0</v>
      </c>
      <c r="C55" s="141">
        <f>[76]GtS!$I$53</f>
        <v>0</v>
      </c>
      <c r="D55" s="137">
        <f t="shared" si="10"/>
        <v>0</v>
      </c>
      <c r="E55" s="132">
        <f>[77]GtS!$I$11</f>
        <v>0</v>
      </c>
      <c r="F55" s="141">
        <f>[77]GtS!$I$55</f>
        <v>0</v>
      </c>
      <c r="G55" s="137">
        <f t="shared" si="11"/>
        <v>0</v>
      </c>
      <c r="H55" s="132">
        <f>[78]GtS!$I$11</f>
        <v>0</v>
      </c>
      <c r="I55" s="141">
        <f>[78]GtS!$I$55</f>
        <v>0</v>
      </c>
      <c r="J55" s="137">
        <f t="shared" si="12"/>
        <v>0</v>
      </c>
      <c r="K55" s="132">
        <f>[79]GtS!$I$11</f>
        <v>0</v>
      </c>
      <c r="L55" s="141">
        <f>[79]GtS!$I$55</f>
        <v>0</v>
      </c>
      <c r="M55" s="137">
        <f t="shared" si="13"/>
        <v>0</v>
      </c>
      <c r="N55" s="132">
        <f>[80]GtS!$I$11</f>
        <v>0</v>
      </c>
      <c r="O55" s="141">
        <f>[80]GtS!$I$55</f>
        <v>0</v>
      </c>
      <c r="P55" s="137">
        <f t="shared" si="14"/>
        <v>0</v>
      </c>
    </row>
    <row r="56" spans="1:16">
      <c r="A56" s="133" t="s">
        <v>94</v>
      </c>
      <c r="B56" s="132">
        <f>[56]GtS!$I$11</f>
        <v>92</v>
      </c>
      <c r="C56" s="141">
        <f>[56]GtS!$I$53</f>
        <v>0</v>
      </c>
      <c r="D56" s="137">
        <f t="shared" si="10"/>
        <v>92</v>
      </c>
      <c r="E56" s="132">
        <f>[57]GtS!$I$11</f>
        <v>31</v>
      </c>
      <c r="F56" s="141">
        <f>[57]GtS!$I$55</f>
        <v>0</v>
      </c>
      <c r="G56" s="137">
        <f t="shared" si="11"/>
        <v>31</v>
      </c>
      <c r="H56" s="132">
        <f>[58]GtS!$I$11</f>
        <v>7</v>
      </c>
      <c r="I56" s="141">
        <f>[58]GtS!$I$55</f>
        <v>0</v>
      </c>
      <c r="J56" s="137">
        <f t="shared" si="12"/>
        <v>7</v>
      </c>
      <c r="K56" s="132">
        <f>[59]GtS!$I$11</f>
        <v>0</v>
      </c>
      <c r="L56" s="141">
        <f>[59]GtS!$I$55</f>
        <v>0</v>
      </c>
      <c r="M56" s="137">
        <f t="shared" si="13"/>
        <v>0</v>
      </c>
      <c r="N56" s="132">
        <f>[60]GtS!$I$11</f>
        <v>0</v>
      </c>
      <c r="O56" s="141">
        <f>[60]GtS!$I$55</f>
        <v>0</v>
      </c>
      <c r="P56" s="137">
        <f t="shared" si="14"/>
        <v>0</v>
      </c>
    </row>
    <row r="57" spans="1:16">
      <c r="A57" s="133" t="s">
        <v>95</v>
      </c>
      <c r="B57" s="132">
        <f>[61]GtS!$I$11</f>
        <v>0</v>
      </c>
      <c r="C57" s="141">
        <f>[61]GtS!$I$53</f>
        <v>0</v>
      </c>
      <c r="D57" s="137">
        <f t="shared" si="10"/>
        <v>0</v>
      </c>
      <c r="E57" s="132">
        <f>[62]GtS!$I$11</f>
        <v>0</v>
      </c>
      <c r="F57" s="141">
        <f>[62]GtS!$I$55</f>
        <v>0</v>
      </c>
      <c r="G57" s="137">
        <f t="shared" si="11"/>
        <v>0</v>
      </c>
      <c r="H57" s="132">
        <f>[63]GtS!$I$11</f>
        <v>0</v>
      </c>
      <c r="I57" s="141">
        <f>[63]GtS!$I$55</f>
        <v>0</v>
      </c>
      <c r="J57" s="137">
        <f t="shared" si="12"/>
        <v>0</v>
      </c>
      <c r="K57" s="132">
        <f>[64]GtS!$I$11</f>
        <v>0</v>
      </c>
      <c r="L57" s="141">
        <f>[64]GtS!$I$55</f>
        <v>0</v>
      </c>
      <c r="M57" s="137">
        <f t="shared" si="13"/>
        <v>0</v>
      </c>
      <c r="N57" s="132">
        <f>[65]GtS!$I$11</f>
        <v>0</v>
      </c>
      <c r="O57" s="141">
        <f>[65]GtS!$I$55</f>
        <v>0</v>
      </c>
      <c r="P57" s="137">
        <f t="shared" si="14"/>
        <v>0</v>
      </c>
    </row>
    <row r="58" spans="1:16">
      <c r="A58" s="133" t="s">
        <v>96</v>
      </c>
      <c r="B58" s="132">
        <f>SUM(B42:B57)</f>
        <v>3187</v>
      </c>
      <c r="C58" s="141">
        <f>SUM(C42:C57)-C50-C48-C55</f>
        <v>166</v>
      </c>
      <c r="D58" s="137">
        <f>SUM(B58:C58)</f>
        <v>3353</v>
      </c>
      <c r="E58" s="132">
        <f>SUM(E42:E57)</f>
        <v>3005</v>
      </c>
      <c r="F58" s="141">
        <f>SUM(F42:F57)-F50-F48-F55</f>
        <v>166</v>
      </c>
      <c r="G58" s="137">
        <f>SUM(E58:F58)</f>
        <v>3171</v>
      </c>
      <c r="H58" s="132">
        <f>SUM(H42:H57)</f>
        <v>2852</v>
      </c>
      <c r="I58" s="141">
        <f>SUM(I42:I57)-I50-I48-I55</f>
        <v>167</v>
      </c>
      <c r="J58" s="137">
        <f>SUM(H58:I58)</f>
        <v>3019</v>
      </c>
      <c r="K58" s="132">
        <f>SUM(K42:K57)</f>
        <v>2706</v>
      </c>
      <c r="L58" s="141">
        <f>SUM(L42:L57)-L50-L48-L55</f>
        <v>166</v>
      </c>
      <c r="M58" s="137">
        <f>SUM(K58:L58)</f>
        <v>2872</v>
      </c>
      <c r="N58" s="132">
        <f>SUM(N42:N57)</f>
        <v>2449</v>
      </c>
      <c r="O58" s="141">
        <f>SUM(O42:O57)-O50-O48-O55</f>
        <v>166</v>
      </c>
      <c r="P58" s="137">
        <f>SUM(N58:O58)</f>
        <v>2615</v>
      </c>
    </row>
    <row r="59" spans="1:16" ht="13.5" thickBot="1">
      <c r="A59" s="423" t="s">
        <v>13</v>
      </c>
      <c r="B59" s="424"/>
      <c r="C59" s="424"/>
      <c r="D59" s="424"/>
      <c r="E59" s="424"/>
      <c r="F59" s="424"/>
      <c r="G59" s="424"/>
      <c r="H59" s="424"/>
      <c r="I59" s="424"/>
      <c r="J59" s="424"/>
      <c r="K59" s="424"/>
      <c r="L59" s="424"/>
      <c r="M59" s="424"/>
      <c r="N59" s="424"/>
      <c r="O59" s="424"/>
      <c r="P59" s="424"/>
    </row>
    <row r="60" spans="1:16" ht="13.5" thickTop="1">
      <c r="A60" s="133" t="s">
        <v>80</v>
      </c>
      <c r="B60" s="131">
        <f>[1]GtS!$I$12</f>
        <v>0</v>
      </c>
      <c r="C60" s="140">
        <f>[1]GtS!$I$54</f>
        <v>0</v>
      </c>
      <c r="D60" s="136">
        <f>SUM(B60:C60)</f>
        <v>0</v>
      </c>
      <c r="E60" s="131">
        <f>[2]GtS!$I$12</f>
        <v>0</v>
      </c>
      <c r="F60" s="140">
        <f>[2]GtS!$I$56</f>
        <v>0</v>
      </c>
      <c r="G60" s="136">
        <f>SUM(E60:F60)</f>
        <v>0</v>
      </c>
      <c r="H60" s="131">
        <f>[3]GtS!$I$12</f>
        <v>0</v>
      </c>
      <c r="I60" s="140">
        <f>[3]GtS!$I$56</f>
        <v>0</v>
      </c>
      <c r="J60" s="136">
        <f>SUM(H60:I60)</f>
        <v>0</v>
      </c>
      <c r="K60" s="131">
        <f>[4]GtS!$I$12</f>
        <v>0</v>
      </c>
      <c r="L60" s="140">
        <f>[4]GtS!$I$56</f>
        <v>0</v>
      </c>
      <c r="M60" s="136">
        <f>SUM(K60:L60)</f>
        <v>0</v>
      </c>
      <c r="N60" s="131">
        <f>[5]GtS!$I$12</f>
        <v>0</v>
      </c>
      <c r="O60" s="140">
        <f>[5]GtS!$I$56</f>
        <v>0</v>
      </c>
      <c r="P60" s="136">
        <f>SUM(N60:O60)</f>
        <v>0</v>
      </c>
    </row>
    <row r="61" spans="1:16">
      <c r="A61" s="133" t="s">
        <v>81</v>
      </c>
      <c r="B61" s="132">
        <f>[6]GtS!$I$12</f>
        <v>0</v>
      </c>
      <c r="C61" s="141">
        <f>[6]GtS!$I$54</f>
        <v>0</v>
      </c>
      <c r="D61" s="137">
        <f t="shared" ref="D61:D75" si="15">SUM(B61:C61)</f>
        <v>0</v>
      </c>
      <c r="E61" s="132">
        <f>[7]GtS!$I$12</f>
        <v>0</v>
      </c>
      <c r="F61" s="141">
        <f>[7]GtS!$I$56</f>
        <v>0</v>
      </c>
      <c r="G61" s="137">
        <f t="shared" ref="G61:G75" si="16">SUM(E61:F61)</f>
        <v>0</v>
      </c>
      <c r="H61" s="132">
        <f>[8]GtS!$I$12</f>
        <v>0</v>
      </c>
      <c r="I61" s="141">
        <f>[8]GtS!$I$56</f>
        <v>0</v>
      </c>
      <c r="J61" s="137">
        <f t="shared" ref="J61:J75" si="17">SUM(H61:I61)</f>
        <v>0</v>
      </c>
      <c r="K61" s="132" t="str">
        <f>[9]GtS!$I$12</f>
        <v xml:space="preserve">                                      -   </v>
      </c>
      <c r="L61" s="141" t="str">
        <f>[9]GtS!$I$56</f>
        <v xml:space="preserve">                                      -   </v>
      </c>
      <c r="M61" s="137">
        <f t="shared" ref="M61:M75" si="18">SUM(K61:L61)</f>
        <v>0</v>
      </c>
      <c r="N61" s="132">
        <f>[10]GtS!$I$12</f>
        <v>0</v>
      </c>
      <c r="O61" s="141">
        <f>[10]GtS!$I$56</f>
        <v>0</v>
      </c>
      <c r="P61" s="137">
        <f t="shared" ref="P61:P75" si="19">SUM(N61:O61)</f>
        <v>0</v>
      </c>
    </row>
    <row r="62" spans="1:16">
      <c r="A62" s="133" t="s">
        <v>82</v>
      </c>
      <c r="B62" s="132">
        <f>[11]GtS!$I$12</f>
        <v>0</v>
      </c>
      <c r="C62" s="141">
        <f>[11]GtS!$I$54</f>
        <v>0</v>
      </c>
      <c r="D62" s="137">
        <f t="shared" si="15"/>
        <v>0</v>
      </c>
      <c r="E62" s="132">
        <f>[12]GtS!$I$12</f>
        <v>0</v>
      </c>
      <c r="F62" s="141">
        <f>[12]GtS!$I$56</f>
        <v>0</v>
      </c>
      <c r="G62" s="137">
        <f t="shared" si="16"/>
        <v>0</v>
      </c>
      <c r="H62" s="132">
        <f>[13]GtS!$I$12</f>
        <v>0</v>
      </c>
      <c r="I62" s="141">
        <f>[13]GtS!$I$56</f>
        <v>0</v>
      </c>
      <c r="J62" s="137">
        <f t="shared" si="17"/>
        <v>0</v>
      </c>
      <c r="K62" s="132">
        <f>[14]GtS!$I$12</f>
        <v>0</v>
      </c>
      <c r="L62" s="141">
        <f>[14]GtS!$I$56</f>
        <v>0</v>
      </c>
      <c r="M62" s="137">
        <f t="shared" si="18"/>
        <v>0</v>
      </c>
      <c r="N62" s="132">
        <f>[15]GtS!$I$12</f>
        <v>0</v>
      </c>
      <c r="O62" s="141">
        <f>[15]GtS!$I$56</f>
        <v>0</v>
      </c>
      <c r="P62" s="137">
        <f t="shared" si="19"/>
        <v>0</v>
      </c>
    </row>
    <row r="63" spans="1:16">
      <c r="A63" s="133" t="s">
        <v>83</v>
      </c>
      <c r="B63" s="132">
        <f>[16]GtS!$I$12</f>
        <v>120</v>
      </c>
      <c r="C63" s="141">
        <f>[16]GtS!$I$54</f>
        <v>29</v>
      </c>
      <c r="D63" s="137">
        <f t="shared" si="15"/>
        <v>149</v>
      </c>
      <c r="E63" s="132">
        <f>[17]GtS!$I$12</f>
        <v>119</v>
      </c>
      <c r="F63" s="141">
        <f>[17]GtS!$I$56</f>
        <v>29</v>
      </c>
      <c r="G63" s="137">
        <f t="shared" si="16"/>
        <v>148</v>
      </c>
      <c r="H63" s="132">
        <f>[18]GtS!$I$12</f>
        <v>119</v>
      </c>
      <c r="I63" s="141">
        <f>[18]GtS!$I$56</f>
        <v>30</v>
      </c>
      <c r="J63" s="137">
        <f t="shared" si="17"/>
        <v>149</v>
      </c>
      <c r="K63" s="132">
        <f>[19]GtS!$I$12</f>
        <v>119</v>
      </c>
      <c r="L63" s="141">
        <f>[19]GtS!$I$56</f>
        <v>32</v>
      </c>
      <c r="M63" s="137">
        <f t="shared" si="18"/>
        <v>151</v>
      </c>
      <c r="N63" s="132">
        <f>[20]GtS!$I$12</f>
        <v>119</v>
      </c>
      <c r="O63" s="141">
        <f>[20]GtS!$I$56</f>
        <v>33</v>
      </c>
      <c r="P63" s="137">
        <f t="shared" si="19"/>
        <v>152</v>
      </c>
    </row>
    <row r="64" spans="1:16" ht="13.5" customHeight="1">
      <c r="A64" s="133" t="s">
        <v>84</v>
      </c>
      <c r="B64" s="132">
        <f>[21]GtS!$I$12</f>
        <v>23</v>
      </c>
      <c r="C64" s="141">
        <f>[21]GtS!$I$54</f>
        <v>3</v>
      </c>
      <c r="D64" s="137">
        <f t="shared" si="15"/>
        <v>26</v>
      </c>
      <c r="E64" s="132">
        <f>[22]GtS!$I$12</f>
        <v>23</v>
      </c>
      <c r="F64" s="141">
        <f>[22]GtS!$I$56</f>
        <v>3</v>
      </c>
      <c r="G64" s="137">
        <f t="shared" si="16"/>
        <v>26</v>
      </c>
      <c r="H64" s="132">
        <f>[23]GtS!$I$12</f>
        <v>17</v>
      </c>
      <c r="I64" s="141">
        <f>[23]GtS!$I$56</f>
        <v>3</v>
      </c>
      <c r="J64" s="137">
        <f t="shared" si="17"/>
        <v>20</v>
      </c>
      <c r="K64" s="132">
        <f>[24]GtS!$I$12</f>
        <v>10</v>
      </c>
      <c r="L64" s="141">
        <f>[24]GtS!$I$56</f>
        <v>2</v>
      </c>
      <c r="M64" s="137">
        <f t="shared" si="18"/>
        <v>12</v>
      </c>
      <c r="N64" s="132">
        <f>[25]GtS!$I$12</f>
        <v>0</v>
      </c>
      <c r="O64" s="141">
        <f>[25]GtS!$I$56</f>
        <v>2</v>
      </c>
      <c r="P64" s="137">
        <f t="shared" si="19"/>
        <v>2</v>
      </c>
    </row>
    <row r="65" spans="1:16" ht="12.6" customHeight="1">
      <c r="A65" s="133" t="s">
        <v>85</v>
      </c>
      <c r="B65" s="132">
        <f>[26]GtS!$I$12</f>
        <v>33</v>
      </c>
      <c r="C65" s="141">
        <f>[26]GtS!$I$54</f>
        <v>10</v>
      </c>
      <c r="D65" s="137">
        <f t="shared" si="15"/>
        <v>43</v>
      </c>
      <c r="E65" s="132">
        <f>[27]GtS!$I$12</f>
        <v>0</v>
      </c>
      <c r="F65" s="141">
        <f>[27]GtS!$I$56</f>
        <v>0</v>
      </c>
      <c r="G65" s="137">
        <f t="shared" si="16"/>
        <v>0</v>
      </c>
      <c r="H65" s="132">
        <f>[28]GtS!$I$12</f>
        <v>0</v>
      </c>
      <c r="I65" s="141">
        <f>[28]GtS!$I$56</f>
        <v>0</v>
      </c>
      <c r="J65" s="137">
        <f t="shared" si="17"/>
        <v>0</v>
      </c>
      <c r="K65" s="132">
        <f>[29]GtS!$I$12</f>
        <v>0</v>
      </c>
      <c r="L65" s="141">
        <f>[29]GtS!$I$56</f>
        <v>0</v>
      </c>
      <c r="M65" s="137">
        <f t="shared" si="18"/>
        <v>0</v>
      </c>
      <c r="N65" s="132">
        <f>[30]GtS!$I$12</f>
        <v>0</v>
      </c>
      <c r="O65" s="141">
        <f>[30]GtS!$I$56</f>
        <v>0</v>
      </c>
      <c r="P65" s="137">
        <f t="shared" si="19"/>
        <v>0</v>
      </c>
    </row>
    <row r="66" spans="1:16" ht="13.5" customHeight="1">
      <c r="A66" s="232" t="s">
        <v>86</v>
      </c>
      <c r="B66" s="132">
        <f>[66]GtS!$I$12</f>
        <v>20</v>
      </c>
      <c r="C66" s="141">
        <f>[66]GtS!$I$54</f>
        <v>0</v>
      </c>
      <c r="D66" s="137">
        <f t="shared" si="15"/>
        <v>20</v>
      </c>
      <c r="E66" s="132">
        <f>[67]GtS!$I$12</f>
        <v>22</v>
      </c>
      <c r="F66" s="141">
        <f>[67]GtS!$I$56</f>
        <v>0</v>
      </c>
      <c r="G66" s="137">
        <f t="shared" si="16"/>
        <v>22</v>
      </c>
      <c r="H66" s="132">
        <f>[68]GtS!$I$12</f>
        <v>19</v>
      </c>
      <c r="I66" s="141">
        <f>[68]GtS!$I$56</f>
        <v>0</v>
      </c>
      <c r="J66" s="137">
        <f t="shared" si="17"/>
        <v>19</v>
      </c>
      <c r="K66" s="132">
        <f>[69]GtS!$I$12</f>
        <v>19</v>
      </c>
      <c r="L66" s="141">
        <f>[69]GtS!$I$56</f>
        <v>0</v>
      </c>
      <c r="M66" s="137">
        <f t="shared" si="18"/>
        <v>19</v>
      </c>
      <c r="N66" s="132">
        <f>[70]GtS!$I$12</f>
        <v>19</v>
      </c>
      <c r="O66" s="141">
        <f>[70]GtS!$I$56</f>
        <v>0</v>
      </c>
      <c r="P66" s="137">
        <f t="shared" si="19"/>
        <v>19</v>
      </c>
    </row>
    <row r="67" spans="1:16" ht="10.5" customHeight="1">
      <c r="A67" s="232" t="s">
        <v>87</v>
      </c>
      <c r="B67" s="132">
        <f>[31]GtS!$I$12</f>
        <v>154</v>
      </c>
      <c r="C67" s="141">
        <f>[31]GtS!$I$54</f>
        <v>35</v>
      </c>
      <c r="D67" s="137">
        <f t="shared" si="15"/>
        <v>189</v>
      </c>
      <c r="E67" s="132">
        <f>[32]GtS!$I$12</f>
        <v>154</v>
      </c>
      <c r="F67" s="141">
        <f>[32]GtS!$I$56</f>
        <v>35</v>
      </c>
      <c r="G67" s="137">
        <f t="shared" si="16"/>
        <v>189</v>
      </c>
      <c r="H67" s="132">
        <f>[33]GtS!$I$12</f>
        <v>155</v>
      </c>
      <c r="I67" s="141">
        <f>[33]GtS!$I$56</f>
        <v>37</v>
      </c>
      <c r="J67" s="137">
        <f t="shared" si="17"/>
        <v>192</v>
      </c>
      <c r="K67" s="132">
        <f>[34]GtS!$I$12</f>
        <v>154</v>
      </c>
      <c r="L67" s="141">
        <f>[34]GtS!$I$56</f>
        <v>38</v>
      </c>
      <c r="M67" s="137">
        <f t="shared" si="18"/>
        <v>192</v>
      </c>
      <c r="N67" s="132">
        <f>[35]GtS!$I$12</f>
        <v>155</v>
      </c>
      <c r="O67" s="141">
        <f>[35]GtS!$I$56</f>
        <v>36</v>
      </c>
      <c r="P67" s="137">
        <f t="shared" si="19"/>
        <v>191</v>
      </c>
    </row>
    <row r="68" spans="1:16" ht="13.5" customHeight="1">
      <c r="A68" s="232" t="s">
        <v>88</v>
      </c>
      <c r="B68" s="132">
        <f>[71]GtS!$I$12</f>
        <v>205</v>
      </c>
      <c r="C68" s="141">
        <f>[71]GtS!$I$54</f>
        <v>11</v>
      </c>
      <c r="D68" s="137">
        <f t="shared" si="15"/>
        <v>216</v>
      </c>
      <c r="E68" s="132">
        <f>[72]GtS!$I$12</f>
        <v>222</v>
      </c>
      <c r="F68" s="141">
        <f>[72]GtS!$I$56</f>
        <v>16</v>
      </c>
      <c r="G68" s="137">
        <f t="shared" si="16"/>
        <v>238</v>
      </c>
      <c r="H68" s="132">
        <f>[73]GtS!$I$12</f>
        <v>257</v>
      </c>
      <c r="I68" s="141">
        <f>[73]GtS!$I$56</f>
        <v>19</v>
      </c>
      <c r="J68" s="137">
        <f t="shared" si="17"/>
        <v>276</v>
      </c>
      <c r="K68" s="132">
        <f>[74]GtS!$I$12</f>
        <v>329</v>
      </c>
      <c r="L68" s="141">
        <f>[74]GtS!$I$56</f>
        <v>19</v>
      </c>
      <c r="M68" s="137">
        <f t="shared" si="18"/>
        <v>348</v>
      </c>
      <c r="N68" s="132">
        <f>[75]GtS!$I$12</f>
        <v>395</v>
      </c>
      <c r="O68" s="141">
        <f>[75]GtS!$I$56</f>
        <v>20</v>
      </c>
      <c r="P68" s="137">
        <f t="shared" si="19"/>
        <v>415</v>
      </c>
    </row>
    <row r="69" spans="1:16">
      <c r="A69" s="133" t="s">
        <v>89</v>
      </c>
      <c r="B69" s="132">
        <f>[36]GtS!$I$12</f>
        <v>51</v>
      </c>
      <c r="C69" s="141">
        <f>[36]GtS!$I$54</f>
        <v>3</v>
      </c>
      <c r="D69" s="137">
        <f t="shared" si="15"/>
        <v>54</v>
      </c>
      <c r="E69" s="132">
        <f>[37]GtS!$I$12</f>
        <v>88</v>
      </c>
      <c r="F69" s="141">
        <f>[37]GtS!$I$56</f>
        <v>8</v>
      </c>
      <c r="G69" s="137">
        <f t="shared" si="16"/>
        <v>96</v>
      </c>
      <c r="H69" s="132">
        <f>[38]GtS!$I$12</f>
        <v>110</v>
      </c>
      <c r="I69" s="141">
        <f>[38]GtS!$I$56</f>
        <v>9</v>
      </c>
      <c r="J69" s="137">
        <f t="shared" si="17"/>
        <v>119</v>
      </c>
      <c r="K69" s="132">
        <f>[39]GtS!$I$12</f>
        <v>115</v>
      </c>
      <c r="L69" s="141">
        <f>[39]GtS!$I$56</f>
        <v>9</v>
      </c>
      <c r="M69" s="137">
        <f t="shared" si="18"/>
        <v>124</v>
      </c>
      <c r="N69" s="132">
        <f>[40]GtS!$I$12</f>
        <v>115</v>
      </c>
      <c r="O69" s="141">
        <f>[40]GtS!$I$56</f>
        <v>10</v>
      </c>
      <c r="P69" s="137">
        <f t="shared" si="19"/>
        <v>125</v>
      </c>
    </row>
    <row r="70" spans="1:16">
      <c r="A70" s="133" t="s">
        <v>90</v>
      </c>
      <c r="B70" s="132">
        <f>[41]GtS!$I$12</f>
        <v>195</v>
      </c>
      <c r="C70" s="141">
        <f>[41]GtS!$I$54</f>
        <v>6</v>
      </c>
      <c r="D70" s="137">
        <f t="shared" si="15"/>
        <v>201</v>
      </c>
      <c r="E70" s="132">
        <f>[42]GtS!$I$12</f>
        <v>194</v>
      </c>
      <c r="F70" s="141">
        <f>[42]GtS!$I$56</f>
        <v>7</v>
      </c>
      <c r="G70" s="137">
        <f t="shared" si="16"/>
        <v>201</v>
      </c>
      <c r="H70" s="132">
        <f>[43]GtS!$I$12</f>
        <v>189</v>
      </c>
      <c r="I70" s="141">
        <f>[43]GtS!$I$56</f>
        <v>9</v>
      </c>
      <c r="J70" s="137">
        <f t="shared" si="17"/>
        <v>198</v>
      </c>
      <c r="K70" s="132">
        <f>[44]GtS!$I$12</f>
        <v>182</v>
      </c>
      <c r="L70" s="141">
        <f>[44]GtS!$I$56</f>
        <v>10</v>
      </c>
      <c r="M70" s="137">
        <f t="shared" si="18"/>
        <v>192</v>
      </c>
      <c r="N70" s="132">
        <f>[45]GtS!$I$12</f>
        <v>180</v>
      </c>
      <c r="O70" s="141">
        <f>[45]GtS!$I$56</f>
        <v>10</v>
      </c>
      <c r="P70" s="137">
        <f t="shared" si="19"/>
        <v>190</v>
      </c>
    </row>
    <row r="71" spans="1:16">
      <c r="A71" s="133" t="s">
        <v>91</v>
      </c>
      <c r="B71" s="132">
        <f>[46]GtS!$I$12</f>
        <v>47</v>
      </c>
      <c r="C71" s="141">
        <f>[46]GtS!$I$54</f>
        <v>2</v>
      </c>
      <c r="D71" s="137">
        <f t="shared" si="15"/>
        <v>49</v>
      </c>
      <c r="E71" s="132">
        <f>[47]GtS!$I$12</f>
        <v>47</v>
      </c>
      <c r="F71" s="141">
        <f>[47]GtS!$I$56</f>
        <v>2</v>
      </c>
      <c r="G71" s="137">
        <f t="shared" si="16"/>
        <v>49</v>
      </c>
      <c r="H71" s="132">
        <f>[48]GtS!$I$12</f>
        <v>0</v>
      </c>
      <c r="I71" s="141">
        <f>[48]GtS!$I$56</f>
        <v>2</v>
      </c>
      <c r="J71" s="137">
        <f t="shared" si="17"/>
        <v>2</v>
      </c>
      <c r="K71" s="132">
        <f>[49]GtS!$I$12</f>
        <v>0</v>
      </c>
      <c r="L71" s="141">
        <f>[49]GtS!$I$56</f>
        <v>2</v>
      </c>
      <c r="M71" s="137">
        <f t="shared" si="18"/>
        <v>2</v>
      </c>
      <c r="N71" s="132">
        <f>[50]GtS!$I$12</f>
        <v>0</v>
      </c>
      <c r="O71" s="141">
        <f>[50]GtS!$I$56</f>
        <v>1</v>
      </c>
      <c r="P71" s="137">
        <f t="shared" si="19"/>
        <v>1</v>
      </c>
    </row>
    <row r="72" spans="1:16">
      <c r="A72" s="133" t="s">
        <v>92</v>
      </c>
      <c r="B72" s="132">
        <f>[51]GtS!$I$12</f>
        <v>278</v>
      </c>
      <c r="C72" s="141">
        <f>[51]GtS!$I$54</f>
        <v>58</v>
      </c>
      <c r="D72" s="137">
        <f t="shared" si="15"/>
        <v>336</v>
      </c>
      <c r="E72" s="132">
        <f>[52]GtS!$I$12</f>
        <v>278</v>
      </c>
      <c r="F72" s="141">
        <f>[52]GtS!$I$56</f>
        <v>58</v>
      </c>
      <c r="G72" s="137">
        <f t="shared" si="16"/>
        <v>336</v>
      </c>
      <c r="H72" s="132">
        <f>[53]GtS!$I$12</f>
        <v>278</v>
      </c>
      <c r="I72" s="141">
        <f>[53]GtS!$I$56</f>
        <v>58</v>
      </c>
      <c r="J72" s="137">
        <f t="shared" si="17"/>
        <v>336</v>
      </c>
      <c r="K72" s="132">
        <f>[54]GtS!$I$12</f>
        <v>279</v>
      </c>
      <c r="L72" s="141">
        <f>[54]GtS!$I$56</f>
        <v>61</v>
      </c>
      <c r="M72" s="137">
        <f t="shared" si="18"/>
        <v>340</v>
      </c>
      <c r="N72" s="132">
        <f>[55]GtS!$I$12</f>
        <v>279</v>
      </c>
      <c r="O72" s="141">
        <f>[55]GtS!$I$56</f>
        <v>68</v>
      </c>
      <c r="P72" s="137">
        <f t="shared" si="19"/>
        <v>347</v>
      </c>
    </row>
    <row r="73" spans="1:16">
      <c r="A73" s="133" t="s">
        <v>93</v>
      </c>
      <c r="B73" s="132">
        <f>[76]GtS!$I$12</f>
        <v>152</v>
      </c>
      <c r="C73" s="141">
        <f>[76]GtS!$I$54</f>
        <v>0</v>
      </c>
      <c r="D73" s="137">
        <f t="shared" si="15"/>
        <v>152</v>
      </c>
      <c r="E73" s="132">
        <f>[77]GtS!$I$12</f>
        <v>152</v>
      </c>
      <c r="F73" s="141">
        <f>[77]GtS!$I$56</f>
        <v>0</v>
      </c>
      <c r="G73" s="137">
        <f t="shared" si="16"/>
        <v>152</v>
      </c>
      <c r="H73" s="132">
        <f>[78]GtS!$I$12</f>
        <v>136</v>
      </c>
      <c r="I73" s="141">
        <f>[78]GtS!$I$56</f>
        <v>0</v>
      </c>
      <c r="J73" s="137">
        <f t="shared" si="17"/>
        <v>136</v>
      </c>
      <c r="K73" s="132">
        <f>[79]GtS!$I$12</f>
        <v>126</v>
      </c>
      <c r="L73" s="141">
        <f>[79]GtS!$I$56</f>
        <v>0</v>
      </c>
      <c r="M73" s="137">
        <f t="shared" si="18"/>
        <v>126</v>
      </c>
      <c r="N73" s="132">
        <f>[80]GtS!$I$12</f>
        <v>121</v>
      </c>
      <c r="O73" s="141">
        <f>[80]GtS!$I$56</f>
        <v>0</v>
      </c>
      <c r="P73" s="137">
        <f t="shared" si="19"/>
        <v>121</v>
      </c>
    </row>
    <row r="74" spans="1:16">
      <c r="A74" s="133" t="s">
        <v>94</v>
      </c>
      <c r="B74" s="132">
        <f>[56]GtS!$I$12</f>
        <v>76</v>
      </c>
      <c r="C74" s="141">
        <f>[56]GtS!$I$54</f>
        <v>4</v>
      </c>
      <c r="D74" s="137">
        <f t="shared" si="15"/>
        <v>80</v>
      </c>
      <c r="E74" s="132">
        <f>[57]GtS!$I$12</f>
        <v>75</v>
      </c>
      <c r="F74" s="141">
        <f>[57]GtS!$I$56</f>
        <v>4</v>
      </c>
      <c r="G74" s="137">
        <f t="shared" si="16"/>
        <v>79</v>
      </c>
      <c r="H74" s="132">
        <f>[58]GtS!$I$12</f>
        <v>69</v>
      </c>
      <c r="I74" s="141">
        <f>[58]GtS!$I$56</f>
        <v>4</v>
      </c>
      <c r="J74" s="137">
        <f t="shared" si="17"/>
        <v>73</v>
      </c>
      <c r="K74" s="132">
        <f>[59]GtS!$I$12</f>
        <v>65</v>
      </c>
      <c r="L74" s="141">
        <f>[59]GtS!$I$56</f>
        <v>4</v>
      </c>
      <c r="M74" s="137">
        <f t="shared" si="18"/>
        <v>69</v>
      </c>
      <c r="N74" s="132">
        <f>[60]GtS!$I$12</f>
        <v>63</v>
      </c>
      <c r="O74" s="141">
        <f>[60]GtS!$I$56</f>
        <v>1</v>
      </c>
      <c r="P74" s="137">
        <f t="shared" si="19"/>
        <v>64</v>
      </c>
    </row>
    <row r="75" spans="1:16">
      <c r="A75" s="133" t="s">
        <v>95</v>
      </c>
      <c r="B75" s="132">
        <f>[61]GtS!$I$12</f>
        <v>220</v>
      </c>
      <c r="C75" s="141">
        <f>[61]GtS!$I$54</f>
        <v>10</v>
      </c>
      <c r="D75" s="137">
        <f t="shared" si="15"/>
        <v>230</v>
      </c>
      <c r="E75" s="132">
        <f>[62]GtS!$I$12</f>
        <v>215</v>
      </c>
      <c r="F75" s="141">
        <f>[62]GtS!$I$56</f>
        <v>10</v>
      </c>
      <c r="G75" s="137">
        <f t="shared" si="16"/>
        <v>225</v>
      </c>
      <c r="H75" s="132">
        <f>[63]GtS!$I$12</f>
        <v>209</v>
      </c>
      <c r="I75" s="141">
        <f>[63]GtS!$I$56</f>
        <v>8</v>
      </c>
      <c r="J75" s="137">
        <f t="shared" si="17"/>
        <v>217</v>
      </c>
      <c r="K75" s="132">
        <f>[64]GtS!$I$12</f>
        <v>202</v>
      </c>
      <c r="L75" s="141">
        <f>[64]GtS!$I$56</f>
        <v>8</v>
      </c>
      <c r="M75" s="137">
        <f t="shared" si="18"/>
        <v>210</v>
      </c>
      <c r="N75" s="132">
        <f>[65]GtS!$I$12</f>
        <v>193</v>
      </c>
      <c r="O75" s="141">
        <f>[65]GtS!$I$56</f>
        <v>8</v>
      </c>
      <c r="P75" s="137">
        <f t="shared" si="19"/>
        <v>201</v>
      </c>
    </row>
    <row r="76" spans="1:16">
      <c r="A76" s="133" t="s">
        <v>96</v>
      </c>
      <c r="B76" s="132">
        <f>SUM(B60:B75)</f>
        <v>1574</v>
      </c>
      <c r="C76" s="141">
        <f>SUM(C60:C75)-C68-C66-C73</f>
        <v>160</v>
      </c>
      <c r="D76" s="137">
        <f>SUM(B76:C76)</f>
        <v>1734</v>
      </c>
      <c r="E76" s="132">
        <f>SUM(E60:E75)</f>
        <v>1589</v>
      </c>
      <c r="F76" s="141">
        <f>SUM(F60:F75)-F68-F66-F73</f>
        <v>156</v>
      </c>
      <c r="G76" s="137">
        <f>SUM(E76:F76)</f>
        <v>1745</v>
      </c>
      <c r="H76" s="132">
        <f>SUM(H60:H75)</f>
        <v>1558</v>
      </c>
      <c r="I76" s="141">
        <f>SUM(I60:I75)-I68-I66-I73</f>
        <v>160</v>
      </c>
      <c r="J76" s="137">
        <f>SUM(H76:I76)</f>
        <v>1718</v>
      </c>
      <c r="K76" s="132">
        <f>SUM(K60:K75)</f>
        <v>1600</v>
      </c>
      <c r="L76" s="141">
        <f>SUM(L60:L75)-L68-L66-L73</f>
        <v>166</v>
      </c>
      <c r="M76" s="137">
        <f>SUM(K76:L76)</f>
        <v>1766</v>
      </c>
      <c r="N76" s="132">
        <f>SUM(N60:N75)</f>
        <v>1639</v>
      </c>
      <c r="O76" s="141">
        <f>SUM(O60:O75)-O68-O66-O73</f>
        <v>169</v>
      </c>
      <c r="P76" s="137">
        <f>SUM(N76:O76)</f>
        <v>1808</v>
      </c>
    </row>
    <row r="77" spans="1:16" ht="13.5" thickBot="1">
      <c r="A77" s="423" t="s">
        <v>15</v>
      </c>
      <c r="B77" s="424"/>
      <c r="C77" s="424"/>
      <c r="D77" s="424"/>
      <c r="E77" s="424"/>
      <c r="F77" s="424"/>
      <c r="G77" s="424"/>
      <c r="H77" s="424"/>
      <c r="I77" s="424"/>
      <c r="J77" s="424"/>
      <c r="K77" s="424"/>
      <c r="L77" s="424"/>
      <c r="M77" s="424"/>
      <c r="N77" s="424"/>
      <c r="O77" s="424"/>
      <c r="P77" s="424"/>
    </row>
    <row r="78" spans="1:16" ht="13.5" thickTop="1">
      <c r="A78" s="133" t="s">
        <v>80</v>
      </c>
      <c r="B78" s="131">
        <f>[1]GtS!$I$13</f>
        <v>429</v>
      </c>
      <c r="C78" s="140">
        <f>[1]GtS!$I$55</f>
        <v>74</v>
      </c>
      <c r="D78" s="136">
        <f>SUM(B78:C78)</f>
        <v>503</v>
      </c>
      <c r="E78" s="131">
        <f>[2]GtS!$I$13</f>
        <v>429</v>
      </c>
      <c r="F78" s="140">
        <f>[2]GtS!$I$57</f>
        <v>74</v>
      </c>
      <c r="G78" s="136">
        <f>SUM(E78:F78)</f>
        <v>503</v>
      </c>
      <c r="H78" s="131">
        <f>[3]GtS!$I$13</f>
        <v>429</v>
      </c>
      <c r="I78" s="140">
        <f>[3]GtS!$I$57</f>
        <v>74</v>
      </c>
      <c r="J78" s="136">
        <f>SUM(H78:I78)</f>
        <v>503</v>
      </c>
      <c r="K78" s="131">
        <f>[4]GtS!$I$13</f>
        <v>429</v>
      </c>
      <c r="L78" s="140">
        <f>[4]GtS!$I$57</f>
        <v>78</v>
      </c>
      <c r="M78" s="136">
        <f>SUM(K78:L78)</f>
        <v>507</v>
      </c>
      <c r="N78" s="131">
        <f>[5]GtS!$I$13</f>
        <v>430</v>
      </c>
      <c r="O78" s="140">
        <f>[5]GtS!$I$57</f>
        <v>80</v>
      </c>
      <c r="P78" s="136">
        <f>SUM(N78:O78)</f>
        <v>510</v>
      </c>
    </row>
    <row r="79" spans="1:16">
      <c r="A79" s="133" t="s">
        <v>81</v>
      </c>
      <c r="B79" s="132">
        <f>[6]GtS!$I$13</f>
        <v>313</v>
      </c>
      <c r="C79" s="141">
        <f>[6]GtS!$I$55</f>
        <v>138</v>
      </c>
      <c r="D79" s="137">
        <f t="shared" ref="D79:D93" si="20">SUM(B79:C79)</f>
        <v>451</v>
      </c>
      <c r="E79" s="132">
        <f>[7]GtS!$I$13</f>
        <v>320</v>
      </c>
      <c r="F79" s="141">
        <f>[7]GtS!$I$57</f>
        <v>138</v>
      </c>
      <c r="G79" s="137">
        <f t="shared" ref="G79:G93" si="21">SUM(E79:F79)</f>
        <v>458</v>
      </c>
      <c r="H79" s="132">
        <f>[8]GtS!$I$13</f>
        <v>319</v>
      </c>
      <c r="I79" s="141">
        <f>[8]GtS!$I$57</f>
        <v>138</v>
      </c>
      <c r="J79" s="137">
        <f t="shared" ref="J79:J93" si="22">SUM(H79:I79)</f>
        <v>457</v>
      </c>
      <c r="K79" s="132">
        <f>[9]GtS!$I$13</f>
        <v>319</v>
      </c>
      <c r="L79" s="141">
        <f>[9]GtS!$I$57</f>
        <v>137</v>
      </c>
      <c r="M79" s="137">
        <f t="shared" ref="M79:M93" si="23">SUM(K79:L79)</f>
        <v>456</v>
      </c>
      <c r="N79" s="132">
        <f>[10]GtS!$I$13</f>
        <v>319</v>
      </c>
      <c r="O79" s="141">
        <f>[10]GtS!$I$57</f>
        <v>132</v>
      </c>
      <c r="P79" s="137">
        <f t="shared" ref="P79:P93" si="24">SUM(N79:O79)</f>
        <v>451</v>
      </c>
    </row>
    <row r="80" spans="1:16">
      <c r="A80" s="133" t="s">
        <v>82</v>
      </c>
      <c r="B80" s="132">
        <f>[11]GtS!$I$13</f>
        <v>0</v>
      </c>
      <c r="C80" s="141">
        <f>[11]GtS!$I$55</f>
        <v>0</v>
      </c>
      <c r="D80" s="137">
        <f t="shared" si="20"/>
        <v>0</v>
      </c>
      <c r="E80" s="132">
        <f>[12]GtS!$I$13</f>
        <v>0</v>
      </c>
      <c r="F80" s="141">
        <f>[12]GtS!$I$57</f>
        <v>0</v>
      </c>
      <c r="G80" s="137">
        <f t="shared" si="21"/>
        <v>0</v>
      </c>
      <c r="H80" s="132">
        <f>[13]GtS!$I$13</f>
        <v>0</v>
      </c>
      <c r="I80" s="141">
        <f>[13]GtS!$I$57</f>
        <v>0</v>
      </c>
      <c r="J80" s="137">
        <f t="shared" si="22"/>
        <v>0</v>
      </c>
      <c r="K80" s="132">
        <f>[14]GtS!$I$13</f>
        <v>0</v>
      </c>
      <c r="L80" s="141">
        <f>[14]GtS!$I$57</f>
        <v>0</v>
      </c>
      <c r="M80" s="137">
        <f t="shared" si="23"/>
        <v>0</v>
      </c>
      <c r="N80" s="132">
        <f>[15]GtS!$I$13</f>
        <v>0</v>
      </c>
      <c r="O80" s="141">
        <f>[15]GtS!$I$57</f>
        <v>0</v>
      </c>
      <c r="P80" s="137">
        <f t="shared" si="24"/>
        <v>0</v>
      </c>
    </row>
    <row r="81" spans="1:16">
      <c r="A81" s="133" t="s">
        <v>83</v>
      </c>
      <c r="B81" s="132">
        <f>[16]GtS!$I$13</f>
        <v>0</v>
      </c>
      <c r="C81" s="141">
        <f>[16]GtS!$I$55</f>
        <v>0</v>
      </c>
      <c r="D81" s="137">
        <f t="shared" si="20"/>
        <v>0</v>
      </c>
      <c r="E81" s="132">
        <f>[17]GtS!$I$13</f>
        <v>0</v>
      </c>
      <c r="F81" s="141">
        <f>[17]GtS!$I$57</f>
        <v>0</v>
      </c>
      <c r="G81" s="137">
        <f t="shared" si="21"/>
        <v>0</v>
      </c>
      <c r="H81" s="132">
        <f>[18]GtS!$I$13</f>
        <v>0</v>
      </c>
      <c r="I81" s="141">
        <f>[18]GtS!$I$57</f>
        <v>0</v>
      </c>
      <c r="J81" s="137">
        <f t="shared" si="22"/>
        <v>0</v>
      </c>
      <c r="K81" s="132">
        <f>[19]GtS!$I$13</f>
        <v>0</v>
      </c>
      <c r="L81" s="141">
        <f>[19]GtS!$I$57</f>
        <v>0</v>
      </c>
      <c r="M81" s="137">
        <f t="shared" si="23"/>
        <v>0</v>
      </c>
      <c r="N81" s="132">
        <f>[20]GtS!$I$13</f>
        <v>0</v>
      </c>
      <c r="O81" s="141">
        <f>[20]GtS!$I$57</f>
        <v>0</v>
      </c>
      <c r="P81" s="137">
        <f t="shared" si="24"/>
        <v>0</v>
      </c>
    </row>
    <row r="82" spans="1:16">
      <c r="A82" s="133" t="s">
        <v>84</v>
      </c>
      <c r="B82" s="132">
        <f>[21]GtS!$I$13</f>
        <v>0</v>
      </c>
      <c r="C82" s="141">
        <f>[21]GtS!$I$55</f>
        <v>0</v>
      </c>
      <c r="D82" s="137">
        <f t="shared" si="20"/>
        <v>0</v>
      </c>
      <c r="E82" s="132">
        <f>[22]GtS!$I$13</f>
        <v>0</v>
      </c>
      <c r="F82" s="141">
        <f>[22]GtS!$I$57</f>
        <v>0</v>
      </c>
      <c r="G82" s="137">
        <f t="shared" si="21"/>
        <v>0</v>
      </c>
      <c r="H82" s="132">
        <f>[23]GtS!$I$13</f>
        <v>0</v>
      </c>
      <c r="I82" s="141">
        <f>[23]GtS!$I$57</f>
        <v>0</v>
      </c>
      <c r="J82" s="137">
        <f t="shared" si="22"/>
        <v>0</v>
      </c>
      <c r="K82" s="132">
        <f>[24]GtS!$I$13</f>
        <v>0</v>
      </c>
      <c r="L82" s="141">
        <f>[24]GtS!$I$57</f>
        <v>0</v>
      </c>
      <c r="M82" s="137">
        <f t="shared" si="23"/>
        <v>0</v>
      </c>
      <c r="N82" s="132">
        <f>[25]GtS!$I$13</f>
        <v>0</v>
      </c>
      <c r="O82" s="141">
        <f>[25]GtS!$I$57</f>
        <v>0</v>
      </c>
      <c r="P82" s="137">
        <f t="shared" si="24"/>
        <v>0</v>
      </c>
    </row>
    <row r="83" spans="1:16" ht="10.5" customHeight="1">
      <c r="A83" s="133" t="s">
        <v>85</v>
      </c>
      <c r="B83" s="132">
        <f>[26]GtS!$I$13</f>
        <v>0</v>
      </c>
      <c r="C83" s="141">
        <f>[26]GtS!$I$55</f>
        <v>0</v>
      </c>
      <c r="D83" s="137">
        <f t="shared" si="20"/>
        <v>0</v>
      </c>
      <c r="E83" s="132">
        <f>[27]GtS!$I$13</f>
        <v>0</v>
      </c>
      <c r="F83" s="141">
        <f>[27]GtS!$I$57</f>
        <v>0</v>
      </c>
      <c r="G83" s="137">
        <f t="shared" si="21"/>
        <v>0</v>
      </c>
      <c r="H83" s="132">
        <f>[28]GtS!$I$13</f>
        <v>0</v>
      </c>
      <c r="I83" s="141">
        <f>[28]GtS!$I$57</f>
        <v>0</v>
      </c>
      <c r="J83" s="137">
        <f t="shared" si="22"/>
        <v>0</v>
      </c>
      <c r="K83" s="132">
        <f>[29]GtS!$I$13</f>
        <v>0</v>
      </c>
      <c r="L83" s="141">
        <f>[29]GtS!$I$57</f>
        <v>0</v>
      </c>
      <c r="M83" s="137">
        <f t="shared" si="23"/>
        <v>0</v>
      </c>
      <c r="N83" s="132">
        <f>[30]GtS!$I$13</f>
        <v>0</v>
      </c>
      <c r="O83" s="141">
        <f>[30]GtS!$I$57</f>
        <v>0</v>
      </c>
      <c r="P83" s="137">
        <f t="shared" si="24"/>
        <v>0</v>
      </c>
    </row>
    <row r="84" spans="1:16" ht="10.15" customHeight="1">
      <c r="A84" s="232" t="s">
        <v>86</v>
      </c>
      <c r="B84" s="132">
        <f>[66]GtS!$I$13</f>
        <v>250</v>
      </c>
      <c r="C84" s="141">
        <f>[66]GtS!$I$55</f>
        <v>27</v>
      </c>
      <c r="D84" s="137">
        <f t="shared" si="20"/>
        <v>277</v>
      </c>
      <c r="E84" s="132">
        <f>[67]GtS!$I$13</f>
        <v>248</v>
      </c>
      <c r="F84" s="141">
        <f>[67]GtS!$I$57</f>
        <v>0</v>
      </c>
      <c r="G84" s="137">
        <f t="shared" si="21"/>
        <v>248</v>
      </c>
      <c r="H84" s="132">
        <f>[68]GtS!$I$13</f>
        <v>239</v>
      </c>
      <c r="I84" s="141">
        <f>[68]GtS!$I$57</f>
        <v>0</v>
      </c>
      <c r="J84" s="137">
        <f t="shared" si="22"/>
        <v>239</v>
      </c>
      <c r="K84" s="132">
        <f>[69]GtS!$I$13</f>
        <v>235</v>
      </c>
      <c r="L84" s="141">
        <f>[69]GtS!$I$57</f>
        <v>0</v>
      </c>
      <c r="M84" s="137">
        <f t="shared" si="23"/>
        <v>235</v>
      </c>
      <c r="N84" s="132">
        <f>[70]GtS!$I$13</f>
        <v>222</v>
      </c>
      <c r="O84" s="141">
        <f>[70]GtS!$I$57</f>
        <v>0</v>
      </c>
      <c r="P84" s="137">
        <f t="shared" si="24"/>
        <v>222</v>
      </c>
    </row>
    <row r="85" spans="1:16">
      <c r="A85" s="133" t="s">
        <v>87</v>
      </c>
      <c r="B85" s="132">
        <f>[31]GtS!$I$13</f>
        <v>0</v>
      </c>
      <c r="C85" s="141">
        <f>[31]GtS!$I$55</f>
        <v>0</v>
      </c>
      <c r="D85" s="137">
        <f t="shared" si="20"/>
        <v>0</v>
      </c>
      <c r="E85" s="132">
        <f>[32]GtS!$I$13</f>
        <v>0</v>
      </c>
      <c r="F85" s="141">
        <f>[32]GtS!$I$57</f>
        <v>0</v>
      </c>
      <c r="G85" s="137">
        <f t="shared" si="21"/>
        <v>0</v>
      </c>
      <c r="H85" s="132">
        <f>[33]GtS!$I$13</f>
        <v>0</v>
      </c>
      <c r="I85" s="141">
        <f>[33]GtS!$I$57</f>
        <v>0</v>
      </c>
      <c r="J85" s="137">
        <f t="shared" si="22"/>
        <v>0</v>
      </c>
      <c r="K85" s="132">
        <f>[34]GtS!$I$13</f>
        <v>0</v>
      </c>
      <c r="L85" s="141">
        <f>[34]GtS!$I$57</f>
        <v>0</v>
      </c>
      <c r="M85" s="137">
        <f t="shared" si="23"/>
        <v>0</v>
      </c>
      <c r="N85" s="132">
        <f>[35]GtS!$I$13</f>
        <v>0</v>
      </c>
      <c r="O85" s="141">
        <f>[35]GtS!$I$57</f>
        <v>0</v>
      </c>
      <c r="P85" s="137">
        <f t="shared" si="24"/>
        <v>0</v>
      </c>
    </row>
    <row r="86" spans="1:16">
      <c r="A86" s="133" t="s">
        <v>88</v>
      </c>
      <c r="B86" s="132">
        <f>[71]GtS!$I$13</f>
        <v>469</v>
      </c>
      <c r="C86" s="141">
        <f>[71]GtS!$I$55</f>
        <v>29</v>
      </c>
      <c r="D86" s="137">
        <f t="shared" si="20"/>
        <v>498</v>
      </c>
      <c r="E86" s="132">
        <f>[72]GtS!$I$13</f>
        <v>466</v>
      </c>
      <c r="F86" s="141">
        <f>[72]GtS!$I$57</f>
        <v>29</v>
      </c>
      <c r="G86" s="137">
        <f t="shared" si="21"/>
        <v>495</v>
      </c>
      <c r="H86" s="132">
        <f>[73]GtS!$I$13</f>
        <v>452</v>
      </c>
      <c r="I86" s="141">
        <f>[73]GtS!$I$57</f>
        <v>29</v>
      </c>
      <c r="J86" s="137">
        <f t="shared" si="22"/>
        <v>481</v>
      </c>
      <c r="K86" s="132">
        <f>[74]GtS!$I$13</f>
        <v>430</v>
      </c>
      <c r="L86" s="141">
        <f>[74]GtS!$I$57</f>
        <v>29</v>
      </c>
      <c r="M86" s="137">
        <f t="shared" si="23"/>
        <v>459</v>
      </c>
      <c r="N86" s="132">
        <f>[75]GtS!$I$13</f>
        <v>293</v>
      </c>
      <c r="O86" s="141">
        <f>[75]GtS!$I$57</f>
        <v>19</v>
      </c>
      <c r="P86" s="137">
        <f t="shared" si="24"/>
        <v>312</v>
      </c>
    </row>
    <row r="87" spans="1:16">
      <c r="A87" s="133" t="s">
        <v>89</v>
      </c>
      <c r="B87" s="132">
        <f>[36]GtS!$I$13</f>
        <v>508</v>
      </c>
      <c r="C87" s="141">
        <f>[36]GtS!$I$55</f>
        <v>56</v>
      </c>
      <c r="D87" s="137">
        <f t="shared" si="20"/>
        <v>564</v>
      </c>
      <c r="E87" s="132">
        <f>[37]GtS!$I$13</f>
        <v>507</v>
      </c>
      <c r="F87" s="141">
        <f>[37]GtS!$I$57</f>
        <v>59</v>
      </c>
      <c r="G87" s="137">
        <f t="shared" si="21"/>
        <v>566</v>
      </c>
      <c r="H87" s="132">
        <f>[38]GtS!$I$13</f>
        <v>504</v>
      </c>
      <c r="I87" s="141">
        <f>[38]GtS!$I$57</f>
        <v>59</v>
      </c>
      <c r="J87" s="137">
        <f t="shared" si="22"/>
        <v>563</v>
      </c>
      <c r="K87" s="132">
        <f>[39]GtS!$I$13</f>
        <v>499</v>
      </c>
      <c r="L87" s="141">
        <f>[39]GtS!$I$57</f>
        <v>60</v>
      </c>
      <c r="M87" s="137">
        <f t="shared" si="23"/>
        <v>559</v>
      </c>
      <c r="N87" s="132">
        <f>[40]GtS!$I$13</f>
        <v>478</v>
      </c>
      <c r="O87" s="141">
        <f>[40]GtS!$I$57</f>
        <v>60</v>
      </c>
      <c r="P87" s="137">
        <f t="shared" si="24"/>
        <v>538</v>
      </c>
    </row>
    <row r="88" spans="1:16">
      <c r="A88" s="133" t="s">
        <v>90</v>
      </c>
      <c r="B88" s="132">
        <f>[41]GtS!$I$13</f>
        <v>7</v>
      </c>
      <c r="C88" s="141">
        <f>[41]GtS!$I$55</f>
        <v>11</v>
      </c>
      <c r="D88" s="137">
        <f t="shared" si="20"/>
        <v>18</v>
      </c>
      <c r="E88" s="132">
        <f>[42]GtS!$I$13</f>
        <v>0</v>
      </c>
      <c r="F88" s="141">
        <f>[42]GtS!$I$57</f>
        <v>11</v>
      </c>
      <c r="G88" s="137">
        <f t="shared" si="21"/>
        <v>11</v>
      </c>
      <c r="H88" s="132">
        <f>[43]GtS!$I$13</f>
        <v>0</v>
      </c>
      <c r="I88" s="141">
        <f>[43]GtS!$I$57</f>
        <v>10</v>
      </c>
      <c r="J88" s="137">
        <f t="shared" si="22"/>
        <v>10</v>
      </c>
      <c r="K88" s="132">
        <f>[44]GtS!$I$13</f>
        <v>0</v>
      </c>
      <c r="L88" s="141">
        <f>[44]GtS!$I$57</f>
        <v>9</v>
      </c>
      <c r="M88" s="137">
        <f t="shared" si="23"/>
        <v>9</v>
      </c>
      <c r="N88" s="132">
        <f>[45]GtS!$I$13</f>
        <v>0</v>
      </c>
      <c r="O88" s="141">
        <f>[45]GtS!$I$57</f>
        <v>9</v>
      </c>
      <c r="P88" s="137">
        <f t="shared" si="24"/>
        <v>9</v>
      </c>
    </row>
    <row r="89" spans="1:16">
      <c r="A89" s="133" t="s">
        <v>91</v>
      </c>
      <c r="B89" s="132">
        <f>[46]GtS!$I$13</f>
        <v>0</v>
      </c>
      <c r="C89" s="141">
        <f>[46]GtS!$I$55</f>
        <v>3</v>
      </c>
      <c r="D89" s="137">
        <f t="shared" si="20"/>
        <v>3</v>
      </c>
      <c r="E89" s="132">
        <f>[47]GtS!$I$13</f>
        <v>0</v>
      </c>
      <c r="F89" s="141">
        <f>[47]GtS!$I$57</f>
        <v>3</v>
      </c>
      <c r="G89" s="137">
        <f t="shared" si="21"/>
        <v>3</v>
      </c>
      <c r="H89" s="132">
        <f>[48]GtS!$I$13</f>
        <v>0</v>
      </c>
      <c r="I89" s="141">
        <f>[48]GtS!$I$57</f>
        <v>3</v>
      </c>
      <c r="J89" s="137">
        <f t="shared" si="22"/>
        <v>3</v>
      </c>
      <c r="K89" s="132">
        <f>[49]GtS!$I$13</f>
        <v>0</v>
      </c>
      <c r="L89" s="141">
        <f>[49]GtS!$I$57</f>
        <v>3</v>
      </c>
      <c r="M89" s="137">
        <f t="shared" si="23"/>
        <v>3</v>
      </c>
      <c r="N89" s="132">
        <f>[50]GtS!$I$13</f>
        <v>0</v>
      </c>
      <c r="O89" s="141">
        <f>[50]GtS!$I$57</f>
        <v>2</v>
      </c>
      <c r="P89" s="137">
        <f t="shared" si="24"/>
        <v>2</v>
      </c>
    </row>
    <row r="90" spans="1:16">
      <c r="A90" s="133" t="s">
        <v>92</v>
      </c>
      <c r="B90" s="132">
        <f>[51]GtS!$I$13</f>
        <v>0</v>
      </c>
      <c r="C90" s="141">
        <f>[51]GtS!$I$55</f>
        <v>0</v>
      </c>
      <c r="D90" s="137">
        <f t="shared" si="20"/>
        <v>0</v>
      </c>
      <c r="E90" s="132">
        <f>[52]GtS!$I$13</f>
        <v>0</v>
      </c>
      <c r="F90" s="141">
        <f>[52]GtS!$I$57</f>
        <v>0</v>
      </c>
      <c r="G90" s="137">
        <f t="shared" si="21"/>
        <v>0</v>
      </c>
      <c r="H90" s="132">
        <f>[53]GtS!$I$13</f>
        <v>0</v>
      </c>
      <c r="I90" s="141">
        <f>[53]GtS!$I$57</f>
        <v>0</v>
      </c>
      <c r="J90" s="137">
        <f t="shared" si="22"/>
        <v>0</v>
      </c>
      <c r="K90" s="132">
        <f>[54]GtS!$I$13</f>
        <v>0</v>
      </c>
      <c r="L90" s="141">
        <f>[54]GtS!$I$57</f>
        <v>0</v>
      </c>
      <c r="M90" s="137">
        <f t="shared" si="23"/>
        <v>0</v>
      </c>
      <c r="N90" s="132">
        <f>[55]GtS!$I$13</f>
        <v>0</v>
      </c>
      <c r="O90" s="141">
        <f>[55]GtS!$I$57</f>
        <v>0</v>
      </c>
      <c r="P90" s="137">
        <f t="shared" si="24"/>
        <v>0</v>
      </c>
    </row>
    <row r="91" spans="1:16">
      <c r="A91" s="133" t="s">
        <v>93</v>
      </c>
      <c r="B91" s="132">
        <f>[76]GtS!$I$13</f>
        <v>0</v>
      </c>
      <c r="C91" s="141">
        <f>[76]GtS!$I$55</f>
        <v>0</v>
      </c>
      <c r="D91" s="137">
        <f t="shared" si="20"/>
        <v>0</v>
      </c>
      <c r="E91" s="132">
        <f>[77]GtS!$I$13</f>
        <v>0</v>
      </c>
      <c r="F91" s="141">
        <f>[77]GtS!$I$57</f>
        <v>0</v>
      </c>
      <c r="G91" s="137">
        <f t="shared" si="21"/>
        <v>0</v>
      </c>
      <c r="H91" s="132">
        <f>[78]GtS!$I$13</f>
        <v>0</v>
      </c>
      <c r="I91" s="141">
        <f>[78]GtS!$I$57</f>
        <v>0</v>
      </c>
      <c r="J91" s="137">
        <f t="shared" si="22"/>
        <v>0</v>
      </c>
      <c r="K91" s="132">
        <f>[79]GtS!$I$13</f>
        <v>0</v>
      </c>
      <c r="L91" s="141">
        <f>[79]GtS!$I$57</f>
        <v>0</v>
      </c>
      <c r="M91" s="137">
        <f t="shared" si="23"/>
        <v>0</v>
      </c>
      <c r="N91" s="132">
        <f>[80]GtS!$I$13</f>
        <v>0</v>
      </c>
      <c r="O91" s="141">
        <f>[80]GtS!$I$57</f>
        <v>0</v>
      </c>
      <c r="P91" s="137">
        <f t="shared" si="24"/>
        <v>0</v>
      </c>
    </row>
    <row r="92" spans="1:16">
      <c r="A92" s="133" t="s">
        <v>94</v>
      </c>
      <c r="B92" s="132">
        <f>[56]GtS!$I$13</f>
        <v>144</v>
      </c>
      <c r="C92" s="141">
        <f>[56]GtS!$I$55</f>
        <v>4</v>
      </c>
      <c r="D92" s="137">
        <f t="shared" si="20"/>
        <v>148</v>
      </c>
      <c r="E92" s="132">
        <f>[57]GtS!$I$13</f>
        <v>76</v>
      </c>
      <c r="F92" s="141">
        <f>[57]GtS!$I$57</f>
        <v>2</v>
      </c>
      <c r="G92" s="137">
        <f t="shared" si="21"/>
        <v>78</v>
      </c>
      <c r="H92" s="132">
        <f>[58]GtS!$I$13</f>
        <v>28</v>
      </c>
      <c r="I92" s="141">
        <f>[58]GtS!$I$57</f>
        <v>2</v>
      </c>
      <c r="J92" s="137">
        <f t="shared" si="22"/>
        <v>30</v>
      </c>
      <c r="K92" s="132">
        <f>[59]GtS!$I$13</f>
        <v>1</v>
      </c>
      <c r="L92" s="141">
        <f>[59]GtS!$I$57</f>
        <v>1</v>
      </c>
      <c r="M92" s="137">
        <f t="shared" si="23"/>
        <v>2</v>
      </c>
      <c r="N92" s="132">
        <f>[60]GtS!$I$13</f>
        <v>0</v>
      </c>
      <c r="O92" s="141">
        <f>[60]GtS!$I$57</f>
        <v>0</v>
      </c>
      <c r="P92" s="137">
        <f t="shared" si="24"/>
        <v>0</v>
      </c>
    </row>
    <row r="93" spans="1:16">
      <c r="A93" s="133" t="s">
        <v>95</v>
      </c>
      <c r="B93" s="132">
        <f>[61]GtS!$I$13</f>
        <v>0</v>
      </c>
      <c r="C93" s="141">
        <f>[61]GtS!$I$55</f>
        <v>0</v>
      </c>
      <c r="D93" s="137">
        <f t="shared" si="20"/>
        <v>0</v>
      </c>
      <c r="E93" s="132">
        <f>[62]GtS!$I$13</f>
        <v>0</v>
      </c>
      <c r="F93" s="141">
        <f>[62]GtS!$I$57</f>
        <v>0</v>
      </c>
      <c r="G93" s="137">
        <f t="shared" si="21"/>
        <v>0</v>
      </c>
      <c r="H93" s="132">
        <f>[63]GtS!$I$13</f>
        <v>0</v>
      </c>
      <c r="I93" s="141">
        <f>[63]GtS!$I$57</f>
        <v>0</v>
      </c>
      <c r="J93" s="137">
        <f t="shared" si="22"/>
        <v>0</v>
      </c>
      <c r="K93" s="132">
        <f>[64]GtS!$I$13</f>
        <v>0</v>
      </c>
      <c r="L93" s="141">
        <f>[64]GtS!$I$57</f>
        <v>0</v>
      </c>
      <c r="M93" s="137">
        <f t="shared" si="23"/>
        <v>0</v>
      </c>
      <c r="N93" s="132">
        <f>[65]GtS!$I$13</f>
        <v>0</v>
      </c>
      <c r="O93" s="141">
        <f>[65]GtS!$I$57</f>
        <v>0</v>
      </c>
      <c r="P93" s="137">
        <f t="shared" si="24"/>
        <v>0</v>
      </c>
    </row>
    <row r="94" spans="1:16">
      <c r="A94" s="133" t="s">
        <v>96</v>
      </c>
      <c r="B94" s="132">
        <f>SUM(B78:B93)</f>
        <v>2120</v>
      </c>
      <c r="C94" s="141">
        <f>SUM(C78:C93)-C86-C84-C91</f>
        <v>286</v>
      </c>
      <c r="D94" s="137">
        <f>SUM(B94:C94)</f>
        <v>2406</v>
      </c>
      <c r="E94" s="132">
        <f>SUM(E78:E93)</f>
        <v>2046</v>
      </c>
      <c r="F94" s="141">
        <f>SUM(F78:F93)-F86-F84-F91</f>
        <v>287</v>
      </c>
      <c r="G94" s="137">
        <f>SUM(E94:F94)</f>
        <v>2333</v>
      </c>
      <c r="H94" s="132">
        <f>SUM(H78:H93)</f>
        <v>1971</v>
      </c>
      <c r="I94" s="141">
        <f>SUM(I78:I93)-I86-I84-I91</f>
        <v>286</v>
      </c>
      <c r="J94" s="137">
        <f>SUM(H94:I94)</f>
        <v>2257</v>
      </c>
      <c r="K94" s="132">
        <f>SUM(K78:K93)</f>
        <v>1913</v>
      </c>
      <c r="L94" s="141">
        <f>SUM(L78:L93)-L86-L84-L91</f>
        <v>288</v>
      </c>
      <c r="M94" s="137">
        <f>SUM(K94:L94)</f>
        <v>2201</v>
      </c>
      <c r="N94" s="132">
        <f>SUM(N78:N93)</f>
        <v>1742</v>
      </c>
      <c r="O94" s="141">
        <f>SUM(O78:O93)-O86-O84-O91</f>
        <v>283</v>
      </c>
      <c r="P94" s="137">
        <f>SUM(N94:O94)</f>
        <v>2025</v>
      </c>
    </row>
    <row r="95" spans="1:16" ht="13.5" thickBot="1">
      <c r="A95" s="423" t="s">
        <v>153</v>
      </c>
      <c r="B95" s="424"/>
      <c r="C95" s="424"/>
      <c r="D95" s="424"/>
      <c r="E95" s="424"/>
      <c r="F95" s="424"/>
      <c r="G95" s="424"/>
      <c r="H95" s="424"/>
      <c r="I95" s="424"/>
      <c r="J95" s="424"/>
      <c r="K95" s="424"/>
      <c r="L95" s="424"/>
      <c r="M95" s="424"/>
      <c r="N95" s="424"/>
      <c r="O95" s="424"/>
      <c r="P95" s="424"/>
    </row>
    <row r="96" spans="1:16" ht="13.5" thickTop="1">
      <c r="A96" s="133" t="s">
        <v>80</v>
      </c>
      <c r="B96" s="131">
        <f>[1]GtS!$I$14</f>
        <v>378</v>
      </c>
      <c r="C96" s="140">
        <f>[1]GtS!$I$56</f>
        <v>77</v>
      </c>
      <c r="D96" s="136">
        <f>SUM(B96:C96)</f>
        <v>455</v>
      </c>
      <c r="E96" s="131">
        <f>[2]GtS!$I$14</f>
        <v>378</v>
      </c>
      <c r="F96" s="140">
        <f>[2]GtS!$I$58</f>
        <v>80</v>
      </c>
      <c r="G96" s="136">
        <f>SUM(E96:F96)</f>
        <v>458</v>
      </c>
      <c r="H96" s="131">
        <f>[3]GtS!$I$14</f>
        <v>378</v>
      </c>
      <c r="I96" s="140">
        <f>[3]GtS!$I$58</f>
        <v>81</v>
      </c>
      <c r="J96" s="136">
        <f>SUM(H96:I96)</f>
        <v>459</v>
      </c>
      <c r="K96" s="131">
        <f>[4]GtS!$I$14</f>
        <v>378</v>
      </c>
      <c r="L96" s="140">
        <f>[4]GtS!$I$58</f>
        <v>81</v>
      </c>
      <c r="M96" s="136">
        <f>SUM(K96:L96)</f>
        <v>459</v>
      </c>
      <c r="N96" s="131">
        <f>[5]GtS!$I$14</f>
        <v>378</v>
      </c>
      <c r="O96" s="140">
        <f>[5]GtS!$I$58</f>
        <v>81</v>
      </c>
      <c r="P96" s="136">
        <f>SUM(N96:O96)</f>
        <v>459</v>
      </c>
    </row>
    <row r="97" spans="1:16">
      <c r="A97" s="133" t="s">
        <v>81</v>
      </c>
      <c r="B97" s="132">
        <f>[6]GtS!$I$14</f>
        <v>344</v>
      </c>
      <c r="C97" s="141">
        <f>[6]GtS!$I$56</f>
        <v>74</v>
      </c>
      <c r="D97" s="137">
        <f t="shared" ref="D97:D111" si="25">SUM(B97:C97)</f>
        <v>418</v>
      </c>
      <c r="E97" s="132">
        <f>[7]GtS!$I$14</f>
        <v>348</v>
      </c>
      <c r="F97" s="141">
        <f>[7]GtS!$I$58</f>
        <v>74</v>
      </c>
      <c r="G97" s="137">
        <f t="shared" ref="G97:G111" si="26">SUM(E97:F97)</f>
        <v>422</v>
      </c>
      <c r="H97" s="132">
        <f>[8]GtS!$I$14</f>
        <v>350</v>
      </c>
      <c r="I97" s="141">
        <f>[8]GtS!$I$58</f>
        <v>74</v>
      </c>
      <c r="J97" s="137">
        <f t="shared" ref="J97:J111" si="27">SUM(H97:I97)</f>
        <v>424</v>
      </c>
      <c r="K97" s="132">
        <f>[9]GtS!$I$14</f>
        <v>351</v>
      </c>
      <c r="L97" s="141">
        <f>[9]GtS!$I$58</f>
        <v>75</v>
      </c>
      <c r="M97" s="137">
        <f t="shared" ref="M97:M111" si="28">SUM(K97:L97)</f>
        <v>426</v>
      </c>
      <c r="N97" s="132">
        <f>[10]GtS!$I$14</f>
        <v>352</v>
      </c>
      <c r="O97" s="141">
        <f>[10]GtS!$I$58</f>
        <v>74</v>
      </c>
      <c r="P97" s="137">
        <f t="shared" ref="P97:P111" si="29">SUM(N97:O97)</f>
        <v>426</v>
      </c>
    </row>
    <row r="98" spans="1:16">
      <c r="A98" s="133" t="s">
        <v>82</v>
      </c>
      <c r="B98" s="132">
        <f>[11]GtS!$I$14</f>
        <v>93</v>
      </c>
      <c r="C98" s="141">
        <f>[11]GtS!$I$56</f>
        <v>23</v>
      </c>
      <c r="D98" s="137">
        <f t="shared" si="25"/>
        <v>116</v>
      </c>
      <c r="E98" s="132">
        <f>[12]GtS!$I$14</f>
        <v>91</v>
      </c>
      <c r="F98" s="141">
        <f>[12]GtS!$I$58</f>
        <v>10</v>
      </c>
      <c r="G98" s="137">
        <f t="shared" si="26"/>
        <v>101</v>
      </c>
      <c r="H98" s="132">
        <f>[13]GtS!$I$14</f>
        <v>90</v>
      </c>
      <c r="I98" s="141">
        <f>[13]GtS!$I$58</f>
        <v>23</v>
      </c>
      <c r="J98" s="137">
        <f t="shared" si="27"/>
        <v>113</v>
      </c>
      <c r="K98" s="132">
        <f>[14]GtS!$I$14</f>
        <v>90</v>
      </c>
      <c r="L98" s="141">
        <f>[14]GtS!$I$58</f>
        <v>23</v>
      </c>
      <c r="M98" s="137">
        <f t="shared" si="28"/>
        <v>113</v>
      </c>
      <c r="N98" s="132">
        <f>[15]GtS!$I$14</f>
        <v>91</v>
      </c>
      <c r="O98" s="141">
        <f>[15]GtS!$I$58</f>
        <v>22</v>
      </c>
      <c r="P98" s="137">
        <f t="shared" si="29"/>
        <v>113</v>
      </c>
    </row>
    <row r="99" spans="1:16">
      <c r="A99" s="133" t="s">
        <v>83</v>
      </c>
      <c r="B99" s="132">
        <f>[16]GtS!$I$14</f>
        <v>77</v>
      </c>
      <c r="C99" s="141">
        <f>[16]GtS!$I$56</f>
        <v>23</v>
      </c>
      <c r="D99" s="137">
        <f t="shared" si="25"/>
        <v>100</v>
      </c>
      <c r="E99" s="132">
        <f>[17]GtS!$I$14</f>
        <v>76</v>
      </c>
      <c r="F99" s="141">
        <f>[17]GtS!$I$58</f>
        <v>23</v>
      </c>
      <c r="G99" s="137">
        <f t="shared" si="26"/>
        <v>99</v>
      </c>
      <c r="H99" s="132">
        <f>[18]GtS!$I$14</f>
        <v>76</v>
      </c>
      <c r="I99" s="141">
        <f>[18]GtS!$I$58</f>
        <v>24</v>
      </c>
      <c r="J99" s="137">
        <f t="shared" si="27"/>
        <v>100</v>
      </c>
      <c r="K99" s="132">
        <f>[19]GtS!$I$14</f>
        <v>76</v>
      </c>
      <c r="L99" s="141">
        <f>[19]GtS!$I$58</f>
        <v>25</v>
      </c>
      <c r="M99" s="137">
        <f t="shared" si="28"/>
        <v>101</v>
      </c>
      <c r="N99" s="132">
        <f>[20]GtS!$I$14</f>
        <v>77</v>
      </c>
      <c r="O99" s="141">
        <f>[20]GtS!$I$58</f>
        <v>25</v>
      </c>
      <c r="P99" s="137">
        <f t="shared" si="29"/>
        <v>102</v>
      </c>
    </row>
    <row r="100" spans="1:16">
      <c r="A100" s="133" t="s">
        <v>84</v>
      </c>
      <c r="B100" s="132">
        <f>[21]GtS!$I$14</f>
        <v>31</v>
      </c>
      <c r="C100" s="141">
        <f>[21]GtS!$I$56</f>
        <v>5</v>
      </c>
      <c r="D100" s="137">
        <f t="shared" si="25"/>
        <v>36</v>
      </c>
      <c r="E100" s="132">
        <f>[22]GtS!$I$14</f>
        <v>25</v>
      </c>
      <c r="F100" s="141">
        <f>[22]GtS!$I$58</f>
        <v>5</v>
      </c>
      <c r="G100" s="137">
        <f t="shared" si="26"/>
        <v>30</v>
      </c>
      <c r="H100" s="132">
        <f>[23]GtS!$I$14</f>
        <v>17</v>
      </c>
      <c r="I100" s="141">
        <f>[23]GtS!$I$58</f>
        <v>5</v>
      </c>
      <c r="J100" s="137">
        <f t="shared" si="27"/>
        <v>22</v>
      </c>
      <c r="K100" s="132">
        <f>[24]GtS!$I$14</f>
        <v>9</v>
      </c>
      <c r="L100" s="141">
        <f>[24]GtS!$I$58</f>
        <v>5</v>
      </c>
      <c r="M100" s="137">
        <f t="shared" si="28"/>
        <v>14</v>
      </c>
      <c r="N100" s="132">
        <f>[25]GtS!$I$14</f>
        <v>9</v>
      </c>
      <c r="O100" s="141">
        <f>[25]GtS!$I$58</f>
        <v>4</v>
      </c>
      <c r="P100" s="137">
        <f t="shared" si="29"/>
        <v>13</v>
      </c>
    </row>
    <row r="101" spans="1:16">
      <c r="A101" s="133" t="s">
        <v>85</v>
      </c>
      <c r="B101" s="132">
        <f>[26]GtS!$I$14</f>
        <v>67</v>
      </c>
      <c r="C101" s="141">
        <f>[26]GtS!$I$56</f>
        <v>11</v>
      </c>
      <c r="D101" s="137">
        <f t="shared" si="25"/>
        <v>78</v>
      </c>
      <c r="E101" s="132">
        <f>[27]GtS!$I$14</f>
        <v>67</v>
      </c>
      <c r="F101" s="141">
        <f>[27]GtS!$I$58</f>
        <v>11</v>
      </c>
      <c r="G101" s="137">
        <f t="shared" si="26"/>
        <v>78</v>
      </c>
      <c r="H101" s="132">
        <f>[28]GtS!$I$14</f>
        <v>62</v>
      </c>
      <c r="I101" s="141">
        <f>[28]GtS!$I$58</f>
        <v>11</v>
      </c>
      <c r="J101" s="137">
        <f t="shared" si="27"/>
        <v>73</v>
      </c>
      <c r="K101" s="132">
        <f>[29]GtS!$I$14</f>
        <v>62</v>
      </c>
      <c r="L101" s="141">
        <f>[29]GtS!$I$58</f>
        <v>11</v>
      </c>
      <c r="M101" s="137">
        <f t="shared" si="28"/>
        <v>73</v>
      </c>
      <c r="N101" s="132">
        <f>[30]GtS!$I$14</f>
        <v>63</v>
      </c>
      <c r="O101" s="141">
        <f>[30]GtS!$I$58</f>
        <v>11</v>
      </c>
      <c r="P101" s="137">
        <f t="shared" si="29"/>
        <v>74</v>
      </c>
    </row>
    <row r="102" spans="1:16">
      <c r="A102" s="133" t="s">
        <v>86</v>
      </c>
      <c r="B102" s="132">
        <f>[66]GtS!$I$14</f>
        <v>221</v>
      </c>
      <c r="C102" s="141">
        <f>[66]GtS!$I$56</f>
        <v>43</v>
      </c>
      <c r="D102" s="137">
        <f t="shared" si="25"/>
        <v>264</v>
      </c>
      <c r="E102" s="132">
        <f>[67]GtS!$I$14</f>
        <v>220</v>
      </c>
      <c r="F102" s="141">
        <f>[67]GtS!$I$58</f>
        <v>0</v>
      </c>
      <c r="G102" s="137">
        <f t="shared" si="26"/>
        <v>220</v>
      </c>
      <c r="H102" s="132">
        <f>[68]GtS!$I$14</f>
        <v>220</v>
      </c>
      <c r="I102" s="141">
        <f>[68]GtS!$I$58</f>
        <v>0</v>
      </c>
      <c r="J102" s="137">
        <f t="shared" si="27"/>
        <v>220</v>
      </c>
      <c r="K102" s="132">
        <f>[69]GtS!$I$14</f>
        <v>221</v>
      </c>
      <c r="L102" s="141">
        <f>[69]GtS!$I$58</f>
        <v>0</v>
      </c>
      <c r="M102" s="137">
        <f t="shared" si="28"/>
        <v>221</v>
      </c>
      <c r="N102" s="132">
        <f>[70]GtS!$I$14</f>
        <v>221</v>
      </c>
      <c r="O102" s="141">
        <f>[70]GtS!$I$58</f>
        <v>0</v>
      </c>
      <c r="P102" s="137">
        <f t="shared" si="29"/>
        <v>221</v>
      </c>
    </row>
    <row r="103" spans="1:16">
      <c r="A103" s="133" t="s">
        <v>87</v>
      </c>
      <c r="B103" s="132">
        <f>[31]GtS!$I$14</f>
        <v>61</v>
      </c>
      <c r="C103" s="141">
        <f>[31]GtS!$I$56</f>
        <v>12</v>
      </c>
      <c r="D103" s="137">
        <f t="shared" si="25"/>
        <v>73</v>
      </c>
      <c r="E103" s="132">
        <f>[32]GtS!$I$14</f>
        <v>60</v>
      </c>
      <c r="F103" s="141">
        <f>[32]GtS!$I$58</f>
        <v>12</v>
      </c>
      <c r="G103" s="137">
        <f t="shared" si="26"/>
        <v>72</v>
      </c>
      <c r="H103" s="132">
        <f>[33]GtS!$I$14</f>
        <v>60</v>
      </c>
      <c r="I103" s="141">
        <f>[33]GtS!$I$58</f>
        <v>13</v>
      </c>
      <c r="J103" s="137">
        <f t="shared" si="27"/>
        <v>73</v>
      </c>
      <c r="K103" s="132">
        <f>[34]GtS!$I$14</f>
        <v>60</v>
      </c>
      <c r="L103" s="141">
        <f>[34]GtS!$I$58</f>
        <v>14</v>
      </c>
      <c r="M103" s="137">
        <f t="shared" si="28"/>
        <v>74</v>
      </c>
      <c r="N103" s="132">
        <f>[35]GtS!$I$14</f>
        <v>61</v>
      </c>
      <c r="O103" s="141">
        <f>[35]GtS!$I$58</f>
        <v>14</v>
      </c>
      <c r="P103" s="137">
        <f t="shared" si="29"/>
        <v>75</v>
      </c>
    </row>
    <row r="104" spans="1:16">
      <c r="A104" s="133" t="s">
        <v>88</v>
      </c>
      <c r="B104" s="132">
        <f>[71]GtS!$I$14</f>
        <v>256</v>
      </c>
      <c r="C104" s="141">
        <f>[71]GtS!$I$56</f>
        <v>38</v>
      </c>
      <c r="D104" s="137">
        <f t="shared" si="25"/>
        <v>294</v>
      </c>
      <c r="E104" s="132">
        <f>[72]GtS!$I$14</f>
        <v>256</v>
      </c>
      <c r="F104" s="141">
        <f>[72]GtS!$I$58</f>
        <v>38</v>
      </c>
      <c r="G104" s="137">
        <f t="shared" si="26"/>
        <v>294</v>
      </c>
      <c r="H104" s="132">
        <f>[73]GtS!$I$14</f>
        <v>256</v>
      </c>
      <c r="I104" s="141">
        <f>[73]GtS!$I$58</f>
        <v>38</v>
      </c>
      <c r="J104" s="137">
        <f t="shared" si="27"/>
        <v>294</v>
      </c>
      <c r="K104" s="132">
        <f>[74]GtS!$I$14</f>
        <v>256</v>
      </c>
      <c r="L104" s="141">
        <f>[74]GtS!$I$58</f>
        <v>38</v>
      </c>
      <c r="M104" s="137">
        <f t="shared" si="28"/>
        <v>294</v>
      </c>
      <c r="N104" s="132">
        <f>[75]GtS!$I$14</f>
        <v>256</v>
      </c>
      <c r="O104" s="141">
        <f>[75]GtS!$I$58</f>
        <v>38</v>
      </c>
      <c r="P104" s="137">
        <f t="shared" si="29"/>
        <v>294</v>
      </c>
    </row>
    <row r="105" spans="1:16">
      <c r="A105" s="133" t="s">
        <v>89</v>
      </c>
      <c r="B105" s="132">
        <f>[36]GtS!$I$14</f>
        <v>513</v>
      </c>
      <c r="C105" s="141">
        <f>[36]GtS!$I$56</f>
        <v>114</v>
      </c>
      <c r="D105" s="137">
        <f t="shared" si="25"/>
        <v>627</v>
      </c>
      <c r="E105" s="132">
        <f>[37]GtS!$I$14</f>
        <v>513</v>
      </c>
      <c r="F105" s="141">
        <f>[37]GtS!$I$58</f>
        <v>114</v>
      </c>
      <c r="G105" s="137">
        <f t="shared" si="26"/>
        <v>627</v>
      </c>
      <c r="H105" s="132">
        <f>[38]GtS!$I$14</f>
        <v>512</v>
      </c>
      <c r="I105" s="141">
        <f>[38]GtS!$I$58</f>
        <v>113</v>
      </c>
      <c r="J105" s="137">
        <f t="shared" si="27"/>
        <v>625</v>
      </c>
      <c r="K105" s="132">
        <f>[39]GtS!$I$14</f>
        <v>511</v>
      </c>
      <c r="L105" s="141">
        <f>[39]GtS!$I$58</f>
        <v>114</v>
      </c>
      <c r="M105" s="137">
        <f t="shared" si="28"/>
        <v>625</v>
      </c>
      <c r="N105" s="132">
        <f>[40]GtS!$I$14</f>
        <v>511</v>
      </c>
      <c r="O105" s="141">
        <f>[40]GtS!$I$58</f>
        <v>115</v>
      </c>
      <c r="P105" s="137">
        <f t="shared" si="29"/>
        <v>626</v>
      </c>
    </row>
    <row r="106" spans="1:16">
      <c r="A106" s="133" t="s">
        <v>90</v>
      </c>
      <c r="B106" s="132">
        <f>[41]GtS!$I$14</f>
        <v>123</v>
      </c>
      <c r="C106" s="141">
        <f>[41]GtS!$I$56</f>
        <v>26</v>
      </c>
      <c r="D106" s="137">
        <f t="shared" si="25"/>
        <v>149</v>
      </c>
      <c r="E106" s="132">
        <f>[42]GtS!$I$14</f>
        <v>123</v>
      </c>
      <c r="F106" s="141">
        <f>[42]GtS!$I$58</f>
        <v>26</v>
      </c>
      <c r="G106" s="137">
        <f t="shared" si="26"/>
        <v>149</v>
      </c>
      <c r="H106" s="132">
        <f>[43]GtS!$I$14</f>
        <v>123</v>
      </c>
      <c r="I106" s="141">
        <f>[43]GtS!$I$58</f>
        <v>27</v>
      </c>
      <c r="J106" s="137">
        <f t="shared" si="27"/>
        <v>150</v>
      </c>
      <c r="K106" s="132">
        <f>[44]GtS!$I$14</f>
        <v>123</v>
      </c>
      <c r="L106" s="141">
        <f>[44]GtS!$I$58</f>
        <v>28</v>
      </c>
      <c r="M106" s="137">
        <f t="shared" si="28"/>
        <v>151</v>
      </c>
      <c r="N106" s="132">
        <f>[45]GtS!$I$14</f>
        <v>123</v>
      </c>
      <c r="O106" s="141">
        <f>[45]GtS!$I$58</f>
        <v>28</v>
      </c>
      <c r="P106" s="137">
        <f t="shared" si="29"/>
        <v>151</v>
      </c>
    </row>
    <row r="107" spans="1:16">
      <c r="A107" s="133" t="s">
        <v>91</v>
      </c>
      <c r="B107" s="132">
        <f>[46]GtS!$I$14</f>
        <v>28</v>
      </c>
      <c r="C107" s="141">
        <f>[46]GtS!$I$56</f>
        <v>5</v>
      </c>
      <c r="D107" s="137">
        <f t="shared" si="25"/>
        <v>33</v>
      </c>
      <c r="E107" s="132">
        <f>[47]GtS!$I$14</f>
        <v>28</v>
      </c>
      <c r="F107" s="141">
        <f>[47]GtS!$I$58</f>
        <v>5</v>
      </c>
      <c r="G107" s="137">
        <f t="shared" si="26"/>
        <v>33</v>
      </c>
      <c r="H107" s="132">
        <f>[48]GtS!$I$14</f>
        <v>28</v>
      </c>
      <c r="I107" s="141">
        <f>[48]GtS!$I$58</f>
        <v>5</v>
      </c>
      <c r="J107" s="137">
        <f t="shared" si="27"/>
        <v>33</v>
      </c>
      <c r="K107" s="132">
        <f>[49]GtS!$I$14</f>
        <v>28</v>
      </c>
      <c r="L107" s="141">
        <f>[49]GtS!$I$58</f>
        <v>5</v>
      </c>
      <c r="M107" s="137">
        <f t="shared" si="28"/>
        <v>33</v>
      </c>
      <c r="N107" s="132">
        <f>[50]GtS!$I$14</f>
        <v>28</v>
      </c>
      <c r="O107" s="141">
        <f>[50]GtS!$I$58</f>
        <v>5</v>
      </c>
      <c r="P107" s="137">
        <f t="shared" si="29"/>
        <v>33</v>
      </c>
    </row>
    <row r="108" spans="1:16">
      <c r="A108" s="133" t="s">
        <v>92</v>
      </c>
      <c r="B108" s="132">
        <f>[51]GtS!$I$14</f>
        <v>119</v>
      </c>
      <c r="C108" s="141">
        <f>[51]GtS!$I$56</f>
        <v>34</v>
      </c>
      <c r="D108" s="137">
        <f t="shared" si="25"/>
        <v>153</v>
      </c>
      <c r="E108" s="132">
        <f>[52]GtS!$I$14</f>
        <v>119</v>
      </c>
      <c r="F108" s="141">
        <f>[52]GtS!$I$58</f>
        <v>34</v>
      </c>
      <c r="G108" s="137">
        <f t="shared" si="26"/>
        <v>153</v>
      </c>
      <c r="H108" s="132">
        <f>[53]GtS!$I$14</f>
        <v>120</v>
      </c>
      <c r="I108" s="141">
        <f>[53]GtS!$I$58</f>
        <v>35</v>
      </c>
      <c r="J108" s="137">
        <f t="shared" si="27"/>
        <v>155</v>
      </c>
      <c r="K108" s="132">
        <f>[54]GtS!$I$14</f>
        <v>120</v>
      </c>
      <c r="L108" s="141">
        <f>[54]GtS!$I$58</f>
        <v>35</v>
      </c>
      <c r="M108" s="137">
        <f t="shared" si="28"/>
        <v>155</v>
      </c>
      <c r="N108" s="132">
        <f>[55]GtS!$I$14</f>
        <v>121</v>
      </c>
      <c r="O108" s="141">
        <f>[55]GtS!$I$58</f>
        <v>39</v>
      </c>
      <c r="P108" s="137">
        <f t="shared" si="29"/>
        <v>160</v>
      </c>
    </row>
    <row r="109" spans="1:16">
      <c r="A109" s="133" t="s">
        <v>93</v>
      </c>
      <c r="B109" s="132">
        <f>[76]GtS!$I$14</f>
        <v>70</v>
      </c>
      <c r="C109" s="141">
        <f>[76]GtS!$I$56</f>
        <v>0</v>
      </c>
      <c r="D109" s="137">
        <f t="shared" si="25"/>
        <v>70</v>
      </c>
      <c r="E109" s="132">
        <f>[77]GtS!$I$14</f>
        <v>70</v>
      </c>
      <c r="F109" s="141">
        <f>[77]GtS!$I$58</f>
        <v>0</v>
      </c>
      <c r="G109" s="137">
        <f t="shared" si="26"/>
        <v>70</v>
      </c>
      <c r="H109" s="132">
        <f>[78]GtS!$I$14</f>
        <v>69</v>
      </c>
      <c r="I109" s="141">
        <f>[78]GtS!$I$58</f>
        <v>0</v>
      </c>
      <c r="J109" s="137">
        <f t="shared" si="27"/>
        <v>69</v>
      </c>
      <c r="K109" s="132">
        <f>[79]GtS!$I$14</f>
        <v>72</v>
      </c>
      <c r="L109" s="141">
        <f>[79]GtS!$I$58</f>
        <v>0</v>
      </c>
      <c r="M109" s="137">
        <f t="shared" si="28"/>
        <v>72</v>
      </c>
      <c r="N109" s="132">
        <f>[80]GtS!$I$14</f>
        <v>72</v>
      </c>
      <c r="O109" s="141">
        <f>[80]GtS!$I$58</f>
        <v>0</v>
      </c>
      <c r="P109" s="137">
        <f t="shared" si="29"/>
        <v>72</v>
      </c>
    </row>
    <row r="110" spans="1:16">
      <c r="A110" s="133" t="s">
        <v>94</v>
      </c>
      <c r="B110" s="132">
        <f>[56]GtS!$I$14</f>
        <v>100</v>
      </c>
      <c r="C110" s="141">
        <f>[56]GtS!$I$56</f>
        <v>7</v>
      </c>
      <c r="D110" s="137">
        <f t="shared" si="25"/>
        <v>107</v>
      </c>
      <c r="E110" s="132">
        <f>[57]GtS!$I$14</f>
        <v>100</v>
      </c>
      <c r="F110" s="141">
        <f>[57]GtS!$I$58</f>
        <v>7</v>
      </c>
      <c r="G110" s="137">
        <f t="shared" si="26"/>
        <v>107</v>
      </c>
      <c r="H110" s="132">
        <f>[58]GtS!$I$14</f>
        <v>100</v>
      </c>
      <c r="I110" s="141">
        <f>[58]GtS!$I$58</f>
        <v>6</v>
      </c>
      <c r="J110" s="137">
        <f t="shared" si="27"/>
        <v>106</v>
      </c>
      <c r="K110" s="132">
        <f>[59]GtS!$I$14</f>
        <v>99</v>
      </c>
      <c r="L110" s="141">
        <f>[59]GtS!$I$58</f>
        <v>6</v>
      </c>
      <c r="M110" s="137">
        <f t="shared" si="28"/>
        <v>105</v>
      </c>
      <c r="N110" s="132">
        <f>[60]GtS!$I$14</f>
        <v>99</v>
      </c>
      <c r="O110" s="141">
        <f>[60]GtS!$I$58</f>
        <v>6</v>
      </c>
      <c r="P110" s="137">
        <f t="shared" si="29"/>
        <v>105</v>
      </c>
    </row>
    <row r="111" spans="1:16">
      <c r="A111" s="133" t="s">
        <v>95</v>
      </c>
      <c r="B111" s="132">
        <f>[61]GtS!$I$14</f>
        <v>88</v>
      </c>
      <c r="C111" s="141">
        <f>[61]GtS!$I$56</f>
        <v>9</v>
      </c>
      <c r="D111" s="137">
        <f t="shared" si="25"/>
        <v>97</v>
      </c>
      <c r="E111" s="132">
        <f>[62]GtS!$I$14</f>
        <v>88</v>
      </c>
      <c r="F111" s="141">
        <f>[62]GtS!$I$58</f>
        <v>9</v>
      </c>
      <c r="G111" s="137">
        <f t="shared" si="26"/>
        <v>97</v>
      </c>
      <c r="H111" s="132">
        <f>[63]GtS!$I$14</f>
        <v>88</v>
      </c>
      <c r="I111" s="141">
        <f>[63]GtS!$I$58</f>
        <v>9</v>
      </c>
      <c r="J111" s="137">
        <f t="shared" si="27"/>
        <v>97</v>
      </c>
      <c r="K111" s="132">
        <f>[64]GtS!$I$14</f>
        <v>89</v>
      </c>
      <c r="L111" s="141">
        <f>[64]GtS!$I$58</f>
        <v>9</v>
      </c>
      <c r="M111" s="137">
        <f t="shared" si="28"/>
        <v>98</v>
      </c>
      <c r="N111" s="132">
        <f>[65]GtS!$I$14</f>
        <v>88</v>
      </c>
      <c r="O111" s="141">
        <f>[65]GtS!$I$58</f>
        <v>11</v>
      </c>
      <c r="P111" s="137">
        <f t="shared" si="29"/>
        <v>99</v>
      </c>
    </row>
    <row r="112" spans="1:16">
      <c r="A112" s="133" t="s">
        <v>96</v>
      </c>
      <c r="B112" s="132">
        <f>SUM(B96:B111)</f>
        <v>2569</v>
      </c>
      <c r="C112" s="141">
        <f>SUM(C96:C111)-C104-C102-C109</f>
        <v>420</v>
      </c>
      <c r="D112" s="137">
        <f>SUM(B112:C112)</f>
        <v>2989</v>
      </c>
      <c r="E112" s="132">
        <f>SUM(E96:E111)</f>
        <v>2562</v>
      </c>
      <c r="F112" s="141">
        <f>SUM(F96:F111)-F104-F102-F109</f>
        <v>410</v>
      </c>
      <c r="G112" s="137">
        <f>SUM(E112:F112)</f>
        <v>2972</v>
      </c>
      <c r="H112" s="132">
        <f>SUM(H96:H111)</f>
        <v>2549</v>
      </c>
      <c r="I112" s="141">
        <f>SUM(I96:I111)-I104-I102-I109</f>
        <v>426</v>
      </c>
      <c r="J112" s="137">
        <f>SUM(H112:I112)</f>
        <v>2975</v>
      </c>
      <c r="K112" s="132">
        <f>SUM(K96:K111)</f>
        <v>2545</v>
      </c>
      <c r="L112" s="141">
        <f>SUM(L96:L111)-L104-L102-L109</f>
        <v>431</v>
      </c>
      <c r="M112" s="137">
        <f>SUM(K112:L112)</f>
        <v>2976</v>
      </c>
      <c r="N112" s="132">
        <f>SUM(N96:N111)</f>
        <v>2550</v>
      </c>
      <c r="O112" s="141">
        <f>SUM(O96:O111)-O104-O102-O109</f>
        <v>435</v>
      </c>
      <c r="P112" s="137">
        <f>SUM(N112:O112)</f>
        <v>2985</v>
      </c>
    </row>
    <row r="113" spans="1:16" s="281" customFormat="1" ht="13.5" thickBot="1">
      <c r="A113" s="423" t="s">
        <v>74</v>
      </c>
      <c r="B113" s="424"/>
      <c r="C113" s="424"/>
      <c r="D113" s="424"/>
      <c r="E113" s="424"/>
      <c r="F113" s="424"/>
      <c r="G113" s="424"/>
      <c r="H113" s="424"/>
      <c r="I113" s="424"/>
      <c r="J113" s="424"/>
      <c r="K113" s="424"/>
      <c r="L113" s="424"/>
      <c r="M113" s="424"/>
      <c r="N113" s="424"/>
      <c r="O113" s="424"/>
      <c r="P113" s="424"/>
    </row>
    <row r="114" spans="1:16" s="281" customFormat="1" ht="13.5" thickTop="1">
      <c r="A114" s="133" t="s">
        <v>80</v>
      </c>
      <c r="B114" s="131">
        <f>[1]GtS!$I$15</f>
        <v>79</v>
      </c>
      <c r="C114" s="140">
        <f>[1]GtS!$I$57</f>
        <v>2</v>
      </c>
      <c r="D114" s="136">
        <f>SUM(B114:C114)</f>
        <v>81</v>
      </c>
      <c r="E114" s="131">
        <f>[2]GtS!$I$15</f>
        <v>236</v>
      </c>
      <c r="F114" s="140">
        <f>[2]GtS!$I$59</f>
        <v>6</v>
      </c>
      <c r="G114" s="136">
        <f>SUM(E114:F114)</f>
        <v>242</v>
      </c>
      <c r="H114" s="131">
        <f>[3]GtS!$I$15</f>
        <v>381</v>
      </c>
      <c r="I114" s="140">
        <f>[3]GtS!$I$59</f>
        <v>10</v>
      </c>
      <c r="J114" s="136">
        <f>SUM(H114:I114)</f>
        <v>391</v>
      </c>
      <c r="K114" s="131">
        <f>[4]GtS!$I$15</f>
        <v>484</v>
      </c>
      <c r="L114" s="140">
        <f>[4]GtS!$I$59</f>
        <v>15</v>
      </c>
      <c r="M114" s="136">
        <f>SUM(K114:L114)</f>
        <v>499</v>
      </c>
      <c r="N114" s="131">
        <f>[5]GtS!$I$15</f>
        <v>529</v>
      </c>
      <c r="O114" s="140">
        <f>[5]GtS!$I$59</f>
        <v>19</v>
      </c>
      <c r="P114" s="136">
        <f>SUM(N114:O114)</f>
        <v>548</v>
      </c>
    </row>
    <row r="115" spans="1:16" s="281" customFormat="1">
      <c r="A115" s="133" t="s">
        <v>81</v>
      </c>
      <c r="B115" s="132">
        <f>[6]GtS!$I$15</f>
        <v>2</v>
      </c>
      <c r="C115" s="141">
        <f>[6]GtS!$I$57</f>
        <v>0</v>
      </c>
      <c r="D115" s="137">
        <f t="shared" ref="D115:D129" si="30">SUM(B115:C115)</f>
        <v>2</v>
      </c>
      <c r="E115" s="132">
        <f>[7]GtS!$I$15</f>
        <v>2</v>
      </c>
      <c r="F115" s="141">
        <f>[7]GtS!$I$59</f>
        <v>0</v>
      </c>
      <c r="G115" s="137">
        <f t="shared" ref="G115:G129" si="31">SUM(E115:F115)</f>
        <v>2</v>
      </c>
      <c r="H115" s="132">
        <f>[8]GtS!$I$15</f>
        <v>2</v>
      </c>
      <c r="I115" s="141">
        <f>[8]GtS!$I$59</f>
        <v>0</v>
      </c>
      <c r="J115" s="137">
        <f t="shared" ref="J115:J129" si="32">SUM(H115:I115)</f>
        <v>2</v>
      </c>
      <c r="K115" s="132">
        <f>[9]GtS!$I$15</f>
        <v>2</v>
      </c>
      <c r="L115" s="141" t="str">
        <f>[9]GtS!$I$59</f>
        <v xml:space="preserve">                                      -   </v>
      </c>
      <c r="M115" s="137">
        <f t="shared" ref="M115:M129" si="33">SUM(K115:L115)</f>
        <v>2</v>
      </c>
      <c r="N115" s="132">
        <f>[10]GtS!$I$15</f>
        <v>2</v>
      </c>
      <c r="O115" s="141">
        <f>[10]GtS!$I$59</f>
        <v>0</v>
      </c>
      <c r="P115" s="137">
        <f t="shared" ref="P115:P129" si="34">SUM(N115:O115)</f>
        <v>2</v>
      </c>
    </row>
    <row r="116" spans="1:16" s="281" customFormat="1">
      <c r="A116" s="133" t="s">
        <v>82</v>
      </c>
      <c r="B116" s="132">
        <f>[11]GtS!$I$15</f>
        <v>121</v>
      </c>
      <c r="C116" s="141">
        <f>[11]GtS!$I$57</f>
        <v>28</v>
      </c>
      <c r="D116" s="137">
        <f t="shared" si="30"/>
        <v>149</v>
      </c>
      <c r="E116" s="132">
        <f>[12]GtS!$I$15</f>
        <v>121</v>
      </c>
      <c r="F116" s="141">
        <f>[12]GtS!$I$59</f>
        <v>26</v>
      </c>
      <c r="G116" s="137">
        <f t="shared" si="31"/>
        <v>147</v>
      </c>
      <c r="H116" s="132">
        <f>[13]GtS!$I$15</f>
        <v>130</v>
      </c>
      <c r="I116" s="141">
        <f>[13]GtS!$I$59</f>
        <v>35</v>
      </c>
      <c r="J116" s="137">
        <f t="shared" si="32"/>
        <v>165</v>
      </c>
      <c r="K116" s="132">
        <f>[14]GtS!$I$15</f>
        <v>133</v>
      </c>
      <c r="L116" s="141">
        <f>[14]GtS!$I$59</f>
        <v>38</v>
      </c>
      <c r="M116" s="137">
        <f t="shared" si="33"/>
        <v>171</v>
      </c>
      <c r="N116" s="132">
        <f>[15]GtS!$I$15</f>
        <v>133</v>
      </c>
      <c r="O116" s="141">
        <f>[15]GtS!$I$59</f>
        <v>42</v>
      </c>
      <c r="P116" s="137">
        <f t="shared" si="34"/>
        <v>175</v>
      </c>
    </row>
    <row r="117" spans="1:16" s="281" customFormat="1">
      <c r="A117" s="133" t="s">
        <v>83</v>
      </c>
      <c r="B117" s="132">
        <f>[16]GtS!$I$15</f>
        <v>23</v>
      </c>
      <c r="C117" s="141">
        <f>[16]GtS!$I$57</f>
        <v>4</v>
      </c>
      <c r="D117" s="137">
        <f t="shared" si="30"/>
        <v>27</v>
      </c>
      <c r="E117" s="132">
        <f>[17]GtS!$I$15</f>
        <v>23</v>
      </c>
      <c r="F117" s="141">
        <f>[17]GtS!$I$59</f>
        <v>6</v>
      </c>
      <c r="G117" s="137">
        <f t="shared" si="31"/>
        <v>29</v>
      </c>
      <c r="H117" s="132">
        <f>[18]GtS!$I$15</f>
        <v>22</v>
      </c>
      <c r="I117" s="141">
        <f>[18]GtS!$I$59</f>
        <v>9</v>
      </c>
      <c r="J117" s="137">
        <f t="shared" si="32"/>
        <v>31</v>
      </c>
      <c r="K117" s="132">
        <f>[19]GtS!$I$15</f>
        <v>23</v>
      </c>
      <c r="L117" s="141">
        <f>[19]GtS!$I$59</f>
        <v>12</v>
      </c>
      <c r="M117" s="137">
        <f t="shared" si="33"/>
        <v>35</v>
      </c>
      <c r="N117" s="132">
        <f>[20]GtS!$I$15</f>
        <v>24</v>
      </c>
      <c r="O117" s="141">
        <f>[20]GtS!$I$59</f>
        <v>11</v>
      </c>
      <c r="P117" s="137">
        <f t="shared" si="34"/>
        <v>35</v>
      </c>
    </row>
    <row r="118" spans="1:16" s="281" customFormat="1">
      <c r="A118" s="133" t="s">
        <v>84</v>
      </c>
      <c r="B118" s="132">
        <f>[21]GtS!$I$15</f>
        <v>57</v>
      </c>
      <c r="C118" s="141">
        <f>[21]GtS!$I$57</f>
        <v>3</v>
      </c>
      <c r="D118" s="137">
        <f t="shared" si="30"/>
        <v>60</v>
      </c>
      <c r="E118" s="132">
        <f>[22]GtS!$I$15</f>
        <v>57</v>
      </c>
      <c r="F118" s="141">
        <f>[22]GtS!$I$59</f>
        <v>3</v>
      </c>
      <c r="G118" s="137">
        <f t="shared" si="31"/>
        <v>60</v>
      </c>
      <c r="H118" s="132">
        <f>[23]GtS!$I$15</f>
        <v>55</v>
      </c>
      <c r="I118" s="141">
        <f>[23]GtS!$I$59</f>
        <v>4</v>
      </c>
      <c r="J118" s="137">
        <f t="shared" si="32"/>
        <v>59</v>
      </c>
      <c r="K118" s="132">
        <f>[24]GtS!$I$15</f>
        <v>57</v>
      </c>
      <c r="L118" s="141">
        <f>[24]GtS!$I$59</f>
        <v>6</v>
      </c>
      <c r="M118" s="137">
        <f t="shared" si="33"/>
        <v>63</v>
      </c>
      <c r="N118" s="132">
        <f>[25]GtS!$I$15</f>
        <v>53</v>
      </c>
      <c r="O118" s="141">
        <f>[25]GtS!$I$59</f>
        <v>6</v>
      </c>
      <c r="P118" s="137">
        <f t="shared" si="34"/>
        <v>59</v>
      </c>
    </row>
    <row r="119" spans="1:16" s="281" customFormat="1">
      <c r="A119" s="133" t="s">
        <v>85</v>
      </c>
      <c r="B119" s="132">
        <f>[26]GtS!$I$15</f>
        <v>60</v>
      </c>
      <c r="C119" s="141">
        <f>[26]GtS!$I$57</f>
        <v>29</v>
      </c>
      <c r="D119" s="137">
        <f t="shared" si="30"/>
        <v>89</v>
      </c>
      <c r="E119" s="132">
        <f>[27]GtS!$I$15</f>
        <v>61</v>
      </c>
      <c r="F119" s="141">
        <f>[27]GtS!$I$59</f>
        <v>21</v>
      </c>
      <c r="G119" s="137">
        <f t="shared" si="31"/>
        <v>82</v>
      </c>
      <c r="H119" s="132">
        <f>[28]GtS!$I$15</f>
        <v>59</v>
      </c>
      <c r="I119" s="141">
        <f>[28]GtS!$I$59</f>
        <v>21</v>
      </c>
      <c r="J119" s="137">
        <f t="shared" si="32"/>
        <v>80</v>
      </c>
      <c r="K119" s="132">
        <f>[29]GtS!$I$15</f>
        <v>60</v>
      </c>
      <c r="L119" s="141">
        <f>[29]GtS!$I$59</f>
        <v>21</v>
      </c>
      <c r="M119" s="137">
        <f t="shared" si="33"/>
        <v>81</v>
      </c>
      <c r="N119" s="132">
        <f>[30]GtS!$I$15</f>
        <v>61</v>
      </c>
      <c r="O119" s="141">
        <f>[30]GtS!$I$59</f>
        <v>17</v>
      </c>
      <c r="P119" s="137">
        <f t="shared" si="34"/>
        <v>78</v>
      </c>
    </row>
    <row r="120" spans="1:16" s="281" customFormat="1">
      <c r="A120" s="133" t="s">
        <v>86</v>
      </c>
      <c r="B120" s="132">
        <f>[66]GtS!$I$15</f>
        <v>91</v>
      </c>
      <c r="C120" s="141">
        <f>[66]GtS!$I$57</f>
        <v>18</v>
      </c>
      <c r="D120" s="137">
        <f t="shared" si="30"/>
        <v>109</v>
      </c>
      <c r="E120" s="132">
        <f>[67]GtS!$I$15</f>
        <v>94</v>
      </c>
      <c r="F120" s="141">
        <f>[67]GtS!$I$59</f>
        <v>0</v>
      </c>
      <c r="G120" s="137">
        <f t="shared" si="31"/>
        <v>94</v>
      </c>
      <c r="H120" s="132">
        <f>[68]GtS!$I$15</f>
        <v>95</v>
      </c>
      <c r="I120" s="141">
        <f>[68]GtS!$I$59</f>
        <v>0</v>
      </c>
      <c r="J120" s="137">
        <f t="shared" si="32"/>
        <v>95</v>
      </c>
      <c r="K120" s="132">
        <f>[69]GtS!$I$15</f>
        <v>97</v>
      </c>
      <c r="L120" s="141">
        <f>[69]GtS!$I$59</f>
        <v>0</v>
      </c>
      <c r="M120" s="137">
        <f t="shared" si="33"/>
        <v>97</v>
      </c>
      <c r="N120" s="132">
        <f>[70]GtS!$I$15</f>
        <v>99</v>
      </c>
      <c r="O120" s="141">
        <f>[70]GtS!$I$59</f>
        <v>0</v>
      </c>
      <c r="P120" s="137">
        <f t="shared" si="34"/>
        <v>99</v>
      </c>
    </row>
    <row r="121" spans="1:16" s="281" customFormat="1">
      <c r="A121" s="133" t="s">
        <v>87</v>
      </c>
      <c r="B121" s="132">
        <f>[31]GtS!$I$15</f>
        <v>11</v>
      </c>
      <c r="C121" s="141">
        <f>[31]GtS!$I$57</f>
        <v>10</v>
      </c>
      <c r="D121" s="137">
        <f t="shared" si="30"/>
        <v>21</v>
      </c>
      <c r="E121" s="132">
        <f>[32]GtS!$I$15</f>
        <v>11</v>
      </c>
      <c r="F121" s="141">
        <f>[32]GtS!$I$59</f>
        <v>11</v>
      </c>
      <c r="G121" s="137">
        <f t="shared" si="31"/>
        <v>22</v>
      </c>
      <c r="H121" s="132">
        <f>[33]GtS!$I$15</f>
        <v>10</v>
      </c>
      <c r="I121" s="141">
        <f>[33]GtS!$I$59</f>
        <v>11</v>
      </c>
      <c r="J121" s="137">
        <f t="shared" si="32"/>
        <v>21</v>
      </c>
      <c r="K121" s="132">
        <f>[34]GtS!$I$15</f>
        <v>10</v>
      </c>
      <c r="L121" s="141">
        <f>[34]GtS!$I$59</f>
        <v>11</v>
      </c>
      <c r="M121" s="137">
        <f t="shared" si="33"/>
        <v>21</v>
      </c>
      <c r="N121" s="132">
        <f>[35]GtS!$I$15</f>
        <v>9</v>
      </c>
      <c r="O121" s="141">
        <f>[35]GtS!$I$59</f>
        <v>12</v>
      </c>
      <c r="P121" s="137">
        <f t="shared" si="34"/>
        <v>21</v>
      </c>
    </row>
    <row r="122" spans="1:16" s="281" customFormat="1">
      <c r="A122" s="133" t="s">
        <v>88</v>
      </c>
      <c r="B122" s="132">
        <f>[71]GtS!$I$15</f>
        <v>66</v>
      </c>
      <c r="C122" s="141">
        <f>[71]GtS!$I$57</f>
        <v>11</v>
      </c>
      <c r="D122" s="137">
        <f t="shared" si="30"/>
        <v>77</v>
      </c>
      <c r="E122" s="132">
        <f>[72]GtS!$I$15</f>
        <v>71</v>
      </c>
      <c r="F122" s="141">
        <f>[72]GtS!$I$59</f>
        <v>11</v>
      </c>
      <c r="G122" s="137">
        <f t="shared" si="31"/>
        <v>82</v>
      </c>
      <c r="H122" s="132">
        <f>[73]GtS!$I$15</f>
        <v>81</v>
      </c>
      <c r="I122" s="141">
        <f>[73]GtS!$I$59</f>
        <v>16</v>
      </c>
      <c r="J122" s="137">
        <f t="shared" si="32"/>
        <v>97</v>
      </c>
      <c r="K122" s="132">
        <f>[74]GtS!$I$15</f>
        <v>87</v>
      </c>
      <c r="L122" s="141">
        <f>[74]GtS!$I$59</f>
        <v>17</v>
      </c>
      <c r="M122" s="137">
        <f t="shared" si="33"/>
        <v>104</v>
      </c>
      <c r="N122" s="132">
        <f>[75]GtS!$I$15</f>
        <v>91</v>
      </c>
      <c r="O122" s="141">
        <f>[75]GtS!$I$59</f>
        <v>15</v>
      </c>
      <c r="P122" s="137">
        <f t="shared" si="34"/>
        <v>106</v>
      </c>
    </row>
    <row r="123" spans="1:16" s="281" customFormat="1">
      <c r="A123" s="133" t="s">
        <v>89</v>
      </c>
      <c r="B123" s="132">
        <f>[36]GtS!$I$15</f>
        <v>232</v>
      </c>
      <c r="C123" s="141">
        <f>[36]GtS!$I$57</f>
        <v>20</v>
      </c>
      <c r="D123" s="137">
        <f t="shared" si="30"/>
        <v>252</v>
      </c>
      <c r="E123" s="132">
        <f>[37]GtS!$I$15</f>
        <v>261</v>
      </c>
      <c r="F123" s="141">
        <f>[37]GtS!$I$59</f>
        <v>22</v>
      </c>
      <c r="G123" s="137">
        <f t="shared" si="31"/>
        <v>283</v>
      </c>
      <c r="H123" s="132">
        <f>[38]GtS!$I$15</f>
        <v>284</v>
      </c>
      <c r="I123" s="141">
        <f>[38]GtS!$I$59</f>
        <v>27</v>
      </c>
      <c r="J123" s="137">
        <f t="shared" si="32"/>
        <v>311</v>
      </c>
      <c r="K123" s="132">
        <f>[39]GtS!$I$15</f>
        <v>292</v>
      </c>
      <c r="L123" s="141">
        <f>[39]GtS!$I$59</f>
        <v>27</v>
      </c>
      <c r="M123" s="137">
        <f t="shared" si="33"/>
        <v>319</v>
      </c>
      <c r="N123" s="132">
        <f>[40]GtS!$I$15</f>
        <v>301</v>
      </c>
      <c r="O123" s="141">
        <f>[40]GtS!$I$59</f>
        <v>31</v>
      </c>
      <c r="P123" s="137">
        <f t="shared" si="34"/>
        <v>332</v>
      </c>
    </row>
    <row r="124" spans="1:16" s="281" customFormat="1">
      <c r="A124" s="133" t="s">
        <v>90</v>
      </c>
      <c r="B124" s="132">
        <f>[41]GtS!$I$15</f>
        <v>53</v>
      </c>
      <c r="C124" s="141">
        <f>[41]GtS!$I$57</f>
        <v>1</v>
      </c>
      <c r="D124" s="137">
        <f t="shared" si="30"/>
        <v>54</v>
      </c>
      <c r="E124" s="132">
        <f>[42]GtS!$I$15</f>
        <v>54</v>
      </c>
      <c r="F124" s="141">
        <f>[42]GtS!$I$59</f>
        <v>1</v>
      </c>
      <c r="G124" s="137">
        <f t="shared" si="31"/>
        <v>55</v>
      </c>
      <c r="H124" s="132">
        <f>[43]GtS!$I$15</f>
        <v>54</v>
      </c>
      <c r="I124" s="141">
        <f>[43]GtS!$I$59</f>
        <v>1</v>
      </c>
      <c r="J124" s="137">
        <f t="shared" si="32"/>
        <v>55</v>
      </c>
      <c r="K124" s="132">
        <f>[44]GtS!$I$15</f>
        <v>54</v>
      </c>
      <c r="L124" s="141">
        <f>[44]GtS!$I$59</f>
        <v>1</v>
      </c>
      <c r="M124" s="137">
        <f t="shared" si="33"/>
        <v>55</v>
      </c>
      <c r="N124" s="132">
        <f>[45]GtS!$I$15</f>
        <v>54</v>
      </c>
      <c r="O124" s="141">
        <f>[45]GtS!$I$59</f>
        <v>1</v>
      </c>
      <c r="P124" s="137">
        <f t="shared" si="34"/>
        <v>55</v>
      </c>
    </row>
    <row r="125" spans="1:16" s="281" customFormat="1">
      <c r="A125" s="133" t="s">
        <v>91</v>
      </c>
      <c r="B125" s="132">
        <f>[46]GtS!$I$15</f>
        <v>17</v>
      </c>
      <c r="C125" s="141">
        <f>[46]GtS!$I$57</f>
        <v>1</v>
      </c>
      <c r="D125" s="137">
        <f t="shared" si="30"/>
        <v>18</v>
      </c>
      <c r="E125" s="132">
        <f>[47]GtS!$I$15</f>
        <v>17</v>
      </c>
      <c r="F125" s="141">
        <f>[47]GtS!$I$59</f>
        <v>1</v>
      </c>
      <c r="G125" s="137">
        <f t="shared" si="31"/>
        <v>18</v>
      </c>
      <c r="H125" s="132">
        <f>[48]GtS!$I$15</f>
        <v>64</v>
      </c>
      <c r="I125" s="141">
        <f>[48]GtS!$I$59</f>
        <v>1</v>
      </c>
      <c r="J125" s="137">
        <f t="shared" si="32"/>
        <v>65</v>
      </c>
      <c r="K125" s="132">
        <f>[49]GtS!$I$15</f>
        <v>60</v>
      </c>
      <c r="L125" s="141">
        <f>[49]GtS!$I$59</f>
        <v>1</v>
      </c>
      <c r="M125" s="137">
        <f t="shared" si="33"/>
        <v>61</v>
      </c>
      <c r="N125" s="132">
        <f>[50]GtS!$I$15</f>
        <v>58</v>
      </c>
      <c r="O125" s="141">
        <f>[50]GtS!$I$59</f>
        <v>3</v>
      </c>
      <c r="P125" s="137">
        <f t="shared" si="34"/>
        <v>61</v>
      </c>
    </row>
    <row r="126" spans="1:16" s="281" customFormat="1">
      <c r="A126" s="133" t="s">
        <v>92</v>
      </c>
      <c r="B126" s="132">
        <f>[51]GtS!$I$15</f>
        <v>0</v>
      </c>
      <c r="C126" s="141">
        <f>[51]GtS!$I$57</f>
        <v>0</v>
      </c>
      <c r="D126" s="137">
        <f t="shared" si="30"/>
        <v>0</v>
      </c>
      <c r="E126" s="132">
        <f>[52]GtS!$I$15</f>
        <v>0</v>
      </c>
      <c r="F126" s="141">
        <f>[52]GtS!$I$59</f>
        <v>0</v>
      </c>
      <c r="G126" s="137">
        <f t="shared" si="31"/>
        <v>0</v>
      </c>
      <c r="H126" s="132">
        <f>[53]GtS!$I$15</f>
        <v>0</v>
      </c>
      <c r="I126" s="141">
        <f>[53]GtS!$I$59</f>
        <v>0</v>
      </c>
      <c r="J126" s="137">
        <f t="shared" si="32"/>
        <v>0</v>
      </c>
      <c r="K126" s="132">
        <f>[54]GtS!$I$15</f>
        <v>0</v>
      </c>
      <c r="L126" s="141">
        <f>[54]GtS!$I$59</f>
        <v>0</v>
      </c>
      <c r="M126" s="137">
        <f t="shared" si="33"/>
        <v>0</v>
      </c>
      <c r="N126" s="132">
        <f>[55]GtS!$I$15</f>
        <v>0</v>
      </c>
      <c r="O126" s="141">
        <f>[55]GtS!$I$59</f>
        <v>0</v>
      </c>
      <c r="P126" s="137">
        <f t="shared" si="34"/>
        <v>0</v>
      </c>
    </row>
    <row r="127" spans="1:16" s="281" customFormat="1">
      <c r="A127" s="133" t="s">
        <v>93</v>
      </c>
      <c r="B127" s="132">
        <f>[76]GtS!$I$15</f>
        <v>3</v>
      </c>
      <c r="C127" s="141">
        <f>[76]GtS!$I$57</f>
        <v>0</v>
      </c>
      <c r="D127" s="137">
        <f t="shared" si="30"/>
        <v>3</v>
      </c>
      <c r="E127" s="132">
        <f>[77]GtS!$I$15</f>
        <v>3</v>
      </c>
      <c r="F127" s="141">
        <f>[77]GtS!$I$59</f>
        <v>0</v>
      </c>
      <c r="G127" s="137">
        <f t="shared" si="31"/>
        <v>3</v>
      </c>
      <c r="H127" s="132">
        <f>[78]GtS!$I$15</f>
        <v>19</v>
      </c>
      <c r="I127" s="141">
        <f>[78]GtS!$I$59</f>
        <v>0</v>
      </c>
      <c r="J127" s="137">
        <f t="shared" si="32"/>
        <v>19</v>
      </c>
      <c r="K127" s="132">
        <f>[79]GtS!$I$15</f>
        <v>29</v>
      </c>
      <c r="L127" s="141">
        <f>[79]GtS!$I$59</f>
        <v>0</v>
      </c>
      <c r="M127" s="137">
        <f t="shared" si="33"/>
        <v>29</v>
      </c>
      <c r="N127" s="132">
        <f>[80]GtS!$I$15</f>
        <v>34</v>
      </c>
      <c r="O127" s="141">
        <f>[80]GtS!$I$59</f>
        <v>0</v>
      </c>
      <c r="P127" s="137">
        <f t="shared" si="34"/>
        <v>34</v>
      </c>
    </row>
    <row r="128" spans="1:16" s="281" customFormat="1">
      <c r="A128" s="133" t="s">
        <v>94</v>
      </c>
      <c r="B128" s="132">
        <f>[56]GtS!$I$15</f>
        <v>137</v>
      </c>
      <c r="C128" s="141">
        <f>[56]GtS!$I$57</f>
        <v>51</v>
      </c>
      <c r="D128" s="137">
        <f t="shared" si="30"/>
        <v>188</v>
      </c>
      <c r="E128" s="132">
        <f>[57]GtS!$I$15</f>
        <v>149</v>
      </c>
      <c r="F128" s="141">
        <f>[57]GtS!$I$59</f>
        <v>52</v>
      </c>
      <c r="G128" s="137">
        <f t="shared" si="31"/>
        <v>201</v>
      </c>
      <c r="H128" s="132">
        <f>[58]GtS!$I$15</f>
        <v>195</v>
      </c>
      <c r="I128" s="141">
        <f>[58]GtS!$I$59</f>
        <v>55</v>
      </c>
      <c r="J128" s="137">
        <f t="shared" si="32"/>
        <v>250</v>
      </c>
      <c r="K128" s="132">
        <f>[59]GtS!$I$15</f>
        <v>253</v>
      </c>
      <c r="L128" s="141">
        <f>[59]GtS!$I$59</f>
        <v>56</v>
      </c>
      <c r="M128" s="137">
        <f t="shared" si="33"/>
        <v>309</v>
      </c>
      <c r="N128" s="132">
        <f>[60]GtS!$I$15</f>
        <v>295</v>
      </c>
      <c r="O128" s="141">
        <f>[60]GtS!$I$59</f>
        <v>57</v>
      </c>
      <c r="P128" s="137">
        <f t="shared" si="34"/>
        <v>352</v>
      </c>
    </row>
    <row r="129" spans="1:16" s="281" customFormat="1">
      <c r="A129" s="133" t="s">
        <v>95</v>
      </c>
      <c r="B129" s="132">
        <f>[61]GtS!$I$15</f>
        <v>18</v>
      </c>
      <c r="C129" s="141">
        <f>[61]GtS!$I$57</f>
        <v>12</v>
      </c>
      <c r="D129" s="137">
        <f t="shared" si="30"/>
        <v>30</v>
      </c>
      <c r="E129" s="132">
        <f>[62]GtS!$I$15</f>
        <v>25</v>
      </c>
      <c r="F129" s="141">
        <f>[62]GtS!$I$59</f>
        <v>14</v>
      </c>
      <c r="G129" s="137">
        <f t="shared" si="31"/>
        <v>39</v>
      </c>
      <c r="H129" s="132">
        <f>[63]GtS!$I$15</f>
        <v>32</v>
      </c>
      <c r="I129" s="141">
        <f>[63]GtS!$I$59</f>
        <v>20</v>
      </c>
      <c r="J129" s="137">
        <f t="shared" si="32"/>
        <v>52</v>
      </c>
      <c r="K129" s="132">
        <f>[64]GtS!$I$15</f>
        <v>39</v>
      </c>
      <c r="L129" s="141">
        <f>[64]GtS!$I$59</f>
        <v>20</v>
      </c>
      <c r="M129" s="137">
        <f t="shared" si="33"/>
        <v>59</v>
      </c>
      <c r="N129" s="132">
        <f>[65]GtS!$I$15</f>
        <v>47</v>
      </c>
      <c r="O129" s="141">
        <f>[65]GtS!$I$59</f>
        <v>22</v>
      </c>
      <c r="P129" s="137">
        <f t="shared" si="34"/>
        <v>69</v>
      </c>
    </row>
    <row r="130" spans="1:16" s="281" customFormat="1">
      <c r="A130" s="133" t="s">
        <v>96</v>
      </c>
      <c r="B130" s="132">
        <f>SUM(B114:B129)</f>
        <v>970</v>
      </c>
      <c r="C130" s="141">
        <f>SUM(C114:C129)-C122-C120-C127</f>
        <v>161</v>
      </c>
      <c r="D130" s="137">
        <f>SUM(B130:C130)</f>
        <v>1131</v>
      </c>
      <c r="E130" s="132">
        <f>SUM(E114:E129)</f>
        <v>1185</v>
      </c>
      <c r="F130" s="141">
        <f>SUM(F114:F129)-F122-F120-F127</f>
        <v>163</v>
      </c>
      <c r="G130" s="137">
        <f>SUM(E130:F130)</f>
        <v>1348</v>
      </c>
      <c r="H130" s="132">
        <f>SUM(H114:H129)</f>
        <v>1483</v>
      </c>
      <c r="I130" s="141">
        <f>SUM(I114:I129)-I122-I120-I127</f>
        <v>194</v>
      </c>
      <c r="J130" s="137">
        <f>SUM(H130:I130)</f>
        <v>1677</v>
      </c>
      <c r="K130" s="132">
        <f>SUM(K114:K129)</f>
        <v>1680</v>
      </c>
      <c r="L130" s="141">
        <f>SUM(L114:L129)-L122-L120-L127</f>
        <v>208</v>
      </c>
      <c r="M130" s="137">
        <f>SUM(K130:L130)</f>
        <v>1888</v>
      </c>
      <c r="N130" s="132">
        <f>SUM(N114:N129)</f>
        <v>1790</v>
      </c>
      <c r="O130" s="141">
        <f>SUM(O114:O129)-O122-O120-O127</f>
        <v>221</v>
      </c>
      <c r="P130" s="137">
        <f>SUM(N130:O130)</f>
        <v>2011</v>
      </c>
    </row>
    <row r="131" spans="1:16" ht="30.75" customHeight="1" thickBot="1">
      <c r="A131" s="425" t="s">
        <v>241</v>
      </c>
      <c r="B131" s="426"/>
      <c r="C131" s="426"/>
      <c r="D131" s="426"/>
      <c r="E131" s="426"/>
      <c r="F131" s="426"/>
      <c r="G131" s="426"/>
      <c r="H131" s="426"/>
      <c r="I131" s="426"/>
      <c r="J131" s="426"/>
      <c r="K131" s="426"/>
      <c r="L131" s="426"/>
      <c r="M131" s="426"/>
      <c r="N131" s="426"/>
      <c r="O131" s="426"/>
      <c r="P131" s="426"/>
    </row>
    <row r="132" spans="1:16" ht="13.5" thickTop="1">
      <c r="A132" s="133" t="s">
        <v>80</v>
      </c>
      <c r="B132" s="131" t="s">
        <v>178</v>
      </c>
      <c r="C132" s="140" t="s">
        <v>178</v>
      </c>
      <c r="D132" s="136" t="s">
        <v>178</v>
      </c>
      <c r="E132" s="131">
        <f>[2]GtS!$I$16</f>
        <v>105</v>
      </c>
      <c r="F132" s="140">
        <f>[2]GtS!$I$60</f>
        <v>3</v>
      </c>
      <c r="G132" s="136">
        <f>SUM(E132:F132)</f>
        <v>108</v>
      </c>
      <c r="H132" s="131">
        <f>[3]GtS!$I$16</f>
        <v>169</v>
      </c>
      <c r="I132" s="140">
        <f>[3]GtS!$I$60</f>
        <v>4</v>
      </c>
      <c r="J132" s="136">
        <f>SUM(H132:I132)</f>
        <v>173</v>
      </c>
      <c r="K132" s="131">
        <f>[4]GtS!$I$16</f>
        <v>210</v>
      </c>
      <c r="L132" s="140">
        <f>[4]GtS!$I$60</f>
        <v>6</v>
      </c>
      <c r="M132" s="136">
        <f>SUM(K132:L132)</f>
        <v>216</v>
      </c>
      <c r="N132" s="131">
        <f>[5]GtS!$I$16</f>
        <v>227</v>
      </c>
      <c r="O132" s="140">
        <f>[5]GtS!$I$60</f>
        <v>7</v>
      </c>
      <c r="P132" s="136">
        <f>SUM(N132:O132)</f>
        <v>234</v>
      </c>
    </row>
    <row r="133" spans="1:16">
      <c r="A133" s="133" t="s">
        <v>81</v>
      </c>
      <c r="B133" s="132" t="s">
        <v>178</v>
      </c>
      <c r="C133" s="141" t="s">
        <v>178</v>
      </c>
      <c r="D133" s="137" t="s">
        <v>178</v>
      </c>
      <c r="E133" s="132">
        <f>[7]GtS!$I$16</f>
        <v>0</v>
      </c>
      <c r="F133" s="141">
        <f>[7]GtS!$I$60</f>
        <v>0</v>
      </c>
      <c r="G133" s="137">
        <f t="shared" ref="G133:G147" si="35">SUM(E133:F133)</f>
        <v>0</v>
      </c>
      <c r="H133" s="132">
        <f>[8]GtS!$I$16</f>
        <v>0</v>
      </c>
      <c r="I133" s="141">
        <f>[8]GtS!$I$60</f>
        <v>0</v>
      </c>
      <c r="J133" s="137">
        <f t="shared" ref="J133:J147" si="36">SUM(H133:I133)</f>
        <v>0</v>
      </c>
      <c r="K133" s="132" t="str">
        <f>[9]GtS!$I$16</f>
        <v xml:space="preserve">                                      -   </v>
      </c>
      <c r="L133" s="141" t="str">
        <f>[9]GtS!$I$60</f>
        <v xml:space="preserve">                                      -   </v>
      </c>
      <c r="M133" s="137">
        <f t="shared" ref="M133:M147" si="37">SUM(K133:L133)</f>
        <v>0</v>
      </c>
      <c r="N133" s="132">
        <f>[10]GtS!$I$16</f>
        <v>0</v>
      </c>
      <c r="O133" s="141">
        <f>[10]GtS!$I$60</f>
        <v>0</v>
      </c>
      <c r="P133" s="137">
        <f t="shared" ref="P133:P147" si="38">SUM(N133:O133)</f>
        <v>0</v>
      </c>
    </row>
    <row r="134" spans="1:16">
      <c r="A134" s="133" t="s">
        <v>82</v>
      </c>
      <c r="B134" s="132" t="s">
        <v>178</v>
      </c>
      <c r="C134" s="141" t="s">
        <v>178</v>
      </c>
      <c r="D134" s="137" t="s">
        <v>178</v>
      </c>
      <c r="E134" s="132">
        <f>[12]GtS!$I$16</f>
        <v>121</v>
      </c>
      <c r="F134" s="141">
        <f>[12]GtS!$I$60</f>
        <v>26</v>
      </c>
      <c r="G134" s="137">
        <f t="shared" si="35"/>
        <v>147</v>
      </c>
      <c r="H134" s="132">
        <f>[13]GtS!$I$16</f>
        <v>19</v>
      </c>
      <c r="I134" s="141">
        <f>[13]GtS!$I$60</f>
        <v>19</v>
      </c>
      <c r="J134" s="137">
        <f t="shared" si="36"/>
        <v>38</v>
      </c>
      <c r="K134" s="132">
        <f>[14]GtS!$I$16</f>
        <v>22</v>
      </c>
      <c r="L134" s="141">
        <f>[14]GtS!$I$60</f>
        <v>21</v>
      </c>
      <c r="M134" s="137">
        <f t="shared" si="37"/>
        <v>43</v>
      </c>
      <c r="N134" s="132">
        <f>[15]GtS!$I$16</f>
        <v>23</v>
      </c>
      <c r="O134" s="141">
        <f>[15]GtS!$I$60</f>
        <v>24</v>
      </c>
      <c r="P134" s="137">
        <f t="shared" si="38"/>
        <v>47</v>
      </c>
    </row>
    <row r="135" spans="1:16">
      <c r="A135" s="133" t="s">
        <v>83</v>
      </c>
      <c r="B135" s="132" t="s">
        <v>178</v>
      </c>
      <c r="C135" s="141" t="s">
        <v>178</v>
      </c>
      <c r="D135" s="137" t="s">
        <v>178</v>
      </c>
      <c r="E135" s="132">
        <f>[17]GtS!$I$16</f>
        <v>2</v>
      </c>
      <c r="F135" s="141">
        <f>[17]GtS!$I$60</f>
        <v>0</v>
      </c>
      <c r="G135" s="137">
        <f t="shared" si="35"/>
        <v>2</v>
      </c>
      <c r="H135" s="132">
        <f>[18]GtS!$I$16</f>
        <v>2</v>
      </c>
      <c r="I135" s="141">
        <f>[18]GtS!$I$60</f>
        <v>0</v>
      </c>
      <c r="J135" s="137">
        <f t="shared" si="36"/>
        <v>2</v>
      </c>
      <c r="K135" s="132">
        <f>[19]GtS!$I$16</f>
        <v>2</v>
      </c>
      <c r="L135" s="141">
        <f>[19]GtS!$I$60</f>
        <v>1</v>
      </c>
      <c r="M135" s="137">
        <f t="shared" si="37"/>
        <v>3</v>
      </c>
      <c r="N135" s="132">
        <f>[20]GtS!$I$16</f>
        <v>3</v>
      </c>
      <c r="O135" s="141">
        <f>[20]GtS!$I$60</f>
        <v>0</v>
      </c>
      <c r="P135" s="137">
        <f t="shared" si="38"/>
        <v>3</v>
      </c>
    </row>
    <row r="136" spans="1:16">
      <c r="A136" s="133" t="s">
        <v>84</v>
      </c>
      <c r="B136" s="132" t="s">
        <v>178</v>
      </c>
      <c r="C136" s="141" t="s">
        <v>178</v>
      </c>
      <c r="D136" s="137" t="s">
        <v>178</v>
      </c>
      <c r="E136" s="132">
        <f>[22]GtS!$I$16</f>
        <v>0</v>
      </c>
      <c r="F136" s="141">
        <f>[22]GtS!$I$60</f>
        <v>0</v>
      </c>
      <c r="G136" s="137">
        <f t="shared" si="35"/>
        <v>0</v>
      </c>
      <c r="H136" s="132">
        <f>[23]GtS!$I$16</f>
        <v>0</v>
      </c>
      <c r="I136" s="141">
        <f>[23]GtS!$I$60</f>
        <v>0</v>
      </c>
      <c r="J136" s="137">
        <f t="shared" si="36"/>
        <v>0</v>
      </c>
      <c r="K136" s="132">
        <f>[24]GtS!$I$16</f>
        <v>0</v>
      </c>
      <c r="L136" s="141">
        <f>[24]GtS!$I$60</f>
        <v>0</v>
      </c>
      <c r="M136" s="137">
        <f t="shared" si="37"/>
        <v>0</v>
      </c>
      <c r="N136" s="132">
        <f>[25]GtS!$I$16</f>
        <v>0</v>
      </c>
      <c r="O136" s="141">
        <f>[25]GtS!$I$60</f>
        <v>0</v>
      </c>
      <c r="P136" s="137">
        <f t="shared" si="38"/>
        <v>0</v>
      </c>
    </row>
    <row r="137" spans="1:16">
      <c r="A137" s="133" t="s">
        <v>85</v>
      </c>
      <c r="B137" s="132" t="s">
        <v>178</v>
      </c>
      <c r="C137" s="141" t="s">
        <v>178</v>
      </c>
      <c r="D137" s="137" t="s">
        <v>178</v>
      </c>
      <c r="E137" s="132">
        <f>[27]GtS!$I$16</f>
        <v>13</v>
      </c>
      <c r="F137" s="141">
        <f>[27]GtS!$I$60</f>
        <v>6</v>
      </c>
      <c r="G137" s="137">
        <f t="shared" si="35"/>
        <v>19</v>
      </c>
      <c r="H137" s="132">
        <f>[28]GtS!$I$16</f>
        <v>13</v>
      </c>
      <c r="I137" s="141">
        <f>[28]GtS!$I$60</f>
        <v>12</v>
      </c>
      <c r="J137" s="137">
        <f t="shared" si="36"/>
        <v>25</v>
      </c>
      <c r="K137" s="132">
        <f>[29]GtS!$I$16</f>
        <v>13</v>
      </c>
      <c r="L137" s="141">
        <f>[29]GtS!$I$60</f>
        <v>12</v>
      </c>
      <c r="M137" s="137">
        <f t="shared" si="37"/>
        <v>25</v>
      </c>
      <c r="N137" s="132">
        <f>[30]GtS!$I$16</f>
        <v>13</v>
      </c>
      <c r="O137" s="141">
        <f>[30]GtS!$I$60</f>
        <v>6</v>
      </c>
      <c r="P137" s="137">
        <f t="shared" si="38"/>
        <v>19</v>
      </c>
    </row>
    <row r="138" spans="1:16">
      <c r="A138" s="133" t="s">
        <v>86</v>
      </c>
      <c r="B138" s="132" t="s">
        <v>178</v>
      </c>
      <c r="C138" s="141" t="s">
        <v>178</v>
      </c>
      <c r="D138" s="137" t="s">
        <v>178</v>
      </c>
      <c r="E138" s="132">
        <f>[67]GtS!$I$16</f>
        <v>11</v>
      </c>
      <c r="F138" s="141">
        <f>[67]GtS!$I$60</f>
        <v>0</v>
      </c>
      <c r="G138" s="137">
        <f t="shared" si="35"/>
        <v>11</v>
      </c>
      <c r="H138" s="132">
        <f>[68]GtS!$I$16</f>
        <v>12</v>
      </c>
      <c r="I138" s="141">
        <f>[68]GtS!$I$60</f>
        <v>0</v>
      </c>
      <c r="J138" s="137">
        <f t="shared" si="36"/>
        <v>12</v>
      </c>
      <c r="K138" s="132">
        <f>[69]GtS!$I$16</f>
        <v>12</v>
      </c>
      <c r="L138" s="141">
        <f>[69]GtS!$I$60</f>
        <v>0</v>
      </c>
      <c r="M138" s="137">
        <f t="shared" si="37"/>
        <v>12</v>
      </c>
      <c r="N138" s="132">
        <f>[70]GtS!$I$16</f>
        <v>14</v>
      </c>
      <c r="O138" s="141">
        <f>[70]GtS!$I$60</f>
        <v>0</v>
      </c>
      <c r="P138" s="137">
        <f t="shared" si="38"/>
        <v>14</v>
      </c>
    </row>
    <row r="139" spans="1:16">
      <c r="A139" s="133" t="s">
        <v>87</v>
      </c>
      <c r="B139" s="132" t="s">
        <v>178</v>
      </c>
      <c r="C139" s="141" t="s">
        <v>178</v>
      </c>
      <c r="D139" s="137" t="s">
        <v>178</v>
      </c>
      <c r="E139" s="132">
        <f>[32]GtS!$I$16</f>
        <v>0</v>
      </c>
      <c r="F139" s="141">
        <f>[32]GtS!$I$60</f>
        <v>0</v>
      </c>
      <c r="G139" s="137">
        <f t="shared" si="35"/>
        <v>0</v>
      </c>
      <c r="H139" s="132">
        <f>[33]GtS!$I$16</f>
        <v>0</v>
      </c>
      <c r="I139" s="141">
        <f>[33]GtS!$I$60</f>
        <v>0</v>
      </c>
      <c r="J139" s="137">
        <f t="shared" si="36"/>
        <v>0</v>
      </c>
      <c r="K139" s="132">
        <f>[34]GtS!$I$16</f>
        <v>0</v>
      </c>
      <c r="L139" s="141">
        <f>[34]GtS!$I$60</f>
        <v>0</v>
      </c>
      <c r="M139" s="137">
        <f t="shared" si="37"/>
        <v>0</v>
      </c>
      <c r="N139" s="132">
        <f>[35]GtS!$I$16</f>
        <v>0</v>
      </c>
      <c r="O139" s="141">
        <f>[35]GtS!$I$60</f>
        <v>0</v>
      </c>
      <c r="P139" s="137">
        <f t="shared" si="38"/>
        <v>0</v>
      </c>
    </row>
    <row r="140" spans="1:16">
      <c r="A140" s="133" t="s">
        <v>88</v>
      </c>
      <c r="B140" s="132" t="s">
        <v>178</v>
      </c>
      <c r="C140" s="141" t="s">
        <v>178</v>
      </c>
      <c r="D140" s="137" t="s">
        <v>178</v>
      </c>
      <c r="E140" s="132">
        <f>[72]GtS!$I$16</f>
        <v>1</v>
      </c>
      <c r="F140" s="141">
        <f>[72]GtS!$I$60</f>
        <v>0</v>
      </c>
      <c r="G140" s="137">
        <f t="shared" si="35"/>
        <v>1</v>
      </c>
      <c r="H140" s="132">
        <f>[73]GtS!$I$16</f>
        <v>1</v>
      </c>
      <c r="I140" s="141">
        <f>[73]GtS!$I$60</f>
        <v>5</v>
      </c>
      <c r="J140" s="137">
        <f t="shared" si="36"/>
        <v>6</v>
      </c>
      <c r="K140" s="132">
        <f>[74]GtS!$I$16</f>
        <v>1</v>
      </c>
      <c r="L140" s="141">
        <f>[74]GtS!$I$60</f>
        <v>5</v>
      </c>
      <c r="M140" s="137">
        <f t="shared" si="37"/>
        <v>6</v>
      </c>
      <c r="N140" s="132">
        <f>[75]GtS!$I$16</f>
        <v>1</v>
      </c>
      <c r="O140" s="141">
        <f>[75]GtS!$I$60</f>
        <v>5</v>
      </c>
      <c r="P140" s="137">
        <f t="shared" si="38"/>
        <v>6</v>
      </c>
    </row>
    <row r="141" spans="1:16">
      <c r="A141" s="133" t="s">
        <v>89</v>
      </c>
      <c r="B141" s="132" t="s">
        <v>178</v>
      </c>
      <c r="C141" s="141" t="s">
        <v>178</v>
      </c>
      <c r="D141" s="137" t="s">
        <v>178</v>
      </c>
      <c r="E141" s="132">
        <f>[37]GtS!$I$16</f>
        <v>2</v>
      </c>
      <c r="F141" s="141">
        <f>[37]GtS!$I$60</f>
        <v>1</v>
      </c>
      <c r="G141" s="137">
        <f t="shared" si="35"/>
        <v>3</v>
      </c>
      <c r="H141" s="132">
        <f>[38]GtS!$I$16</f>
        <v>5</v>
      </c>
      <c r="I141" s="141">
        <f>[38]GtS!$I$60</f>
        <v>0</v>
      </c>
      <c r="J141" s="137">
        <f t="shared" si="36"/>
        <v>5</v>
      </c>
      <c r="K141" s="132">
        <f>[39]GtS!$I$16</f>
        <v>5</v>
      </c>
      <c r="L141" s="141">
        <f>[39]GtS!$I$60</f>
        <v>0</v>
      </c>
      <c r="M141" s="137">
        <f t="shared" si="37"/>
        <v>5</v>
      </c>
      <c r="N141" s="132">
        <f>[40]GtS!$I$16</f>
        <v>5</v>
      </c>
      <c r="O141" s="141">
        <f>[40]GtS!$I$60</f>
        <v>0</v>
      </c>
      <c r="P141" s="137">
        <f t="shared" si="38"/>
        <v>5</v>
      </c>
    </row>
    <row r="142" spans="1:16">
      <c r="A142" s="133" t="s">
        <v>90</v>
      </c>
      <c r="B142" s="132" t="s">
        <v>178</v>
      </c>
      <c r="C142" s="141" t="s">
        <v>178</v>
      </c>
      <c r="D142" s="137" t="s">
        <v>178</v>
      </c>
      <c r="E142" s="132">
        <f>[42]GtS!$I$16</f>
        <v>0</v>
      </c>
      <c r="F142" s="141">
        <f>[42]GtS!$I$60</f>
        <v>0</v>
      </c>
      <c r="G142" s="137">
        <f t="shared" si="35"/>
        <v>0</v>
      </c>
      <c r="H142" s="132">
        <f>[43]GtS!$I$16</f>
        <v>0</v>
      </c>
      <c r="I142" s="141">
        <f>[43]GtS!$I$60</f>
        <v>0</v>
      </c>
      <c r="J142" s="137">
        <f t="shared" si="36"/>
        <v>0</v>
      </c>
      <c r="K142" s="132">
        <f>[44]GtS!$I$16</f>
        <v>0</v>
      </c>
      <c r="L142" s="141">
        <f>[44]GtS!$I$60</f>
        <v>0</v>
      </c>
      <c r="M142" s="137">
        <f t="shared" si="37"/>
        <v>0</v>
      </c>
      <c r="N142" s="132">
        <f>[45]GtS!$I$16</f>
        <v>0</v>
      </c>
      <c r="O142" s="141">
        <f>[45]GtS!$I$60</f>
        <v>0</v>
      </c>
      <c r="P142" s="137">
        <f t="shared" si="38"/>
        <v>0</v>
      </c>
    </row>
    <row r="143" spans="1:16">
      <c r="A143" s="133" t="s">
        <v>91</v>
      </c>
      <c r="B143" s="132" t="s">
        <v>178</v>
      </c>
      <c r="C143" s="141" t="s">
        <v>178</v>
      </c>
      <c r="D143" s="137" t="s">
        <v>178</v>
      </c>
      <c r="E143" s="132">
        <f>[47]GtS!$I$16</f>
        <v>0</v>
      </c>
      <c r="F143" s="141">
        <f>[47]GtS!$I$60</f>
        <v>0</v>
      </c>
      <c r="G143" s="137">
        <f t="shared" si="35"/>
        <v>0</v>
      </c>
      <c r="H143" s="132">
        <f>[48]GtS!$I$16</f>
        <v>0</v>
      </c>
      <c r="I143" s="141">
        <f>[48]GtS!$I$60</f>
        <v>0</v>
      </c>
      <c r="J143" s="137">
        <f t="shared" si="36"/>
        <v>0</v>
      </c>
      <c r="K143" s="132">
        <f>[49]GtS!$I$16</f>
        <v>0</v>
      </c>
      <c r="L143" s="141">
        <f>[49]GtS!$I$60</f>
        <v>0</v>
      </c>
      <c r="M143" s="137">
        <f t="shared" si="37"/>
        <v>0</v>
      </c>
      <c r="N143" s="132">
        <f>[50]GtS!$I$16</f>
        <v>0</v>
      </c>
      <c r="O143" s="141">
        <f>[50]GtS!$I$60</f>
        <v>0</v>
      </c>
      <c r="P143" s="137">
        <f t="shared" si="38"/>
        <v>0</v>
      </c>
    </row>
    <row r="144" spans="1:16">
      <c r="A144" s="133" t="s">
        <v>92</v>
      </c>
      <c r="B144" s="132" t="s">
        <v>178</v>
      </c>
      <c r="C144" s="141" t="s">
        <v>178</v>
      </c>
      <c r="D144" s="137" t="s">
        <v>178</v>
      </c>
      <c r="E144" s="132">
        <f>[52]GtS!$I$16</f>
        <v>0</v>
      </c>
      <c r="F144" s="141">
        <f>[52]GtS!$I$60</f>
        <v>0</v>
      </c>
      <c r="G144" s="137">
        <f t="shared" si="35"/>
        <v>0</v>
      </c>
      <c r="H144" s="132">
        <f>[53]GtS!$I$16</f>
        <v>0</v>
      </c>
      <c r="I144" s="141">
        <f>[53]GtS!$I$60</f>
        <v>0</v>
      </c>
      <c r="J144" s="137">
        <f t="shared" si="36"/>
        <v>0</v>
      </c>
      <c r="K144" s="132">
        <f>[54]GtS!$I$16</f>
        <v>0</v>
      </c>
      <c r="L144" s="141">
        <f>[54]GtS!$I$60</f>
        <v>0</v>
      </c>
      <c r="M144" s="137">
        <f t="shared" si="37"/>
        <v>0</v>
      </c>
      <c r="N144" s="132">
        <f>[55]GtS!$I$16</f>
        <v>0</v>
      </c>
      <c r="O144" s="141">
        <f>[55]GtS!$I$60</f>
        <v>0</v>
      </c>
      <c r="P144" s="137">
        <f t="shared" si="38"/>
        <v>0</v>
      </c>
    </row>
    <row r="145" spans="1:16">
      <c r="A145" s="133" t="s">
        <v>93</v>
      </c>
      <c r="B145" s="132" t="s">
        <v>178</v>
      </c>
      <c r="C145" s="141" t="s">
        <v>178</v>
      </c>
      <c r="D145" s="137" t="s">
        <v>178</v>
      </c>
      <c r="E145" s="132">
        <f>[77]GtS!$I$16</f>
        <v>0</v>
      </c>
      <c r="F145" s="141">
        <f>[77]GtS!$I$60</f>
        <v>0</v>
      </c>
      <c r="G145" s="137">
        <f t="shared" si="35"/>
        <v>0</v>
      </c>
      <c r="H145" s="132">
        <f>[78]GtS!$I$16</f>
        <v>0</v>
      </c>
      <c r="I145" s="141">
        <f>[78]GtS!$I$60</f>
        <v>0</v>
      </c>
      <c r="J145" s="137">
        <f t="shared" si="36"/>
        <v>0</v>
      </c>
      <c r="K145" s="132">
        <f>[79]GtS!$I$16</f>
        <v>0</v>
      </c>
      <c r="L145" s="141">
        <f>[79]GtS!$I$60</f>
        <v>0</v>
      </c>
      <c r="M145" s="137">
        <f t="shared" si="37"/>
        <v>0</v>
      </c>
      <c r="N145" s="132">
        <f>[80]GtS!$I$16</f>
        <v>0</v>
      </c>
      <c r="O145" s="141">
        <f>[80]GtS!$I$60</f>
        <v>0</v>
      </c>
      <c r="P145" s="137">
        <f t="shared" si="38"/>
        <v>0</v>
      </c>
    </row>
    <row r="146" spans="1:16">
      <c r="A146" s="133" t="s">
        <v>94</v>
      </c>
      <c r="B146" s="132" t="s">
        <v>178</v>
      </c>
      <c r="C146" s="141" t="s">
        <v>178</v>
      </c>
      <c r="D146" s="137" t="s">
        <v>178</v>
      </c>
      <c r="E146" s="132">
        <f>[57]GtS!$I$16</f>
        <v>0</v>
      </c>
      <c r="F146" s="141">
        <f>[57]GtS!$I$60</f>
        <v>0</v>
      </c>
      <c r="G146" s="137">
        <f t="shared" si="35"/>
        <v>0</v>
      </c>
      <c r="H146" s="132">
        <f>[58]GtS!$I$16</f>
        <v>0</v>
      </c>
      <c r="I146" s="141">
        <f>[58]GtS!$I$60</f>
        <v>0</v>
      </c>
      <c r="J146" s="137">
        <f t="shared" si="36"/>
        <v>0</v>
      </c>
      <c r="K146" s="132">
        <f>[59]GtS!$I$16</f>
        <v>0</v>
      </c>
      <c r="L146" s="141">
        <f>[59]GtS!$I$60</f>
        <v>0</v>
      </c>
      <c r="M146" s="137">
        <f t="shared" si="37"/>
        <v>0</v>
      </c>
      <c r="N146" s="132">
        <f>[60]GtS!$I$16</f>
        <v>0</v>
      </c>
      <c r="O146" s="141">
        <f>[60]GtS!$I$60</f>
        <v>0</v>
      </c>
      <c r="P146" s="137">
        <f t="shared" si="38"/>
        <v>0</v>
      </c>
    </row>
    <row r="147" spans="1:16">
      <c r="A147" s="133" t="s">
        <v>95</v>
      </c>
      <c r="B147" s="132" t="s">
        <v>178</v>
      </c>
      <c r="C147" s="141" t="s">
        <v>178</v>
      </c>
      <c r="D147" s="137" t="s">
        <v>178</v>
      </c>
      <c r="E147" s="132">
        <f>[62]GtS!$I$16</f>
        <v>11</v>
      </c>
      <c r="F147" s="141">
        <f>[62]GtS!$I$60</f>
        <v>12</v>
      </c>
      <c r="G147" s="137">
        <f t="shared" si="35"/>
        <v>23</v>
      </c>
      <c r="H147" s="132">
        <f>[63]GtS!$I$16</f>
        <v>14</v>
      </c>
      <c r="I147" s="141">
        <f>[63]GtS!$I$60</f>
        <v>16</v>
      </c>
      <c r="J147" s="137">
        <f t="shared" si="36"/>
        <v>30</v>
      </c>
      <c r="K147" s="132">
        <f>[64]GtS!$I$16</f>
        <v>19</v>
      </c>
      <c r="L147" s="141">
        <f>[64]GtS!$I$60</f>
        <v>16</v>
      </c>
      <c r="M147" s="137">
        <f t="shared" si="37"/>
        <v>35</v>
      </c>
      <c r="N147" s="132">
        <f>[65]GtS!$I$16</f>
        <v>23</v>
      </c>
      <c r="O147" s="141">
        <f>[65]GtS!$I$60</f>
        <v>17</v>
      </c>
      <c r="P147" s="137">
        <f t="shared" si="38"/>
        <v>40</v>
      </c>
    </row>
    <row r="148" spans="1:16">
      <c r="A148" s="133" t="s">
        <v>96</v>
      </c>
      <c r="B148" s="132" t="s">
        <v>178</v>
      </c>
      <c r="C148" s="141" t="s">
        <v>178</v>
      </c>
      <c r="D148" s="137" t="s">
        <v>178</v>
      </c>
      <c r="E148" s="132">
        <f>SUM(E132:E147)</f>
        <v>266</v>
      </c>
      <c r="F148" s="141">
        <f>SUM(F132:F147)-F140-F138-F145</f>
        <v>48</v>
      </c>
      <c r="G148" s="137">
        <f>SUM(E148:F148)</f>
        <v>314</v>
      </c>
      <c r="H148" s="132">
        <f>SUM(H132:H147)</f>
        <v>235</v>
      </c>
      <c r="I148" s="141">
        <f>SUM(I132:I147)-I140-I138-I145</f>
        <v>51</v>
      </c>
      <c r="J148" s="137">
        <f>SUM(H148:I148)</f>
        <v>286</v>
      </c>
      <c r="K148" s="132">
        <f>SUM(K132:K147)</f>
        <v>284</v>
      </c>
      <c r="L148" s="141">
        <f>SUM(L132:L147)-L140-L138-L145</f>
        <v>56</v>
      </c>
      <c r="M148" s="137">
        <f>SUM(K148:L148)</f>
        <v>340</v>
      </c>
      <c r="N148" s="132">
        <f>SUM(N132:N147)</f>
        <v>309</v>
      </c>
      <c r="O148" s="141">
        <f>SUM(O132:O147)-O140-O138-O145</f>
        <v>54</v>
      </c>
      <c r="P148" s="137">
        <f>SUM(N148:O148)</f>
        <v>363</v>
      </c>
    </row>
    <row r="149" spans="1:16" ht="13.5" thickBot="1">
      <c r="A149" s="423" t="s">
        <v>75</v>
      </c>
      <c r="B149" s="424"/>
      <c r="C149" s="424"/>
      <c r="D149" s="424"/>
      <c r="E149" s="424"/>
      <c r="F149" s="424"/>
      <c r="G149" s="424"/>
      <c r="H149" s="424"/>
      <c r="I149" s="424"/>
      <c r="J149" s="424"/>
      <c r="K149" s="424"/>
      <c r="L149" s="424"/>
      <c r="M149" s="424"/>
      <c r="N149" s="424"/>
      <c r="O149" s="424"/>
      <c r="P149" s="424"/>
    </row>
    <row r="150" spans="1:16" ht="13.5" thickTop="1">
      <c r="A150" s="133" t="s">
        <v>80</v>
      </c>
      <c r="B150" s="131">
        <f>[1]GtS!$I$16</f>
        <v>0</v>
      </c>
      <c r="C150" s="140">
        <f>[1]GtS!$I$58</f>
        <v>58</v>
      </c>
      <c r="D150" s="136">
        <f>SUM(B150:C150)</f>
        <v>58</v>
      </c>
      <c r="E150" s="131">
        <f>[2]GtS!$I$17</f>
        <v>0</v>
      </c>
      <c r="F150" s="140">
        <f>[2]GtS!$I$61</f>
        <v>58</v>
      </c>
      <c r="G150" s="136">
        <f>SUM(E150:F150)</f>
        <v>58</v>
      </c>
      <c r="H150" s="131">
        <f>[3]GtS!$I$17</f>
        <v>0</v>
      </c>
      <c r="I150" s="140">
        <f>[3]GtS!$I$61</f>
        <v>58</v>
      </c>
      <c r="J150" s="136">
        <f>SUM(H150:I150)</f>
        <v>58</v>
      </c>
      <c r="K150" s="131">
        <f>[4]GtS!$I$17</f>
        <v>0</v>
      </c>
      <c r="L150" s="140">
        <f>[4]GtS!$I$61</f>
        <v>59</v>
      </c>
      <c r="M150" s="136">
        <f>SUM(K150:L150)</f>
        <v>59</v>
      </c>
      <c r="N150" s="131">
        <f>[5]GtS!$I$17</f>
        <v>0</v>
      </c>
      <c r="O150" s="140">
        <f>[5]GtS!$I$61</f>
        <v>58</v>
      </c>
      <c r="P150" s="136">
        <f>SUM(N150:O150)</f>
        <v>58</v>
      </c>
    </row>
    <row r="151" spans="1:16">
      <c r="A151" s="133" t="s">
        <v>81</v>
      </c>
      <c r="B151" s="132">
        <f>[6]GtS!$I$16</f>
        <v>0</v>
      </c>
      <c r="C151" s="141">
        <f>[6]GtS!$I$58</f>
        <v>21</v>
      </c>
      <c r="D151" s="137">
        <f t="shared" ref="D151:D165" si="39">SUM(B151:C151)</f>
        <v>21</v>
      </c>
      <c r="E151" s="132">
        <f>[7]GtS!$I$17</f>
        <v>0</v>
      </c>
      <c r="F151" s="141">
        <f>[7]GtS!$I$61</f>
        <v>21</v>
      </c>
      <c r="G151" s="137">
        <f t="shared" ref="G151:G165" si="40">SUM(E151:F151)</f>
        <v>21</v>
      </c>
      <c r="H151" s="132">
        <f>[8]GtS!$I$17</f>
        <v>0</v>
      </c>
      <c r="I151" s="141">
        <f>[8]GtS!$I$61</f>
        <v>22</v>
      </c>
      <c r="J151" s="137">
        <f t="shared" ref="J151:J165" si="41">SUM(H151:I151)</f>
        <v>22</v>
      </c>
      <c r="K151" s="132" t="str">
        <f>[9]GtS!$I$17</f>
        <v xml:space="preserve">                                      -   </v>
      </c>
      <c r="L151" s="141">
        <f>[9]GtS!$I$61</f>
        <v>22</v>
      </c>
      <c r="M151" s="137">
        <f t="shared" ref="M151:M165" si="42">SUM(K151:L151)</f>
        <v>22</v>
      </c>
      <c r="N151" s="132">
        <f>[10]GtS!$I$17</f>
        <v>0</v>
      </c>
      <c r="O151" s="141">
        <f>[10]GtS!$I$61</f>
        <v>23</v>
      </c>
      <c r="P151" s="137">
        <f t="shared" ref="P151:P165" si="43">SUM(N151:O151)</f>
        <v>23</v>
      </c>
    </row>
    <row r="152" spans="1:16">
      <c r="A152" s="133" t="s">
        <v>82</v>
      </c>
      <c r="B152" s="132">
        <f>[11]GtS!$I$16</f>
        <v>0</v>
      </c>
      <c r="C152" s="141">
        <f>[11]GtS!$I$58</f>
        <v>11</v>
      </c>
      <c r="D152" s="137">
        <f t="shared" si="39"/>
        <v>11</v>
      </c>
      <c r="E152" s="132">
        <f>[12]GtS!$I$17</f>
        <v>0</v>
      </c>
      <c r="F152" s="141">
        <f>[12]GtS!$I$61</f>
        <v>10</v>
      </c>
      <c r="G152" s="137">
        <f t="shared" si="40"/>
        <v>10</v>
      </c>
      <c r="H152" s="132">
        <f>[13]GtS!$I$17</f>
        <v>0</v>
      </c>
      <c r="I152" s="141">
        <f>[13]GtS!$I$61</f>
        <v>10</v>
      </c>
      <c r="J152" s="137">
        <f t="shared" si="41"/>
        <v>10</v>
      </c>
      <c r="K152" s="132">
        <f>[14]GtS!$I$17</f>
        <v>0</v>
      </c>
      <c r="L152" s="141">
        <f>[14]GtS!$I$61</f>
        <v>10</v>
      </c>
      <c r="M152" s="137">
        <f t="shared" si="42"/>
        <v>10</v>
      </c>
      <c r="N152" s="132">
        <f>[15]GtS!$I$17</f>
        <v>0</v>
      </c>
      <c r="O152" s="141">
        <f>[15]GtS!$I$61</f>
        <v>11</v>
      </c>
      <c r="P152" s="137">
        <f t="shared" si="43"/>
        <v>11</v>
      </c>
    </row>
    <row r="153" spans="1:16">
      <c r="A153" s="133" t="s">
        <v>83</v>
      </c>
      <c r="B153" s="132">
        <f>[16]GtS!$I$16</f>
        <v>0</v>
      </c>
      <c r="C153" s="141">
        <f>[16]GtS!$I$58</f>
        <v>5</v>
      </c>
      <c r="D153" s="137">
        <f t="shared" si="39"/>
        <v>5</v>
      </c>
      <c r="E153" s="132">
        <f>[17]GtS!$I$17</f>
        <v>0</v>
      </c>
      <c r="F153" s="141">
        <f>[17]GtS!$I$61</f>
        <v>5</v>
      </c>
      <c r="G153" s="137">
        <f t="shared" si="40"/>
        <v>5</v>
      </c>
      <c r="H153" s="132">
        <f>[18]GtS!$I$17</f>
        <v>0</v>
      </c>
      <c r="I153" s="141">
        <f>[18]GtS!$I$61</f>
        <v>5</v>
      </c>
      <c r="J153" s="137">
        <f t="shared" si="41"/>
        <v>5</v>
      </c>
      <c r="K153" s="132">
        <f>[19]GtS!$I$17</f>
        <v>0</v>
      </c>
      <c r="L153" s="141">
        <f>[19]GtS!$I$61</f>
        <v>5</v>
      </c>
      <c r="M153" s="137">
        <f t="shared" si="42"/>
        <v>5</v>
      </c>
      <c r="N153" s="132">
        <f>[20]GtS!$I$17</f>
        <v>0</v>
      </c>
      <c r="O153" s="141">
        <f>[20]GtS!$I$61</f>
        <v>5</v>
      </c>
      <c r="P153" s="137">
        <f t="shared" si="43"/>
        <v>5</v>
      </c>
    </row>
    <row r="154" spans="1:16">
      <c r="A154" s="133" t="s">
        <v>84</v>
      </c>
      <c r="B154" s="132">
        <f>[21]GtS!$I$16</f>
        <v>0</v>
      </c>
      <c r="C154" s="141">
        <f>[21]GtS!$I$58</f>
        <v>3</v>
      </c>
      <c r="D154" s="137">
        <f t="shared" si="39"/>
        <v>3</v>
      </c>
      <c r="E154" s="132">
        <f>[22]GtS!$I$17</f>
        <v>0</v>
      </c>
      <c r="F154" s="141">
        <f>[22]GtS!$I$61</f>
        <v>3</v>
      </c>
      <c r="G154" s="137">
        <f t="shared" si="40"/>
        <v>3</v>
      </c>
      <c r="H154" s="132">
        <f>[23]GtS!$I$17</f>
        <v>0</v>
      </c>
      <c r="I154" s="141">
        <f>[23]GtS!$I$61</f>
        <v>3</v>
      </c>
      <c r="J154" s="137">
        <f t="shared" si="41"/>
        <v>3</v>
      </c>
      <c r="K154" s="132">
        <f>[24]GtS!$I$17</f>
        <v>0</v>
      </c>
      <c r="L154" s="141">
        <f>[24]GtS!$I$61</f>
        <v>3</v>
      </c>
      <c r="M154" s="137">
        <f t="shared" si="42"/>
        <v>3</v>
      </c>
      <c r="N154" s="132">
        <f>[25]GtS!$I$17</f>
        <v>0</v>
      </c>
      <c r="O154" s="141">
        <f>[25]GtS!$I$61</f>
        <v>3</v>
      </c>
      <c r="P154" s="137">
        <f t="shared" si="43"/>
        <v>3</v>
      </c>
    </row>
    <row r="155" spans="1:16">
      <c r="A155" s="133" t="s">
        <v>85</v>
      </c>
      <c r="B155" s="132">
        <f>[26]GtS!$I$16</f>
        <v>0</v>
      </c>
      <c r="C155" s="141">
        <f>[26]GtS!$I$58</f>
        <v>6</v>
      </c>
      <c r="D155" s="137">
        <f t="shared" si="39"/>
        <v>6</v>
      </c>
      <c r="E155" s="132">
        <f>[27]GtS!$I$17</f>
        <v>0</v>
      </c>
      <c r="F155" s="141">
        <f>[27]GtS!$I$61</f>
        <v>6</v>
      </c>
      <c r="G155" s="137">
        <f t="shared" si="40"/>
        <v>6</v>
      </c>
      <c r="H155" s="132">
        <f>[28]GtS!$I$17</f>
        <v>0</v>
      </c>
      <c r="I155" s="141">
        <f>[28]GtS!$I$61</f>
        <v>6</v>
      </c>
      <c r="J155" s="137">
        <f t="shared" si="41"/>
        <v>6</v>
      </c>
      <c r="K155" s="132">
        <f>[29]GtS!$I$17</f>
        <v>0</v>
      </c>
      <c r="L155" s="141">
        <f>[29]GtS!$I$61</f>
        <v>8</v>
      </c>
      <c r="M155" s="137">
        <f t="shared" si="42"/>
        <v>8</v>
      </c>
      <c r="N155" s="132">
        <f>[30]GtS!$I$17</f>
        <v>0</v>
      </c>
      <c r="O155" s="141">
        <f>[30]GtS!$I$61</f>
        <v>7</v>
      </c>
      <c r="P155" s="137">
        <f t="shared" si="43"/>
        <v>7</v>
      </c>
    </row>
    <row r="156" spans="1:16">
      <c r="A156" s="133" t="s">
        <v>86</v>
      </c>
      <c r="B156" s="132">
        <f>[66]GtS!$I$16</f>
        <v>0</v>
      </c>
      <c r="C156" s="141">
        <f>[66]GtS!$I$58</f>
        <v>10</v>
      </c>
      <c r="D156" s="137">
        <f t="shared" si="39"/>
        <v>10</v>
      </c>
      <c r="E156" s="132">
        <f>[67]GtS!$I$17</f>
        <v>0</v>
      </c>
      <c r="F156" s="141">
        <f>[67]GtS!$I$61</f>
        <v>0</v>
      </c>
      <c r="G156" s="137">
        <f t="shared" si="40"/>
        <v>0</v>
      </c>
      <c r="H156" s="132">
        <f>[68]GtS!$I$17</f>
        <v>0</v>
      </c>
      <c r="I156" s="141">
        <f>[68]GtS!$I$61</f>
        <v>0</v>
      </c>
      <c r="J156" s="137">
        <f t="shared" si="41"/>
        <v>0</v>
      </c>
      <c r="K156" s="132">
        <f>[69]GtS!$I$17</f>
        <v>0</v>
      </c>
      <c r="L156" s="141">
        <f>[69]GtS!$I$61</f>
        <v>0</v>
      </c>
      <c r="M156" s="137">
        <f t="shared" si="42"/>
        <v>0</v>
      </c>
      <c r="N156" s="132">
        <f>[70]GtS!$I$17</f>
        <v>0</v>
      </c>
      <c r="O156" s="141">
        <f>[70]GtS!$I$61</f>
        <v>0</v>
      </c>
      <c r="P156" s="137">
        <f t="shared" si="43"/>
        <v>0</v>
      </c>
    </row>
    <row r="157" spans="1:16">
      <c r="A157" s="133" t="s">
        <v>87</v>
      </c>
      <c r="B157" s="132">
        <f>[31]GtS!$I$16</f>
        <v>0</v>
      </c>
      <c r="C157" s="141">
        <f>[31]GtS!$I$58</f>
        <v>3</v>
      </c>
      <c r="D157" s="137">
        <f t="shared" si="39"/>
        <v>3</v>
      </c>
      <c r="E157" s="132">
        <f>[32]GtS!$I$17</f>
        <v>0</v>
      </c>
      <c r="F157" s="141">
        <f>[32]GtS!$I$61</f>
        <v>3</v>
      </c>
      <c r="G157" s="137">
        <f t="shared" si="40"/>
        <v>3</v>
      </c>
      <c r="H157" s="132">
        <f>[33]GtS!$I$17</f>
        <v>0</v>
      </c>
      <c r="I157" s="141">
        <f>[33]GtS!$I$61</f>
        <v>3</v>
      </c>
      <c r="J157" s="137">
        <f t="shared" si="41"/>
        <v>3</v>
      </c>
      <c r="K157" s="132">
        <f>[34]GtS!$I$17</f>
        <v>0</v>
      </c>
      <c r="L157" s="141">
        <f>[34]GtS!$I$61</f>
        <v>4</v>
      </c>
      <c r="M157" s="137">
        <f t="shared" si="42"/>
        <v>4</v>
      </c>
      <c r="N157" s="132">
        <f>[35]GtS!$I$17</f>
        <v>0</v>
      </c>
      <c r="O157" s="141">
        <f>[35]GtS!$I$61</f>
        <v>5</v>
      </c>
      <c r="P157" s="137">
        <f t="shared" si="43"/>
        <v>5</v>
      </c>
    </row>
    <row r="158" spans="1:16">
      <c r="A158" s="133" t="s">
        <v>88</v>
      </c>
      <c r="B158" s="132">
        <f>[71]GtS!$I$16</f>
        <v>0</v>
      </c>
      <c r="C158" s="141">
        <f>[71]GtS!$I$58</f>
        <v>20</v>
      </c>
      <c r="D158" s="137">
        <f t="shared" si="39"/>
        <v>20</v>
      </c>
      <c r="E158" s="132">
        <f>[72]GtS!$I$17</f>
        <v>0</v>
      </c>
      <c r="F158" s="141">
        <f>[72]GtS!$I$61</f>
        <v>20</v>
      </c>
      <c r="G158" s="137">
        <f t="shared" si="40"/>
        <v>20</v>
      </c>
      <c r="H158" s="132">
        <f>[73]GtS!$I$17</f>
        <v>0</v>
      </c>
      <c r="I158" s="141">
        <f>[73]GtS!$I$61</f>
        <v>40</v>
      </c>
      <c r="J158" s="137">
        <f t="shared" si="41"/>
        <v>40</v>
      </c>
      <c r="K158" s="132">
        <f>[74]GtS!$I$17</f>
        <v>0</v>
      </c>
      <c r="L158" s="141">
        <f>[74]GtS!$I$61</f>
        <v>20</v>
      </c>
      <c r="M158" s="137">
        <f t="shared" si="42"/>
        <v>20</v>
      </c>
      <c r="N158" s="132">
        <f>[75]GtS!$I$17</f>
        <v>0</v>
      </c>
      <c r="O158" s="141">
        <f>[75]GtS!$I$61</f>
        <v>21</v>
      </c>
      <c r="P158" s="137">
        <f t="shared" si="43"/>
        <v>21</v>
      </c>
    </row>
    <row r="159" spans="1:16">
      <c r="A159" s="133" t="s">
        <v>89</v>
      </c>
      <c r="B159" s="132">
        <f>[36]GtS!$I$16</f>
        <v>0</v>
      </c>
      <c r="C159" s="141">
        <f>[36]GtS!$I$58</f>
        <v>40</v>
      </c>
      <c r="D159" s="137">
        <f t="shared" si="39"/>
        <v>40</v>
      </c>
      <c r="E159" s="132">
        <f>[37]GtS!$I$17</f>
        <v>0</v>
      </c>
      <c r="F159" s="141">
        <f>[37]GtS!$I$61</f>
        <v>46</v>
      </c>
      <c r="G159" s="137">
        <f t="shared" si="40"/>
        <v>46</v>
      </c>
      <c r="H159" s="132">
        <f>[38]GtS!$I$17</f>
        <v>0</v>
      </c>
      <c r="I159" s="141">
        <f>[38]GtS!$I$61</f>
        <v>40</v>
      </c>
      <c r="J159" s="137">
        <f t="shared" si="41"/>
        <v>40</v>
      </c>
      <c r="K159" s="132">
        <f>[39]GtS!$I$17</f>
        <v>0</v>
      </c>
      <c r="L159" s="141">
        <f>[39]GtS!$I$61</f>
        <v>42</v>
      </c>
      <c r="M159" s="137">
        <f t="shared" si="42"/>
        <v>42</v>
      </c>
      <c r="N159" s="132">
        <f>[40]GtS!$I$17</f>
        <v>0</v>
      </c>
      <c r="O159" s="141">
        <f>[40]GtS!$I$61</f>
        <v>43</v>
      </c>
      <c r="P159" s="137">
        <f t="shared" si="43"/>
        <v>43</v>
      </c>
    </row>
    <row r="160" spans="1:16">
      <c r="A160" s="133" t="s">
        <v>90</v>
      </c>
      <c r="B160" s="132">
        <f>[41]GtS!$I$16</f>
        <v>0</v>
      </c>
      <c r="C160" s="141">
        <f>[41]GtS!$I$58</f>
        <v>9</v>
      </c>
      <c r="D160" s="137">
        <f t="shared" si="39"/>
        <v>9</v>
      </c>
      <c r="E160" s="132">
        <f>[42]GtS!$I$17</f>
        <v>0</v>
      </c>
      <c r="F160" s="141">
        <f>[42]GtS!$I$61</f>
        <v>9</v>
      </c>
      <c r="G160" s="137">
        <f t="shared" si="40"/>
        <v>9</v>
      </c>
      <c r="H160" s="132">
        <f>[43]GtS!$I$17</f>
        <v>0</v>
      </c>
      <c r="I160" s="141">
        <f>[43]GtS!$I$61</f>
        <v>8</v>
      </c>
      <c r="J160" s="137">
        <f t="shared" si="41"/>
        <v>8</v>
      </c>
      <c r="K160" s="132">
        <f>[44]GtS!$I$17</f>
        <v>0</v>
      </c>
      <c r="L160" s="141">
        <f>[44]GtS!$I$61</f>
        <v>8</v>
      </c>
      <c r="M160" s="137">
        <f t="shared" si="42"/>
        <v>8</v>
      </c>
      <c r="N160" s="132">
        <f>[45]GtS!$I$17</f>
        <v>0</v>
      </c>
      <c r="O160" s="141">
        <f>[45]GtS!$I$61</f>
        <v>8</v>
      </c>
      <c r="P160" s="137">
        <f t="shared" si="43"/>
        <v>8</v>
      </c>
    </row>
    <row r="161" spans="1:16">
      <c r="A161" s="133" t="s">
        <v>91</v>
      </c>
      <c r="B161" s="132">
        <f>[46]GtS!$I$16</f>
        <v>0</v>
      </c>
      <c r="C161" s="141">
        <f>[46]GtS!$I$58</f>
        <v>4</v>
      </c>
      <c r="D161" s="137">
        <f t="shared" si="39"/>
        <v>4</v>
      </c>
      <c r="E161" s="132">
        <f>[47]GtS!$I$17</f>
        <v>0</v>
      </c>
      <c r="F161" s="141">
        <f>[47]GtS!$I$61</f>
        <v>4</v>
      </c>
      <c r="G161" s="137">
        <f t="shared" si="40"/>
        <v>4</v>
      </c>
      <c r="H161" s="132">
        <f>[48]GtS!$I$17</f>
        <v>0</v>
      </c>
      <c r="I161" s="141">
        <f>[48]GtS!$I$61</f>
        <v>4</v>
      </c>
      <c r="J161" s="137">
        <f t="shared" si="41"/>
        <v>4</v>
      </c>
      <c r="K161" s="132">
        <f>[49]GtS!$I$17</f>
        <v>0</v>
      </c>
      <c r="L161" s="141">
        <f>[49]GtS!$I$61</f>
        <v>4</v>
      </c>
      <c r="M161" s="137">
        <f t="shared" si="42"/>
        <v>4</v>
      </c>
      <c r="N161" s="132">
        <f>[50]GtS!$I$17</f>
        <v>0</v>
      </c>
      <c r="O161" s="141">
        <f>[50]GtS!$I$61</f>
        <v>4</v>
      </c>
      <c r="P161" s="137">
        <f t="shared" si="43"/>
        <v>4</v>
      </c>
    </row>
    <row r="162" spans="1:16">
      <c r="A162" s="133" t="s">
        <v>92</v>
      </c>
      <c r="B162" s="132">
        <f>[51]GtS!$I$16</f>
        <v>0</v>
      </c>
      <c r="C162" s="141">
        <f>[51]GtS!$I$58</f>
        <v>5</v>
      </c>
      <c r="D162" s="137">
        <f t="shared" si="39"/>
        <v>5</v>
      </c>
      <c r="E162" s="132">
        <f>[52]GtS!$I$17</f>
        <v>0</v>
      </c>
      <c r="F162" s="141">
        <f>[52]GtS!$I$61</f>
        <v>5</v>
      </c>
      <c r="G162" s="137">
        <f t="shared" si="40"/>
        <v>5</v>
      </c>
      <c r="H162" s="132">
        <f>[53]GtS!$I$17</f>
        <v>0</v>
      </c>
      <c r="I162" s="141">
        <f>[53]GtS!$I$61</f>
        <v>6</v>
      </c>
      <c r="J162" s="137">
        <f t="shared" si="41"/>
        <v>6</v>
      </c>
      <c r="K162" s="132">
        <f>[54]GtS!$I$17</f>
        <v>0</v>
      </c>
      <c r="L162" s="141">
        <f>[54]GtS!$I$61</f>
        <v>6</v>
      </c>
      <c r="M162" s="137">
        <f t="shared" si="42"/>
        <v>6</v>
      </c>
      <c r="N162" s="132">
        <f>[55]GtS!$I$17</f>
        <v>0</v>
      </c>
      <c r="O162" s="141">
        <f>[55]GtS!$I$61</f>
        <v>6</v>
      </c>
      <c r="P162" s="137">
        <f t="shared" si="43"/>
        <v>6</v>
      </c>
    </row>
    <row r="163" spans="1:16">
      <c r="A163" s="133" t="s">
        <v>93</v>
      </c>
      <c r="B163" s="132">
        <f>[76]GtS!$I$16</f>
        <v>0</v>
      </c>
      <c r="C163" s="141">
        <f>[76]GtS!$I$58</f>
        <v>0</v>
      </c>
      <c r="D163" s="137">
        <f t="shared" si="39"/>
        <v>0</v>
      </c>
      <c r="E163" s="132">
        <f>[77]GtS!$I$17</f>
        <v>0</v>
      </c>
      <c r="F163" s="141">
        <f>[77]GtS!$I$61</f>
        <v>0</v>
      </c>
      <c r="G163" s="137">
        <f t="shared" si="40"/>
        <v>0</v>
      </c>
      <c r="H163" s="132">
        <f>[78]GtS!$I$17</f>
        <v>0</v>
      </c>
      <c r="I163" s="141">
        <f>[78]GtS!$I$61</f>
        <v>0</v>
      </c>
      <c r="J163" s="137">
        <f t="shared" si="41"/>
        <v>0</v>
      </c>
      <c r="K163" s="132">
        <f>[79]GtS!$I$17</f>
        <v>0</v>
      </c>
      <c r="L163" s="141">
        <f>[79]GtS!$I$61</f>
        <v>0</v>
      </c>
      <c r="M163" s="137">
        <f t="shared" si="42"/>
        <v>0</v>
      </c>
      <c r="N163" s="132">
        <f>[80]GtS!$I$17</f>
        <v>0</v>
      </c>
      <c r="O163" s="141">
        <f>[80]GtS!$I$61</f>
        <v>0</v>
      </c>
      <c r="P163" s="137">
        <f t="shared" si="43"/>
        <v>0</v>
      </c>
    </row>
    <row r="164" spans="1:16">
      <c r="A164" s="133" t="s">
        <v>94</v>
      </c>
      <c r="B164" s="132">
        <f>[56]GtS!$I$16</f>
        <v>0</v>
      </c>
      <c r="C164" s="141">
        <f>[56]GtS!$I$58</f>
        <v>12</v>
      </c>
      <c r="D164" s="137">
        <f t="shared" si="39"/>
        <v>12</v>
      </c>
      <c r="E164" s="132">
        <f>[57]GtS!$I$17</f>
        <v>0</v>
      </c>
      <c r="F164" s="141">
        <f>[57]GtS!$I$61</f>
        <v>12</v>
      </c>
      <c r="G164" s="137">
        <f t="shared" si="40"/>
        <v>12</v>
      </c>
      <c r="H164" s="132">
        <f>[58]GtS!$I$17</f>
        <v>0</v>
      </c>
      <c r="I164" s="141">
        <f>[58]GtS!$I$61</f>
        <v>12</v>
      </c>
      <c r="J164" s="137">
        <f t="shared" si="41"/>
        <v>12</v>
      </c>
      <c r="K164" s="132">
        <f>[59]GtS!$I$17</f>
        <v>0</v>
      </c>
      <c r="L164" s="141">
        <f>[59]GtS!$I$61</f>
        <v>12</v>
      </c>
      <c r="M164" s="137">
        <f t="shared" si="42"/>
        <v>12</v>
      </c>
      <c r="N164" s="132">
        <f>[60]GtS!$I$17</f>
        <v>0</v>
      </c>
      <c r="O164" s="141">
        <f>[60]GtS!$I$61</f>
        <v>12</v>
      </c>
      <c r="P164" s="137">
        <f t="shared" si="43"/>
        <v>12</v>
      </c>
    </row>
    <row r="165" spans="1:16">
      <c r="A165" s="133" t="s">
        <v>95</v>
      </c>
      <c r="B165" s="132">
        <f>[61]GtS!$I$16</f>
        <v>0</v>
      </c>
      <c r="C165" s="141">
        <f>[61]GtS!$I$58</f>
        <v>5</v>
      </c>
      <c r="D165" s="137">
        <f t="shared" si="39"/>
        <v>5</v>
      </c>
      <c r="E165" s="132">
        <f>[62]GtS!$I$17</f>
        <v>0</v>
      </c>
      <c r="F165" s="141">
        <f>[62]GtS!$I$61</f>
        <v>5</v>
      </c>
      <c r="G165" s="137">
        <f t="shared" si="40"/>
        <v>5</v>
      </c>
      <c r="H165" s="132">
        <f>[63]GtS!$I$17</f>
        <v>0</v>
      </c>
      <c r="I165" s="141">
        <f>[63]GtS!$I$61</f>
        <v>5</v>
      </c>
      <c r="J165" s="137">
        <f t="shared" si="41"/>
        <v>5</v>
      </c>
      <c r="K165" s="132">
        <f>[64]GtS!$I$17</f>
        <v>0</v>
      </c>
      <c r="L165" s="141">
        <f>[64]GtS!$I$61</f>
        <v>5</v>
      </c>
      <c r="M165" s="137">
        <f t="shared" si="42"/>
        <v>5</v>
      </c>
      <c r="N165" s="132">
        <f>[65]GtS!$I$17</f>
        <v>0</v>
      </c>
      <c r="O165" s="141">
        <f>[65]GtS!$I$61</f>
        <v>5</v>
      </c>
      <c r="P165" s="137">
        <f t="shared" si="43"/>
        <v>5</v>
      </c>
    </row>
    <row r="166" spans="1:16">
      <c r="A166" s="133" t="s">
        <v>96</v>
      </c>
      <c r="B166" s="132">
        <f>SUM(B150:B165)</f>
        <v>0</v>
      </c>
      <c r="C166" s="141">
        <f>SUM(C150:C165)-C158-C156-C163</f>
        <v>182</v>
      </c>
      <c r="D166" s="137">
        <f>SUM(B166:C166)</f>
        <v>182</v>
      </c>
      <c r="E166" s="132">
        <f>SUM(E150:E165)</f>
        <v>0</v>
      </c>
      <c r="F166" s="141">
        <f>SUM(F150:F165)-F158-F156-F163</f>
        <v>187</v>
      </c>
      <c r="G166" s="137">
        <f>SUM(E166:F166)</f>
        <v>187</v>
      </c>
      <c r="H166" s="132">
        <f>SUM(H150:H165)</f>
        <v>0</v>
      </c>
      <c r="I166" s="141">
        <f>SUM(I150:I165)-I158-I156-I163</f>
        <v>182</v>
      </c>
      <c r="J166" s="137">
        <f>SUM(H166:I166)</f>
        <v>182</v>
      </c>
      <c r="K166" s="132">
        <f>SUM(K150:K165)</f>
        <v>0</v>
      </c>
      <c r="L166" s="141">
        <f>SUM(L150:L165)-L158-L156-L163</f>
        <v>188</v>
      </c>
      <c r="M166" s="137">
        <f>SUM(K166:L166)</f>
        <v>188</v>
      </c>
      <c r="N166" s="132">
        <f>SUM(N150:N165)</f>
        <v>0</v>
      </c>
      <c r="O166" s="141">
        <f>SUM(O150:O165)-O158-O156-O163</f>
        <v>190</v>
      </c>
      <c r="P166" s="137">
        <f>SUM(N166:O166)</f>
        <v>190</v>
      </c>
    </row>
    <row r="167" spans="1:16" s="281" customFormat="1" ht="30.75" customHeight="1" thickBot="1">
      <c r="A167" s="425" t="s">
        <v>242</v>
      </c>
      <c r="B167" s="426"/>
      <c r="C167" s="426"/>
      <c r="D167" s="426"/>
      <c r="E167" s="426"/>
      <c r="F167" s="426"/>
      <c r="G167" s="426"/>
      <c r="H167" s="426"/>
      <c r="I167" s="426"/>
      <c r="J167" s="426"/>
      <c r="K167" s="426"/>
      <c r="L167" s="426"/>
      <c r="M167" s="426"/>
      <c r="N167" s="426"/>
      <c r="O167" s="426"/>
      <c r="P167" s="426"/>
    </row>
    <row r="168" spans="1:16" s="281" customFormat="1" ht="13.5" thickTop="1">
      <c r="A168" s="133" t="s">
        <v>80</v>
      </c>
      <c r="B168" s="131" t="s">
        <v>178</v>
      </c>
      <c r="C168" s="140" t="s">
        <v>178</v>
      </c>
      <c r="D168" s="136" t="s">
        <v>178</v>
      </c>
      <c r="E168" s="131">
        <f>[2]GtS!$I$18</f>
        <v>0</v>
      </c>
      <c r="F168" s="140">
        <f>[2]GtS!$I$62</f>
        <v>58</v>
      </c>
      <c r="G168" s="136">
        <f>SUM(E168:F168)</f>
        <v>58</v>
      </c>
      <c r="H168" s="131">
        <f>[3]GtS!$I$18</f>
        <v>0</v>
      </c>
      <c r="I168" s="140">
        <f>[3]GtS!$I$62</f>
        <v>58</v>
      </c>
      <c r="J168" s="136">
        <f>SUM(H168:I168)</f>
        <v>58</v>
      </c>
      <c r="K168" s="131">
        <f>[4]GtS!$I$18</f>
        <v>0</v>
      </c>
      <c r="L168" s="140">
        <f>[4]GtS!$I$62</f>
        <v>58</v>
      </c>
      <c r="M168" s="136">
        <f>SUM(K168:L168)</f>
        <v>58</v>
      </c>
      <c r="N168" s="131">
        <f>[5]GtS!$I$18</f>
        <v>0</v>
      </c>
      <c r="O168" s="140">
        <f>[5]GtS!$I$62</f>
        <v>57</v>
      </c>
      <c r="P168" s="136">
        <f>SUM(N168:O168)</f>
        <v>57</v>
      </c>
    </row>
    <row r="169" spans="1:16" s="281" customFormat="1">
      <c r="A169" s="133" t="s">
        <v>81</v>
      </c>
      <c r="B169" s="132" t="s">
        <v>178</v>
      </c>
      <c r="C169" s="141" t="s">
        <v>178</v>
      </c>
      <c r="D169" s="137" t="s">
        <v>178</v>
      </c>
      <c r="E169" s="132">
        <f>[7]GtS!$I$18</f>
        <v>0</v>
      </c>
      <c r="F169" s="141">
        <f>[7]GtS!$I$62</f>
        <v>21</v>
      </c>
      <c r="G169" s="137">
        <f t="shared" ref="G169:G183" si="44">SUM(E169:F169)</f>
        <v>21</v>
      </c>
      <c r="H169" s="132">
        <f>[8]GtS!$I$18</f>
        <v>0</v>
      </c>
      <c r="I169" s="141">
        <f>[8]GtS!$I$62</f>
        <v>22</v>
      </c>
      <c r="J169" s="137">
        <f t="shared" ref="J169:J183" si="45">SUM(H169:I169)</f>
        <v>22</v>
      </c>
      <c r="K169" s="132" t="str">
        <f>[9]GtS!$I$18</f>
        <v xml:space="preserve">                                      -   </v>
      </c>
      <c r="L169" s="141">
        <f>[9]GtS!$I$62</f>
        <v>22</v>
      </c>
      <c r="M169" s="137">
        <f t="shared" ref="M169:M183" si="46">SUM(K169:L169)</f>
        <v>22</v>
      </c>
      <c r="N169" s="132">
        <f>[10]GtS!$I$18</f>
        <v>0</v>
      </c>
      <c r="O169" s="141">
        <f>[10]GtS!$I$62</f>
        <v>23</v>
      </c>
      <c r="P169" s="137">
        <f t="shared" ref="P169:P183" si="47">SUM(N169:O169)</f>
        <v>23</v>
      </c>
    </row>
    <row r="170" spans="1:16" s="281" customFormat="1">
      <c r="A170" s="133" t="s">
        <v>82</v>
      </c>
      <c r="B170" s="132" t="s">
        <v>178</v>
      </c>
      <c r="C170" s="141" t="s">
        <v>178</v>
      </c>
      <c r="D170" s="137" t="s">
        <v>178</v>
      </c>
      <c r="E170" s="132">
        <f>[12]GtS!$I$18</f>
        <v>0</v>
      </c>
      <c r="F170" s="141">
        <f>[12]GtS!$I$62</f>
        <v>10</v>
      </c>
      <c r="G170" s="137">
        <f t="shared" si="44"/>
        <v>10</v>
      </c>
      <c r="H170" s="132">
        <f>[13]GtS!$I$18</f>
        <v>0</v>
      </c>
      <c r="I170" s="141">
        <f>[13]GtS!$I$62</f>
        <v>10</v>
      </c>
      <c r="J170" s="137">
        <f t="shared" si="45"/>
        <v>10</v>
      </c>
      <c r="K170" s="132">
        <f>[14]GtS!$I$18</f>
        <v>0</v>
      </c>
      <c r="L170" s="141">
        <f>[14]GtS!$I$62</f>
        <v>10</v>
      </c>
      <c r="M170" s="137">
        <f t="shared" si="46"/>
        <v>10</v>
      </c>
      <c r="N170" s="132">
        <f>[15]GtS!$I$18</f>
        <v>0</v>
      </c>
      <c r="O170" s="141">
        <f>[15]GtS!$I$62</f>
        <v>10</v>
      </c>
      <c r="P170" s="137">
        <f t="shared" si="47"/>
        <v>10</v>
      </c>
    </row>
    <row r="171" spans="1:16" s="281" customFormat="1">
      <c r="A171" s="133" t="s">
        <v>83</v>
      </c>
      <c r="B171" s="132" t="s">
        <v>178</v>
      </c>
      <c r="C171" s="141" t="s">
        <v>178</v>
      </c>
      <c r="D171" s="137" t="s">
        <v>178</v>
      </c>
      <c r="E171" s="132">
        <f>[17]GtS!$I$18</f>
        <v>0</v>
      </c>
      <c r="F171" s="141">
        <f>[17]GtS!$I$62</f>
        <v>5</v>
      </c>
      <c r="G171" s="137">
        <f t="shared" si="44"/>
        <v>5</v>
      </c>
      <c r="H171" s="132">
        <f>[18]GtS!$I$18</f>
        <v>0</v>
      </c>
      <c r="I171" s="141">
        <f>[18]GtS!$I$62</f>
        <v>5</v>
      </c>
      <c r="J171" s="137">
        <f t="shared" si="45"/>
        <v>5</v>
      </c>
      <c r="K171" s="132">
        <f>[19]GtS!$I$18</f>
        <v>0</v>
      </c>
      <c r="L171" s="141">
        <f>[19]GtS!$I$62</f>
        <v>5</v>
      </c>
      <c r="M171" s="137">
        <f t="shared" si="46"/>
        <v>5</v>
      </c>
      <c r="N171" s="132">
        <f>[20]GtS!$I$18</f>
        <v>0</v>
      </c>
      <c r="O171" s="141">
        <f>[20]GtS!$I$62</f>
        <v>5</v>
      </c>
      <c r="P171" s="137">
        <f t="shared" si="47"/>
        <v>5</v>
      </c>
    </row>
    <row r="172" spans="1:16" s="281" customFormat="1">
      <c r="A172" s="133" t="s">
        <v>84</v>
      </c>
      <c r="B172" s="132" t="s">
        <v>178</v>
      </c>
      <c r="C172" s="141" t="s">
        <v>178</v>
      </c>
      <c r="D172" s="137" t="s">
        <v>178</v>
      </c>
      <c r="E172" s="132">
        <f>[22]GtS!$I$18</f>
        <v>0</v>
      </c>
      <c r="F172" s="141">
        <f>[22]GtS!$I$62</f>
        <v>3</v>
      </c>
      <c r="G172" s="137">
        <f t="shared" si="44"/>
        <v>3</v>
      </c>
      <c r="H172" s="132">
        <f>[23]GtS!$I$18</f>
        <v>0</v>
      </c>
      <c r="I172" s="141">
        <f>[23]GtS!$I$62</f>
        <v>3</v>
      </c>
      <c r="J172" s="137">
        <f t="shared" si="45"/>
        <v>3</v>
      </c>
      <c r="K172" s="132">
        <f>[24]GtS!$I$18</f>
        <v>0</v>
      </c>
      <c r="L172" s="141">
        <f>[24]GtS!$I$62</f>
        <v>3</v>
      </c>
      <c r="M172" s="137">
        <f t="shared" si="46"/>
        <v>3</v>
      </c>
      <c r="N172" s="132">
        <f>[25]GtS!$I$18</f>
        <v>0</v>
      </c>
      <c r="O172" s="141">
        <f>[25]GtS!$I$62</f>
        <v>3</v>
      </c>
      <c r="P172" s="137">
        <f t="shared" si="47"/>
        <v>3</v>
      </c>
    </row>
    <row r="173" spans="1:16" s="281" customFormat="1">
      <c r="A173" s="133" t="s">
        <v>85</v>
      </c>
      <c r="B173" s="132" t="s">
        <v>178</v>
      </c>
      <c r="C173" s="141" t="s">
        <v>178</v>
      </c>
      <c r="D173" s="137" t="s">
        <v>178</v>
      </c>
      <c r="E173" s="132">
        <f>[27]GtS!$I$18</f>
        <v>0</v>
      </c>
      <c r="F173" s="141">
        <f>[27]GtS!$I$62</f>
        <v>6</v>
      </c>
      <c r="G173" s="137">
        <f t="shared" si="44"/>
        <v>6</v>
      </c>
      <c r="H173" s="132">
        <f>[28]GtS!$I$18</f>
        <v>0</v>
      </c>
      <c r="I173" s="141">
        <f>[28]GtS!$I$62</f>
        <v>0</v>
      </c>
      <c r="J173" s="137">
        <f t="shared" si="45"/>
        <v>0</v>
      </c>
      <c r="K173" s="132">
        <f>[29]GtS!$I$18</f>
        <v>0</v>
      </c>
      <c r="L173" s="141">
        <f>[29]GtS!$I$62</f>
        <v>7</v>
      </c>
      <c r="M173" s="137">
        <f t="shared" si="46"/>
        <v>7</v>
      </c>
      <c r="N173" s="132">
        <f>[30]GtS!$I$18</f>
        <v>0</v>
      </c>
      <c r="O173" s="141">
        <f>[30]GtS!$I$62</f>
        <v>7</v>
      </c>
      <c r="P173" s="137">
        <f t="shared" si="47"/>
        <v>7</v>
      </c>
    </row>
    <row r="174" spans="1:16" s="281" customFormat="1">
      <c r="A174" s="133" t="s">
        <v>86</v>
      </c>
      <c r="B174" s="132" t="s">
        <v>178</v>
      </c>
      <c r="C174" s="141" t="s">
        <v>178</v>
      </c>
      <c r="D174" s="137" t="s">
        <v>178</v>
      </c>
      <c r="E174" s="132">
        <f>[67]GtS!$I$18</f>
        <v>0</v>
      </c>
      <c r="F174" s="141">
        <f>[67]GtS!$I$62</f>
        <v>0</v>
      </c>
      <c r="G174" s="137">
        <f t="shared" si="44"/>
        <v>0</v>
      </c>
      <c r="H174" s="132">
        <f>[68]GtS!$I$18</f>
        <v>0</v>
      </c>
      <c r="I174" s="141">
        <f>[68]GtS!$I$62</f>
        <v>0</v>
      </c>
      <c r="J174" s="137">
        <f t="shared" si="45"/>
        <v>0</v>
      </c>
      <c r="K174" s="132">
        <f>[69]GtS!$I$18</f>
        <v>0</v>
      </c>
      <c r="L174" s="141">
        <f>[69]GtS!$I$62</f>
        <v>0</v>
      </c>
      <c r="M174" s="137">
        <f t="shared" si="46"/>
        <v>0</v>
      </c>
      <c r="N174" s="132">
        <f>[70]GtS!$I$18</f>
        <v>0</v>
      </c>
      <c r="O174" s="141">
        <f>[70]GtS!$I$62</f>
        <v>0</v>
      </c>
      <c r="P174" s="137">
        <f t="shared" si="47"/>
        <v>0</v>
      </c>
    </row>
    <row r="175" spans="1:16" s="281" customFormat="1">
      <c r="A175" s="133" t="s">
        <v>87</v>
      </c>
      <c r="B175" s="132" t="s">
        <v>178</v>
      </c>
      <c r="C175" s="141" t="s">
        <v>178</v>
      </c>
      <c r="D175" s="137" t="s">
        <v>178</v>
      </c>
      <c r="E175" s="132">
        <f>[32]GtS!$I$18</f>
        <v>0</v>
      </c>
      <c r="F175" s="141">
        <f>[32]GtS!$I$62</f>
        <v>0</v>
      </c>
      <c r="G175" s="137">
        <f t="shared" si="44"/>
        <v>0</v>
      </c>
      <c r="H175" s="132">
        <f>[33]GtS!$I$18</f>
        <v>0</v>
      </c>
      <c r="I175" s="141">
        <f>[33]GtS!$I$62</f>
        <v>0</v>
      </c>
      <c r="J175" s="137">
        <f t="shared" si="45"/>
        <v>0</v>
      </c>
      <c r="K175" s="132">
        <f>[34]GtS!$I$18</f>
        <v>0</v>
      </c>
      <c r="L175" s="141">
        <f>[34]GtS!$I$62</f>
        <v>4</v>
      </c>
      <c r="M175" s="137">
        <f t="shared" si="46"/>
        <v>4</v>
      </c>
      <c r="N175" s="132">
        <f>[35]GtS!$I$18</f>
        <v>0</v>
      </c>
      <c r="O175" s="141">
        <f>[35]GtS!$I$62</f>
        <v>5</v>
      </c>
      <c r="P175" s="137">
        <f t="shared" si="47"/>
        <v>5</v>
      </c>
    </row>
    <row r="176" spans="1:16" s="281" customFormat="1">
      <c r="A176" s="133" t="s">
        <v>88</v>
      </c>
      <c r="B176" s="132" t="s">
        <v>178</v>
      </c>
      <c r="C176" s="141" t="s">
        <v>178</v>
      </c>
      <c r="D176" s="137" t="s">
        <v>178</v>
      </c>
      <c r="E176" s="132">
        <f>[72]GtS!$I$18</f>
        <v>0</v>
      </c>
      <c r="F176" s="141">
        <f>[72]GtS!$I$62</f>
        <v>0</v>
      </c>
      <c r="G176" s="137">
        <f t="shared" si="44"/>
        <v>0</v>
      </c>
      <c r="H176" s="132">
        <f>[73]GtS!$I$18</f>
        <v>0</v>
      </c>
      <c r="I176" s="141">
        <f>[73]GtS!$I$62</f>
        <v>20</v>
      </c>
      <c r="J176" s="137">
        <f t="shared" si="45"/>
        <v>20</v>
      </c>
      <c r="K176" s="132">
        <f>[74]GtS!$I$18</f>
        <v>0</v>
      </c>
      <c r="L176" s="141">
        <f>[74]GtS!$I$62</f>
        <v>20</v>
      </c>
      <c r="M176" s="137">
        <f t="shared" si="46"/>
        <v>20</v>
      </c>
      <c r="N176" s="132">
        <f>[75]GtS!$I$18</f>
        <v>0</v>
      </c>
      <c r="O176" s="141">
        <f>[75]GtS!$I$62</f>
        <v>20</v>
      </c>
      <c r="P176" s="137">
        <f t="shared" si="47"/>
        <v>20</v>
      </c>
    </row>
    <row r="177" spans="1:16" s="281" customFormat="1">
      <c r="A177" s="133" t="s">
        <v>89</v>
      </c>
      <c r="B177" s="132" t="s">
        <v>178</v>
      </c>
      <c r="C177" s="141" t="s">
        <v>178</v>
      </c>
      <c r="D177" s="137" t="s">
        <v>178</v>
      </c>
      <c r="E177" s="132">
        <f>[37]GtS!$I$18</f>
        <v>0</v>
      </c>
      <c r="F177" s="141">
        <f>[37]GtS!$I$62</f>
        <v>40</v>
      </c>
      <c r="G177" s="137">
        <f t="shared" si="44"/>
        <v>40</v>
      </c>
      <c r="H177" s="132">
        <f>[38]GtS!$I$18</f>
        <v>0</v>
      </c>
      <c r="I177" s="141">
        <f>[38]GtS!$I$62</f>
        <v>40</v>
      </c>
      <c r="J177" s="137">
        <f t="shared" si="45"/>
        <v>40</v>
      </c>
      <c r="K177" s="132">
        <f>[39]GtS!$I$18</f>
        <v>0</v>
      </c>
      <c r="L177" s="141">
        <f>[39]GtS!$I$62</f>
        <v>42</v>
      </c>
      <c r="M177" s="137">
        <f t="shared" si="46"/>
        <v>42</v>
      </c>
      <c r="N177" s="132">
        <f>[40]GtS!$I$18</f>
        <v>0</v>
      </c>
      <c r="O177" s="141">
        <f>[40]GtS!$I$62</f>
        <v>43</v>
      </c>
      <c r="P177" s="137">
        <f t="shared" si="47"/>
        <v>43</v>
      </c>
    </row>
    <row r="178" spans="1:16" s="281" customFormat="1">
      <c r="A178" s="133" t="s">
        <v>90</v>
      </c>
      <c r="B178" s="132" t="s">
        <v>178</v>
      </c>
      <c r="C178" s="141" t="s">
        <v>178</v>
      </c>
      <c r="D178" s="137" t="s">
        <v>178</v>
      </c>
      <c r="E178" s="132">
        <f>[42]GtS!$I$18</f>
        <v>0</v>
      </c>
      <c r="F178" s="141">
        <f>[42]GtS!$I$62</f>
        <v>0</v>
      </c>
      <c r="G178" s="137">
        <f t="shared" si="44"/>
        <v>0</v>
      </c>
      <c r="H178" s="132">
        <f>[43]GtS!$I$18</f>
        <v>0</v>
      </c>
      <c r="I178" s="141">
        <f>[43]GtS!$I$62</f>
        <v>0</v>
      </c>
      <c r="J178" s="137">
        <f t="shared" si="45"/>
        <v>0</v>
      </c>
      <c r="K178" s="132">
        <f>[44]GtS!$I$18</f>
        <v>0</v>
      </c>
      <c r="L178" s="141">
        <f>[44]GtS!$I$62</f>
        <v>8</v>
      </c>
      <c r="M178" s="137">
        <f t="shared" si="46"/>
        <v>8</v>
      </c>
      <c r="N178" s="132">
        <f>[45]GtS!$I$18</f>
        <v>0</v>
      </c>
      <c r="O178" s="141">
        <f>[45]GtS!$I$62</f>
        <v>8</v>
      </c>
      <c r="P178" s="137">
        <f t="shared" si="47"/>
        <v>8</v>
      </c>
    </row>
    <row r="179" spans="1:16" s="281" customFormat="1">
      <c r="A179" s="133" t="s">
        <v>91</v>
      </c>
      <c r="B179" s="132" t="s">
        <v>178</v>
      </c>
      <c r="C179" s="141" t="s">
        <v>178</v>
      </c>
      <c r="D179" s="137" t="s">
        <v>178</v>
      </c>
      <c r="E179" s="132">
        <f>[47]GtS!$I$18</f>
        <v>0</v>
      </c>
      <c r="F179" s="141">
        <f>[47]GtS!$I$62</f>
        <v>4</v>
      </c>
      <c r="G179" s="137">
        <f t="shared" si="44"/>
        <v>4</v>
      </c>
      <c r="H179" s="132">
        <f>[48]GtS!$I$18</f>
        <v>0</v>
      </c>
      <c r="I179" s="141">
        <f>[48]GtS!$I$62</f>
        <v>4</v>
      </c>
      <c r="J179" s="137">
        <f t="shared" si="45"/>
        <v>4</v>
      </c>
      <c r="K179" s="132">
        <f>[49]GtS!$I$18</f>
        <v>0</v>
      </c>
      <c r="L179" s="141">
        <f>[49]GtS!$I$62</f>
        <v>4</v>
      </c>
      <c r="M179" s="137">
        <f t="shared" si="46"/>
        <v>4</v>
      </c>
      <c r="N179" s="132">
        <f>[50]GtS!$I$18</f>
        <v>0</v>
      </c>
      <c r="O179" s="141">
        <f>[50]GtS!$I$62</f>
        <v>4</v>
      </c>
      <c r="P179" s="137">
        <f t="shared" si="47"/>
        <v>4</v>
      </c>
    </row>
    <row r="180" spans="1:16" s="281" customFormat="1">
      <c r="A180" s="133" t="s">
        <v>92</v>
      </c>
      <c r="B180" s="132" t="s">
        <v>178</v>
      </c>
      <c r="C180" s="141" t="s">
        <v>178</v>
      </c>
      <c r="D180" s="137" t="s">
        <v>178</v>
      </c>
      <c r="E180" s="132">
        <f>[52]GtS!$I$18</f>
        <v>0</v>
      </c>
      <c r="F180" s="141">
        <f>[52]GtS!$I$62</f>
        <v>0</v>
      </c>
      <c r="G180" s="137">
        <f t="shared" si="44"/>
        <v>0</v>
      </c>
      <c r="H180" s="132">
        <f>[53]GtS!$I$18</f>
        <v>0</v>
      </c>
      <c r="I180" s="141">
        <f>[53]GtS!$I$62</f>
        <v>6</v>
      </c>
      <c r="J180" s="137">
        <f t="shared" si="45"/>
        <v>6</v>
      </c>
      <c r="K180" s="132">
        <f>[54]GtS!$I$18</f>
        <v>0</v>
      </c>
      <c r="L180" s="141">
        <f>[54]GtS!$I$62</f>
        <v>6</v>
      </c>
      <c r="M180" s="137">
        <f t="shared" si="46"/>
        <v>6</v>
      </c>
      <c r="N180" s="132">
        <f>[55]GtS!$I$18</f>
        <v>0</v>
      </c>
      <c r="O180" s="141">
        <f>[55]GtS!$I$62</f>
        <v>6</v>
      </c>
      <c r="P180" s="137">
        <f t="shared" si="47"/>
        <v>6</v>
      </c>
    </row>
    <row r="181" spans="1:16" s="281" customFormat="1">
      <c r="A181" s="133" t="s">
        <v>93</v>
      </c>
      <c r="B181" s="132" t="s">
        <v>178</v>
      </c>
      <c r="C181" s="141" t="s">
        <v>178</v>
      </c>
      <c r="D181" s="137" t="s">
        <v>178</v>
      </c>
      <c r="E181" s="132">
        <f>[77]GtS!$I$18</f>
        <v>0</v>
      </c>
      <c r="F181" s="141">
        <f>[77]GtS!$I$62</f>
        <v>0</v>
      </c>
      <c r="G181" s="137">
        <f t="shared" si="44"/>
        <v>0</v>
      </c>
      <c r="H181" s="132">
        <f>[78]GtS!$I$18</f>
        <v>0</v>
      </c>
      <c r="I181" s="141">
        <f>[78]GtS!$I$62</f>
        <v>0</v>
      </c>
      <c r="J181" s="137">
        <f t="shared" si="45"/>
        <v>0</v>
      </c>
      <c r="K181" s="132">
        <f>[79]GtS!$I$18</f>
        <v>0</v>
      </c>
      <c r="L181" s="141">
        <f>[79]GtS!$I$62</f>
        <v>0</v>
      </c>
      <c r="M181" s="137">
        <f t="shared" si="46"/>
        <v>0</v>
      </c>
      <c r="N181" s="132">
        <f>[80]GtS!$I$18</f>
        <v>0</v>
      </c>
      <c r="O181" s="141">
        <f>[80]GtS!$I$62</f>
        <v>0</v>
      </c>
      <c r="P181" s="137">
        <f t="shared" si="47"/>
        <v>0</v>
      </c>
    </row>
    <row r="182" spans="1:16" s="281" customFormat="1">
      <c r="A182" s="133" t="s">
        <v>94</v>
      </c>
      <c r="B182" s="132" t="s">
        <v>178</v>
      </c>
      <c r="C182" s="141" t="s">
        <v>178</v>
      </c>
      <c r="D182" s="137" t="s">
        <v>178</v>
      </c>
      <c r="E182" s="132">
        <f>[57]GtS!$I$18</f>
        <v>0</v>
      </c>
      <c r="F182" s="141">
        <f>[57]GtS!$I$62</f>
        <v>12</v>
      </c>
      <c r="G182" s="137">
        <f t="shared" si="44"/>
        <v>12</v>
      </c>
      <c r="H182" s="132">
        <f>[58]GtS!$I$18</f>
        <v>0</v>
      </c>
      <c r="I182" s="141">
        <f>[58]GtS!$I$62</f>
        <v>12</v>
      </c>
      <c r="J182" s="137">
        <f t="shared" si="45"/>
        <v>12</v>
      </c>
      <c r="K182" s="132">
        <f>[59]GtS!$I$18</f>
        <v>0</v>
      </c>
      <c r="L182" s="141">
        <f>[59]GtS!$I$62</f>
        <v>12</v>
      </c>
      <c r="M182" s="137">
        <f t="shared" si="46"/>
        <v>12</v>
      </c>
      <c r="N182" s="132">
        <f>[60]GtS!$I$18</f>
        <v>0</v>
      </c>
      <c r="O182" s="141">
        <f>[60]GtS!$I$62</f>
        <v>12</v>
      </c>
      <c r="P182" s="137">
        <f t="shared" si="47"/>
        <v>12</v>
      </c>
    </row>
    <row r="183" spans="1:16" s="281" customFormat="1">
      <c r="A183" s="133" t="s">
        <v>95</v>
      </c>
      <c r="B183" s="132" t="s">
        <v>178</v>
      </c>
      <c r="C183" s="141" t="s">
        <v>178</v>
      </c>
      <c r="D183" s="137" t="s">
        <v>178</v>
      </c>
      <c r="E183" s="132">
        <f>[62]GtS!$I$18</f>
        <v>0</v>
      </c>
      <c r="F183" s="141">
        <f>[62]GtS!$I$62</f>
        <v>5</v>
      </c>
      <c r="G183" s="137">
        <f t="shared" si="44"/>
        <v>5</v>
      </c>
      <c r="H183" s="132">
        <f>[63]GtS!$I$18</f>
        <v>0</v>
      </c>
      <c r="I183" s="141">
        <f>[63]GtS!$I$62</f>
        <v>5</v>
      </c>
      <c r="J183" s="137">
        <f t="shared" si="45"/>
        <v>5</v>
      </c>
      <c r="K183" s="132">
        <f>[64]GtS!$I$18</f>
        <v>0</v>
      </c>
      <c r="L183" s="141">
        <f>[64]GtS!$I$62</f>
        <v>5</v>
      </c>
      <c r="M183" s="137">
        <f t="shared" si="46"/>
        <v>5</v>
      </c>
      <c r="N183" s="132">
        <f>[65]GtS!$I$18</f>
        <v>0</v>
      </c>
      <c r="O183" s="141">
        <f>[65]GtS!$I$62</f>
        <v>5</v>
      </c>
      <c r="P183" s="137">
        <f t="shared" si="47"/>
        <v>5</v>
      </c>
    </row>
    <row r="184" spans="1:16" s="281" customFormat="1">
      <c r="A184" s="133" t="s">
        <v>96</v>
      </c>
      <c r="B184" s="132" t="s">
        <v>178</v>
      </c>
      <c r="C184" s="141" t="s">
        <v>178</v>
      </c>
      <c r="D184" s="137" t="s">
        <v>178</v>
      </c>
      <c r="E184" s="132">
        <f>SUM(E168:E183)</f>
        <v>0</v>
      </c>
      <c r="F184" s="141">
        <f>SUM(F168:F183)-F176-F174-F181</f>
        <v>164</v>
      </c>
      <c r="G184" s="137">
        <f>SUM(E184:F184)</f>
        <v>164</v>
      </c>
      <c r="H184" s="132">
        <f>SUM(H168:H183)</f>
        <v>0</v>
      </c>
      <c r="I184" s="141">
        <f>SUM(I168:I183)-I176-I174-I181</f>
        <v>165</v>
      </c>
      <c r="J184" s="137">
        <f>SUM(H184:I184)</f>
        <v>165</v>
      </c>
      <c r="K184" s="132">
        <f>SUM(K168:K183)</f>
        <v>0</v>
      </c>
      <c r="L184" s="141">
        <f>SUM(L168:L183)-L176-L174-L181</f>
        <v>186</v>
      </c>
      <c r="M184" s="137">
        <f>SUM(K184:L184)</f>
        <v>186</v>
      </c>
      <c r="N184" s="132">
        <f>SUM(N168:N183)</f>
        <v>0</v>
      </c>
      <c r="O184" s="141">
        <f>SUM(O168:O183)-O176-O174-O181</f>
        <v>188</v>
      </c>
      <c r="P184" s="137">
        <f>SUM(N184:O184)</f>
        <v>188</v>
      </c>
    </row>
    <row r="185" spans="1:16" ht="13.5" thickBot="1">
      <c r="A185" s="423" t="s">
        <v>150</v>
      </c>
      <c r="B185" s="424"/>
      <c r="C185" s="424"/>
      <c r="D185" s="424"/>
      <c r="E185" s="424"/>
      <c r="F185" s="424"/>
      <c r="G185" s="424"/>
      <c r="H185" s="424"/>
      <c r="I185" s="424"/>
      <c r="J185" s="424"/>
      <c r="K185" s="424"/>
      <c r="L185" s="424"/>
      <c r="M185" s="424"/>
      <c r="N185" s="424"/>
      <c r="O185" s="424"/>
      <c r="P185" s="424"/>
    </row>
    <row r="186" spans="1:16" ht="13.5" thickTop="1">
      <c r="A186" s="133" t="s">
        <v>80</v>
      </c>
      <c r="B186" s="131">
        <f>[1]GtS!$I$17</f>
        <v>426</v>
      </c>
      <c r="C186" s="140">
        <f>[1]GtS!$I$59</f>
        <v>156</v>
      </c>
      <c r="D186" s="136">
        <f>SUM(B186:C186)</f>
        <v>582</v>
      </c>
      <c r="E186" s="131">
        <f>[2]GtS!$I$19</f>
        <v>424</v>
      </c>
      <c r="F186" s="140">
        <f>[2]GtS!$I$63</f>
        <v>154</v>
      </c>
      <c r="G186" s="136">
        <f>SUM(E186:F186)</f>
        <v>578</v>
      </c>
      <c r="H186" s="131">
        <f>[3]GtS!$I$19</f>
        <v>422</v>
      </c>
      <c r="I186" s="140">
        <f>[3]GtS!$I$63</f>
        <v>155</v>
      </c>
      <c r="J186" s="136">
        <f>SUM(H186:I186)</f>
        <v>577</v>
      </c>
      <c r="K186" s="131">
        <f>[4]GtS!$I$19</f>
        <v>414</v>
      </c>
      <c r="L186" s="140">
        <f>[4]GtS!$I$63</f>
        <v>153</v>
      </c>
      <c r="M186" s="136">
        <f>SUM(K186:L186)</f>
        <v>567</v>
      </c>
      <c r="N186" s="131">
        <f>[5]GtS!$I$19</f>
        <v>408</v>
      </c>
      <c r="O186" s="140">
        <f>[5]GtS!$I$63</f>
        <v>154</v>
      </c>
      <c r="P186" s="136">
        <f>SUM(N186:O186)</f>
        <v>562</v>
      </c>
    </row>
    <row r="187" spans="1:16">
      <c r="A187" s="133" t="s">
        <v>81</v>
      </c>
      <c r="B187" s="132">
        <f>[6]GtS!$I$17</f>
        <v>163</v>
      </c>
      <c r="C187" s="141">
        <f>[6]GtS!$I$59</f>
        <v>192</v>
      </c>
      <c r="D187" s="137">
        <f t="shared" ref="D187:D201" si="48">SUM(B187:C187)</f>
        <v>355</v>
      </c>
      <c r="E187" s="132">
        <f>[7]GtS!$I$19</f>
        <v>163</v>
      </c>
      <c r="F187" s="141">
        <f>[7]GtS!$I$63</f>
        <v>192</v>
      </c>
      <c r="G187" s="137">
        <f t="shared" ref="G187:G201" si="49">SUM(E187:F187)</f>
        <v>355</v>
      </c>
      <c r="H187" s="132">
        <f>[8]GtS!$I$19</f>
        <v>163</v>
      </c>
      <c r="I187" s="141">
        <f>[8]GtS!$I$63</f>
        <v>192</v>
      </c>
      <c r="J187" s="137">
        <f t="shared" ref="J187:J201" si="50">SUM(H187:I187)</f>
        <v>355</v>
      </c>
      <c r="K187" s="132">
        <f>[9]GtS!$I$19</f>
        <v>162</v>
      </c>
      <c r="L187" s="141">
        <f>[9]GtS!$I$63</f>
        <v>193</v>
      </c>
      <c r="M187" s="137">
        <f t="shared" ref="M187:M201" si="51">SUM(K187:L187)</f>
        <v>355</v>
      </c>
      <c r="N187" s="132">
        <f>[10]GtS!$I$19</f>
        <v>162</v>
      </c>
      <c r="O187" s="141">
        <f>[10]GtS!$I$63</f>
        <v>193</v>
      </c>
      <c r="P187" s="137">
        <f t="shared" ref="P187:P201" si="52">SUM(N187:O187)</f>
        <v>355</v>
      </c>
    </row>
    <row r="188" spans="1:16">
      <c r="A188" s="133" t="s">
        <v>82</v>
      </c>
      <c r="B188" s="132">
        <f>[11]GtS!$I$17</f>
        <v>76</v>
      </c>
      <c r="C188" s="141">
        <f>[11]GtS!$I$59</f>
        <v>10</v>
      </c>
      <c r="D188" s="137">
        <f t="shared" si="48"/>
        <v>86</v>
      </c>
      <c r="E188" s="132">
        <f>[12]GtS!$I$19</f>
        <v>68</v>
      </c>
      <c r="F188" s="141">
        <f>[12]GtS!$I$63</f>
        <v>9</v>
      </c>
      <c r="G188" s="137">
        <f t="shared" si="49"/>
        <v>77</v>
      </c>
      <c r="H188" s="132">
        <f>[13]GtS!$I$19</f>
        <v>68</v>
      </c>
      <c r="I188" s="141">
        <f>[13]GtS!$I$63</f>
        <v>9</v>
      </c>
      <c r="J188" s="137">
        <f t="shared" si="50"/>
        <v>77</v>
      </c>
      <c r="K188" s="132">
        <f>[14]GtS!$I$19</f>
        <v>68</v>
      </c>
      <c r="L188" s="141">
        <f>[14]GtS!$I$63</f>
        <v>9</v>
      </c>
      <c r="M188" s="137">
        <f t="shared" si="51"/>
        <v>77</v>
      </c>
      <c r="N188" s="132">
        <f>[15]GtS!$I$19</f>
        <v>68</v>
      </c>
      <c r="O188" s="141">
        <f>[15]GtS!$I$63</f>
        <v>8</v>
      </c>
      <c r="P188" s="137">
        <f t="shared" si="52"/>
        <v>76</v>
      </c>
    </row>
    <row r="189" spans="1:16">
      <c r="A189" s="133" t="s">
        <v>83</v>
      </c>
      <c r="B189" s="132">
        <f>[16]GtS!$I$17</f>
        <v>105</v>
      </c>
      <c r="C189" s="141">
        <f>[16]GtS!$I$59</f>
        <v>12</v>
      </c>
      <c r="D189" s="137">
        <f t="shared" si="48"/>
        <v>117</v>
      </c>
      <c r="E189" s="132">
        <f>[17]GtS!$I$19</f>
        <v>105</v>
      </c>
      <c r="F189" s="141">
        <f>[17]GtS!$I$63</f>
        <v>14</v>
      </c>
      <c r="G189" s="137">
        <f t="shared" si="49"/>
        <v>119</v>
      </c>
      <c r="H189" s="132">
        <f>[18]GtS!$I$19</f>
        <v>100</v>
      </c>
      <c r="I189" s="141">
        <f>[18]GtS!$I$63</f>
        <v>13</v>
      </c>
      <c r="J189" s="137">
        <f t="shared" si="50"/>
        <v>113</v>
      </c>
      <c r="K189" s="132">
        <f>[19]GtS!$I$19</f>
        <v>96</v>
      </c>
      <c r="L189" s="141">
        <f>[19]GtS!$I$63</f>
        <v>13</v>
      </c>
      <c r="M189" s="137">
        <f t="shared" si="51"/>
        <v>109</v>
      </c>
      <c r="N189" s="132">
        <f>[20]GtS!$I$19</f>
        <v>93</v>
      </c>
      <c r="O189" s="141">
        <f>[20]GtS!$I$63</f>
        <v>13</v>
      </c>
      <c r="P189" s="137">
        <f t="shared" si="52"/>
        <v>106</v>
      </c>
    </row>
    <row r="190" spans="1:16">
      <c r="A190" s="133" t="s">
        <v>84</v>
      </c>
      <c r="B190" s="132">
        <f>[21]GtS!$I$17</f>
        <v>17</v>
      </c>
      <c r="C190" s="141">
        <f>[21]GtS!$I$59</f>
        <v>1</v>
      </c>
      <c r="D190" s="137">
        <f t="shared" si="48"/>
        <v>18</v>
      </c>
      <c r="E190" s="132">
        <f>[22]GtS!$I$19</f>
        <v>18</v>
      </c>
      <c r="F190" s="141">
        <f>[22]GtS!$I$63</f>
        <v>1</v>
      </c>
      <c r="G190" s="137">
        <f t="shared" si="49"/>
        <v>19</v>
      </c>
      <c r="H190" s="132">
        <f>[23]GtS!$I$19</f>
        <v>15</v>
      </c>
      <c r="I190" s="141">
        <f>[23]GtS!$I$63</f>
        <v>1</v>
      </c>
      <c r="J190" s="137">
        <f t="shared" si="50"/>
        <v>16</v>
      </c>
      <c r="K190" s="132">
        <f>[24]GtS!$I$19</f>
        <v>11</v>
      </c>
      <c r="L190" s="141">
        <f>[24]GtS!$I$63</f>
        <v>1</v>
      </c>
      <c r="M190" s="137">
        <f t="shared" si="51"/>
        <v>12</v>
      </c>
      <c r="N190" s="132">
        <f>[25]GtS!$I$19</f>
        <v>9</v>
      </c>
      <c r="O190" s="141">
        <f>[25]GtS!$I$63</f>
        <v>1</v>
      </c>
      <c r="P190" s="137">
        <f t="shared" si="52"/>
        <v>10</v>
      </c>
    </row>
    <row r="191" spans="1:16">
      <c r="A191" s="133" t="s">
        <v>85</v>
      </c>
      <c r="B191" s="132">
        <f>[26]GtS!$I$17</f>
        <v>37</v>
      </c>
      <c r="C191" s="141">
        <f>[26]GtS!$I$59</f>
        <v>5</v>
      </c>
      <c r="D191" s="137">
        <f t="shared" si="48"/>
        <v>42</v>
      </c>
      <c r="E191" s="132">
        <f>[27]GtS!$I$19</f>
        <v>26</v>
      </c>
      <c r="F191" s="141">
        <f>[27]GtS!$I$63</f>
        <v>5</v>
      </c>
      <c r="G191" s="137">
        <f t="shared" si="49"/>
        <v>31</v>
      </c>
      <c r="H191" s="132">
        <f>[28]GtS!$I$19</f>
        <v>26</v>
      </c>
      <c r="I191" s="141">
        <f>[28]GtS!$I$63</f>
        <v>5</v>
      </c>
      <c r="J191" s="137">
        <f t="shared" si="50"/>
        <v>31</v>
      </c>
      <c r="K191" s="132">
        <f>[29]GtS!$I$19</f>
        <v>26</v>
      </c>
      <c r="L191" s="141">
        <f>[29]GtS!$I$63</f>
        <v>5</v>
      </c>
      <c r="M191" s="137">
        <f t="shared" si="51"/>
        <v>31</v>
      </c>
      <c r="N191" s="132">
        <f>[30]GtS!$I$19</f>
        <v>26</v>
      </c>
      <c r="O191" s="141">
        <f>[30]GtS!$I$63</f>
        <v>5</v>
      </c>
      <c r="P191" s="137">
        <f t="shared" si="52"/>
        <v>31</v>
      </c>
    </row>
    <row r="192" spans="1:16">
      <c r="A192" s="133" t="s">
        <v>86</v>
      </c>
      <c r="B192" s="132">
        <f>[66]GtS!$I$17</f>
        <v>213</v>
      </c>
      <c r="C192" s="141">
        <f>[66]GtS!$I$59</f>
        <v>33</v>
      </c>
      <c r="D192" s="137">
        <f t="shared" si="48"/>
        <v>246</v>
      </c>
      <c r="E192" s="132">
        <f>[67]GtS!$I$19</f>
        <v>212</v>
      </c>
      <c r="F192" s="141">
        <f>[67]GtS!$I$63</f>
        <v>0</v>
      </c>
      <c r="G192" s="137">
        <f t="shared" si="49"/>
        <v>212</v>
      </c>
      <c r="H192" s="132">
        <f>[68]GtS!$I$19</f>
        <v>213</v>
      </c>
      <c r="I192" s="141">
        <f>[68]GtS!$I$63</f>
        <v>0</v>
      </c>
      <c r="J192" s="137">
        <f t="shared" si="50"/>
        <v>213</v>
      </c>
      <c r="K192" s="132">
        <f>[69]GtS!$I$19</f>
        <v>212</v>
      </c>
      <c r="L192" s="141">
        <f>[69]GtS!$I$63</f>
        <v>0</v>
      </c>
      <c r="M192" s="137">
        <f t="shared" si="51"/>
        <v>212</v>
      </c>
      <c r="N192" s="132">
        <f>[70]GtS!$I$19</f>
        <v>208</v>
      </c>
      <c r="O192" s="141">
        <f>[70]GtS!$I$63</f>
        <v>0</v>
      </c>
      <c r="P192" s="137">
        <f t="shared" si="52"/>
        <v>208</v>
      </c>
    </row>
    <row r="193" spans="1:16">
      <c r="A193" s="133" t="s">
        <v>87</v>
      </c>
      <c r="B193" s="132">
        <f>[31]GtS!$I$17</f>
        <v>85</v>
      </c>
      <c r="C193" s="141">
        <f>[31]GtS!$I$59</f>
        <v>11</v>
      </c>
      <c r="D193" s="137">
        <f t="shared" si="48"/>
        <v>96</v>
      </c>
      <c r="E193" s="132">
        <f>[32]GtS!$I$19</f>
        <v>84</v>
      </c>
      <c r="F193" s="141">
        <f>[32]GtS!$I$63</f>
        <v>11</v>
      </c>
      <c r="G193" s="137">
        <f t="shared" si="49"/>
        <v>95</v>
      </c>
      <c r="H193" s="132">
        <f>[33]GtS!$I$19</f>
        <v>83</v>
      </c>
      <c r="I193" s="141">
        <f>[33]GtS!$I$63</f>
        <v>11</v>
      </c>
      <c r="J193" s="137">
        <f t="shared" si="50"/>
        <v>94</v>
      </c>
      <c r="K193" s="132">
        <f>[34]GtS!$I$19</f>
        <v>82</v>
      </c>
      <c r="L193" s="141">
        <f>[34]GtS!$I$63</f>
        <v>11</v>
      </c>
      <c r="M193" s="137">
        <f t="shared" si="51"/>
        <v>93</v>
      </c>
      <c r="N193" s="132">
        <f>[35]GtS!$I$19</f>
        <v>79</v>
      </c>
      <c r="O193" s="141">
        <f>[35]GtS!$I$63</f>
        <v>11</v>
      </c>
      <c r="P193" s="137">
        <f t="shared" si="52"/>
        <v>90</v>
      </c>
    </row>
    <row r="194" spans="1:16">
      <c r="A194" s="133" t="s">
        <v>88</v>
      </c>
      <c r="B194" s="132">
        <f>[71]GtS!$I$17</f>
        <v>276</v>
      </c>
      <c r="C194" s="141">
        <f>[71]GtS!$I$59</f>
        <v>58</v>
      </c>
      <c r="D194" s="137">
        <f t="shared" si="48"/>
        <v>334</v>
      </c>
      <c r="E194" s="132">
        <f>[72]GtS!$I$19</f>
        <v>265</v>
      </c>
      <c r="F194" s="141">
        <f>[72]GtS!$I$63</f>
        <v>58</v>
      </c>
      <c r="G194" s="137">
        <f t="shared" si="49"/>
        <v>323</v>
      </c>
      <c r="H194" s="132">
        <f>[73]GtS!$I$19</f>
        <v>253</v>
      </c>
      <c r="I194" s="141">
        <f>[73]GtS!$I$63</f>
        <v>58</v>
      </c>
      <c r="J194" s="137">
        <f t="shared" si="50"/>
        <v>311</v>
      </c>
      <c r="K194" s="132">
        <f>[74]GtS!$I$19</f>
        <v>241</v>
      </c>
      <c r="L194" s="141">
        <f>[74]GtS!$I$63</f>
        <v>53</v>
      </c>
      <c r="M194" s="137">
        <f t="shared" si="51"/>
        <v>294</v>
      </c>
      <c r="N194" s="132">
        <f>[75]GtS!$I$19</f>
        <v>230</v>
      </c>
      <c r="O194" s="141">
        <f>[75]GtS!$I$63</f>
        <v>58</v>
      </c>
      <c r="P194" s="137">
        <f t="shared" si="52"/>
        <v>288</v>
      </c>
    </row>
    <row r="195" spans="1:16">
      <c r="A195" s="133" t="s">
        <v>89</v>
      </c>
      <c r="B195" s="132">
        <f>[36]GtS!$I$17</f>
        <v>631</v>
      </c>
      <c r="C195" s="141">
        <f>[36]GtS!$I$59</f>
        <v>85</v>
      </c>
      <c r="D195" s="137">
        <f t="shared" si="48"/>
        <v>716</v>
      </c>
      <c r="E195" s="132">
        <f>[37]GtS!$I$19</f>
        <v>608</v>
      </c>
      <c r="F195" s="141">
        <f>[37]GtS!$I$63</f>
        <v>75</v>
      </c>
      <c r="G195" s="137">
        <f t="shared" si="49"/>
        <v>683</v>
      </c>
      <c r="H195" s="132">
        <f>[38]GtS!$I$19</f>
        <v>566</v>
      </c>
      <c r="I195" s="141">
        <f>[38]GtS!$I$63</f>
        <v>74</v>
      </c>
      <c r="J195" s="137">
        <f t="shared" si="50"/>
        <v>640</v>
      </c>
      <c r="K195" s="132">
        <f>[39]GtS!$I$19</f>
        <v>491</v>
      </c>
      <c r="L195" s="141">
        <f>[39]GtS!$I$63</f>
        <v>89</v>
      </c>
      <c r="M195" s="137">
        <f t="shared" si="51"/>
        <v>580</v>
      </c>
      <c r="N195" s="132">
        <f>[40]GtS!$I$19</f>
        <v>440</v>
      </c>
      <c r="O195" s="141">
        <f>[40]GtS!$I$63</f>
        <v>92</v>
      </c>
      <c r="P195" s="137">
        <f t="shared" si="52"/>
        <v>532</v>
      </c>
    </row>
    <row r="196" spans="1:16">
      <c r="A196" s="133" t="s">
        <v>90</v>
      </c>
      <c r="B196" s="132">
        <f>[41]GtS!$I$17</f>
        <v>115</v>
      </c>
      <c r="C196" s="141">
        <f>[41]GtS!$I$59</f>
        <v>23</v>
      </c>
      <c r="D196" s="137">
        <f t="shared" si="48"/>
        <v>138</v>
      </c>
      <c r="E196" s="132">
        <f>[42]GtS!$I$19</f>
        <v>115</v>
      </c>
      <c r="F196" s="141">
        <f>[42]GtS!$I$63</f>
        <v>23</v>
      </c>
      <c r="G196" s="137">
        <f t="shared" si="49"/>
        <v>138</v>
      </c>
      <c r="H196" s="132">
        <f>[43]GtS!$I$19</f>
        <v>112</v>
      </c>
      <c r="I196" s="141">
        <f>[43]GtS!$I$63</f>
        <v>23</v>
      </c>
      <c r="J196" s="137">
        <f t="shared" si="50"/>
        <v>135</v>
      </c>
      <c r="K196" s="132">
        <f>[44]GtS!$I$19</f>
        <v>109</v>
      </c>
      <c r="L196" s="141">
        <f>[44]GtS!$I$63</f>
        <v>23</v>
      </c>
      <c r="M196" s="137">
        <f t="shared" si="51"/>
        <v>132</v>
      </c>
      <c r="N196" s="132">
        <f>[45]GtS!$I$19</f>
        <v>108</v>
      </c>
      <c r="O196" s="141">
        <f>[45]GtS!$I$63</f>
        <v>23</v>
      </c>
      <c r="P196" s="137">
        <f t="shared" si="52"/>
        <v>131</v>
      </c>
    </row>
    <row r="197" spans="1:16">
      <c r="A197" s="133" t="s">
        <v>91</v>
      </c>
      <c r="B197" s="132">
        <f>[46]GtS!$I$17</f>
        <v>32</v>
      </c>
      <c r="C197" s="141">
        <f>[46]GtS!$I$59</f>
        <v>5</v>
      </c>
      <c r="D197" s="137">
        <f t="shared" si="48"/>
        <v>37</v>
      </c>
      <c r="E197" s="132">
        <f>[47]GtS!$I$19</f>
        <v>32</v>
      </c>
      <c r="F197" s="141">
        <f>[47]GtS!$I$63</f>
        <v>5</v>
      </c>
      <c r="G197" s="137">
        <f t="shared" si="49"/>
        <v>37</v>
      </c>
      <c r="H197" s="132">
        <f>[48]GtS!$I$19</f>
        <v>32</v>
      </c>
      <c r="I197" s="141">
        <f>[48]GtS!$I$63</f>
        <v>5</v>
      </c>
      <c r="J197" s="137">
        <f t="shared" si="50"/>
        <v>37</v>
      </c>
      <c r="K197" s="132">
        <f>[49]GtS!$I$19</f>
        <v>31</v>
      </c>
      <c r="L197" s="141">
        <f>[49]GtS!$I$63</f>
        <v>5</v>
      </c>
      <c r="M197" s="137">
        <f t="shared" si="51"/>
        <v>36</v>
      </c>
      <c r="N197" s="132">
        <f>[50]GtS!$I$19</f>
        <v>31</v>
      </c>
      <c r="O197" s="141">
        <f>[50]GtS!$I$63</f>
        <v>5</v>
      </c>
      <c r="P197" s="137">
        <f t="shared" si="52"/>
        <v>36</v>
      </c>
    </row>
    <row r="198" spans="1:16">
      <c r="A198" s="133" t="s">
        <v>92</v>
      </c>
      <c r="B198" s="132">
        <f>[51]GtS!$I$17</f>
        <v>138</v>
      </c>
      <c r="C198" s="141">
        <f>[51]GtS!$I$59</f>
        <v>20</v>
      </c>
      <c r="D198" s="137">
        <f t="shared" si="48"/>
        <v>158</v>
      </c>
      <c r="E198" s="132">
        <f>[52]GtS!$I$19</f>
        <v>136</v>
      </c>
      <c r="F198" s="141">
        <f>[52]GtS!$I$63</f>
        <v>20</v>
      </c>
      <c r="G198" s="137">
        <f t="shared" si="49"/>
        <v>156</v>
      </c>
      <c r="H198" s="132">
        <f>[53]GtS!$I$19</f>
        <v>135</v>
      </c>
      <c r="I198" s="141">
        <f>[53]GtS!$I$63</f>
        <v>20</v>
      </c>
      <c r="J198" s="137">
        <f t="shared" si="50"/>
        <v>155</v>
      </c>
      <c r="K198" s="132">
        <f>[54]GtS!$I$19</f>
        <v>135</v>
      </c>
      <c r="L198" s="141">
        <f>[54]GtS!$I$63</f>
        <v>21</v>
      </c>
      <c r="M198" s="137">
        <f t="shared" si="51"/>
        <v>156</v>
      </c>
      <c r="N198" s="132">
        <f>[55]GtS!$I$19</f>
        <v>135</v>
      </c>
      <c r="O198" s="141">
        <f>[55]GtS!$I$63</f>
        <v>20</v>
      </c>
      <c r="P198" s="137">
        <f t="shared" si="52"/>
        <v>155</v>
      </c>
    </row>
    <row r="199" spans="1:16">
      <c r="A199" s="133" t="s">
        <v>93</v>
      </c>
      <c r="B199" s="132">
        <f>[76]GtS!$I$17</f>
        <v>111</v>
      </c>
      <c r="C199" s="141">
        <f>[76]GtS!$I$59</f>
        <v>0</v>
      </c>
      <c r="D199" s="137">
        <f t="shared" si="48"/>
        <v>111</v>
      </c>
      <c r="E199" s="132">
        <f>[77]GtS!$I$19</f>
        <v>110</v>
      </c>
      <c r="F199" s="141">
        <f>[77]GtS!$I$63</f>
        <v>0</v>
      </c>
      <c r="G199" s="137">
        <f t="shared" si="49"/>
        <v>110</v>
      </c>
      <c r="H199" s="132">
        <f>[78]GtS!$I$19</f>
        <v>98</v>
      </c>
      <c r="I199" s="141">
        <f>[78]GtS!$I$63</f>
        <v>0</v>
      </c>
      <c r="J199" s="137">
        <f t="shared" si="50"/>
        <v>98</v>
      </c>
      <c r="K199" s="132">
        <f>[79]GtS!$I$19</f>
        <v>96</v>
      </c>
      <c r="L199" s="141">
        <f>[79]GtS!$I$63</f>
        <v>0</v>
      </c>
      <c r="M199" s="137">
        <f t="shared" si="51"/>
        <v>96</v>
      </c>
      <c r="N199" s="132">
        <f>[80]GtS!$I$19</f>
        <v>94</v>
      </c>
      <c r="O199" s="141">
        <f>[80]GtS!$I$63</f>
        <v>0</v>
      </c>
      <c r="P199" s="137">
        <f t="shared" si="52"/>
        <v>94</v>
      </c>
    </row>
    <row r="200" spans="1:16">
      <c r="A200" s="133" t="s">
        <v>94</v>
      </c>
      <c r="B200" s="132">
        <f>[56]GtS!$I$17</f>
        <v>120</v>
      </c>
      <c r="C200" s="141">
        <f>[56]GtS!$I$59</f>
        <v>15</v>
      </c>
      <c r="D200" s="137">
        <f t="shared" si="48"/>
        <v>135</v>
      </c>
      <c r="E200" s="132">
        <f>[57]GtS!$I$19</f>
        <v>112</v>
      </c>
      <c r="F200" s="141">
        <f>[57]GtS!$I$63</f>
        <v>16</v>
      </c>
      <c r="G200" s="137">
        <f t="shared" si="49"/>
        <v>128</v>
      </c>
      <c r="H200" s="132">
        <f>[58]GtS!$I$19</f>
        <v>108</v>
      </c>
      <c r="I200" s="141">
        <f>[58]GtS!$I$63</f>
        <v>21</v>
      </c>
      <c r="J200" s="137">
        <f t="shared" si="50"/>
        <v>129</v>
      </c>
      <c r="K200" s="132">
        <f>[59]GtS!$I$19</f>
        <v>104</v>
      </c>
      <c r="L200" s="141">
        <f>[59]GtS!$I$63</f>
        <v>28</v>
      </c>
      <c r="M200" s="137">
        <f t="shared" si="51"/>
        <v>132</v>
      </c>
      <c r="N200" s="132">
        <f>[60]GtS!$I$19</f>
        <v>99</v>
      </c>
      <c r="O200" s="141">
        <f>[60]GtS!$I$63</f>
        <v>15</v>
      </c>
      <c r="P200" s="137">
        <f t="shared" si="52"/>
        <v>114</v>
      </c>
    </row>
    <row r="201" spans="1:16">
      <c r="A201" s="133" t="s">
        <v>95</v>
      </c>
      <c r="B201" s="132">
        <f>[61]GtS!$I$17</f>
        <v>59</v>
      </c>
      <c r="C201" s="141">
        <f>[61]GtS!$I$59</f>
        <v>22</v>
      </c>
      <c r="D201" s="137">
        <f t="shared" si="48"/>
        <v>81</v>
      </c>
      <c r="E201" s="132">
        <f>[62]GtS!$I$19</f>
        <v>59</v>
      </c>
      <c r="F201" s="141">
        <f>[62]GtS!$I$63</f>
        <v>22</v>
      </c>
      <c r="G201" s="137">
        <f t="shared" si="49"/>
        <v>81</v>
      </c>
      <c r="H201" s="132">
        <f>[63]GtS!$I$19</f>
        <v>59</v>
      </c>
      <c r="I201" s="141">
        <f>[63]GtS!$I$63</f>
        <v>22</v>
      </c>
      <c r="J201" s="137">
        <f t="shared" si="50"/>
        <v>81</v>
      </c>
      <c r="K201" s="132">
        <f>[64]GtS!$I$19</f>
        <v>59</v>
      </c>
      <c r="L201" s="141">
        <f>[64]GtS!$I$63</f>
        <v>22</v>
      </c>
      <c r="M201" s="137">
        <f t="shared" si="51"/>
        <v>81</v>
      </c>
      <c r="N201" s="132">
        <f>[65]GtS!$I$19</f>
        <v>56</v>
      </c>
      <c r="O201" s="141">
        <f>[65]GtS!$I$63</f>
        <v>24</v>
      </c>
      <c r="P201" s="137">
        <f t="shared" si="52"/>
        <v>80</v>
      </c>
    </row>
    <row r="202" spans="1:16" ht="13.5" thickBot="1">
      <c r="A202" s="134" t="s">
        <v>96</v>
      </c>
      <c r="B202" s="132">
        <f>SUM(B186:B201)</f>
        <v>2604</v>
      </c>
      <c r="C202" s="141">
        <f>SUM(C186:C201)-C194-C192-C199</f>
        <v>557</v>
      </c>
      <c r="D202" s="137">
        <f>SUM(B202:C202)</f>
        <v>3161</v>
      </c>
      <c r="E202" s="132">
        <f>SUM(E186:E201)</f>
        <v>2537</v>
      </c>
      <c r="F202" s="141">
        <f>SUM(F186:F201)-F194-F192-F199</f>
        <v>547</v>
      </c>
      <c r="G202" s="137">
        <f>SUM(E202:F202)</f>
        <v>3084</v>
      </c>
      <c r="H202" s="132">
        <f>SUM(H186:H201)</f>
        <v>2453</v>
      </c>
      <c r="I202" s="141">
        <f>SUM(I186:I201)-I194-I192-I199</f>
        <v>551</v>
      </c>
      <c r="J202" s="137">
        <f>SUM(H202:I202)</f>
        <v>3004</v>
      </c>
      <c r="K202" s="132">
        <f>SUM(K186:K201)</f>
        <v>2337</v>
      </c>
      <c r="L202" s="141">
        <f>SUM(L186:L201)-L194-L192-L199</f>
        <v>573</v>
      </c>
      <c r="M202" s="137">
        <f>SUM(K202:L202)</f>
        <v>2910</v>
      </c>
      <c r="N202" s="132">
        <f>SUM(N186:N201)</f>
        <v>2246</v>
      </c>
      <c r="O202" s="141">
        <f>SUM(O186:O201)-O194-O192-O199</f>
        <v>564</v>
      </c>
      <c r="P202" s="137">
        <f>SUM(N202:O202)</f>
        <v>2810</v>
      </c>
    </row>
    <row r="203" spans="1:16" ht="13.5" thickTop="1">
      <c r="A203" s="66"/>
    </row>
    <row r="204" spans="1:16">
      <c r="A204" s="253"/>
    </row>
    <row r="205" spans="1:16">
      <c r="A205" s="127"/>
    </row>
    <row r="206" spans="1:16">
      <c r="A206" s="127"/>
    </row>
    <row r="207" spans="1:16">
      <c r="A207" s="130"/>
    </row>
    <row r="208" spans="1:16">
      <c r="A208" s="130"/>
    </row>
    <row r="209" spans="1:1">
      <c r="A209" s="130"/>
    </row>
    <row r="210" spans="1:1">
      <c r="A210" s="130"/>
    </row>
    <row r="211" spans="1:1">
      <c r="A211" s="130"/>
    </row>
    <row r="212" spans="1:1">
      <c r="A212" s="130"/>
    </row>
    <row r="213" spans="1:1">
      <c r="A213" s="130"/>
    </row>
    <row r="214" spans="1:1">
      <c r="A214" s="130"/>
    </row>
    <row r="215" spans="1:1">
      <c r="A215" s="130"/>
    </row>
  </sheetData>
  <mergeCells count="16">
    <mergeCell ref="N3:P3"/>
    <mergeCell ref="A41:P41"/>
    <mergeCell ref="A23:P23"/>
    <mergeCell ref="A5:P5"/>
    <mergeCell ref="A77:P77"/>
    <mergeCell ref="A59:P59"/>
    <mergeCell ref="K3:M3"/>
    <mergeCell ref="E3:G3"/>
    <mergeCell ref="H3:J3"/>
    <mergeCell ref="B3:D3"/>
    <mergeCell ref="A185:P185"/>
    <mergeCell ref="A95:P95"/>
    <mergeCell ref="A113:P113"/>
    <mergeCell ref="A131:P131"/>
    <mergeCell ref="A149:P149"/>
    <mergeCell ref="A167:P167"/>
  </mergeCells>
  <phoneticPr fontId="18" type="noConversion"/>
  <printOptions headings="1"/>
  <pageMargins left="0.78740157480314965" right="0.78740157480314965" top="0.98425196850393704" bottom="0.98425196850393704" header="0.51181102362204722" footer="0.51181102362204722"/>
  <pageSetup paperSize="8" scale="65" orientation="portrait" r:id="rId1"/>
  <headerFooter alignWithMargins="0"/>
  <rowBreaks count="2" manualBreakCount="2">
    <brk id="94" max="15" man="1"/>
    <brk id="202" max="15" man="1"/>
  </rowBreaks>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tabColor theme="6" tint="0.39997558519241921"/>
  </sheetPr>
  <dimension ref="A1:P226"/>
  <sheetViews>
    <sheetView view="pageBreakPreview" zoomScaleNormal="100" zoomScaleSheetLayoutView="100" workbookViewId="0">
      <pane ySplit="4" topLeftCell="A5" activePane="bottomLeft" state="frozen"/>
      <selection sqref="A1:D1"/>
      <selection pane="bottomLeft" activeCell="A5" sqref="A5:P5"/>
    </sheetView>
  </sheetViews>
  <sheetFormatPr baseColWidth="10" defaultRowHeight="12.75"/>
  <cols>
    <col min="5" max="7" width="11.42578125" style="242"/>
    <col min="8" max="10" width="11.42578125" style="245"/>
    <col min="11" max="13" width="11.42578125" style="320"/>
    <col min="14" max="16" width="11.42578125" style="355"/>
  </cols>
  <sheetData>
    <row r="1" spans="1:16">
      <c r="A1" s="319" t="s">
        <v>156</v>
      </c>
    </row>
    <row r="2" spans="1:16" ht="18.75" thickBot="1">
      <c r="A2" s="326" t="s">
        <v>155</v>
      </c>
    </row>
    <row r="3" spans="1:16" ht="13.5" thickTop="1">
      <c r="A3" s="138"/>
      <c r="B3" s="427">
        <v>2012</v>
      </c>
      <c r="C3" s="427"/>
      <c r="D3" s="428"/>
      <c r="E3" s="427">
        <v>2013</v>
      </c>
      <c r="F3" s="427"/>
      <c r="G3" s="428"/>
      <c r="H3" s="427">
        <v>2014</v>
      </c>
      <c r="I3" s="427"/>
      <c r="J3" s="428"/>
      <c r="K3" s="427">
        <v>2015</v>
      </c>
      <c r="L3" s="427"/>
      <c r="M3" s="428"/>
      <c r="N3" s="427">
        <v>2016</v>
      </c>
      <c r="O3" s="427"/>
      <c r="P3" s="428"/>
    </row>
    <row r="4" spans="1:16">
      <c r="A4" s="139"/>
      <c r="B4" s="205" t="s">
        <v>151</v>
      </c>
      <c r="C4" s="205" t="s">
        <v>152</v>
      </c>
      <c r="D4" s="205" t="s">
        <v>179</v>
      </c>
      <c r="E4" s="205" t="s">
        <v>151</v>
      </c>
      <c r="F4" s="205" t="s">
        <v>152</v>
      </c>
      <c r="G4" s="205" t="s">
        <v>179</v>
      </c>
      <c r="H4" s="205" t="s">
        <v>151</v>
      </c>
      <c r="I4" s="205" t="s">
        <v>152</v>
      </c>
      <c r="J4" s="205" t="s">
        <v>179</v>
      </c>
      <c r="K4" s="205" t="s">
        <v>151</v>
      </c>
      <c r="L4" s="205" t="s">
        <v>152</v>
      </c>
      <c r="M4" s="205" t="s">
        <v>179</v>
      </c>
      <c r="N4" s="205" t="s">
        <v>151</v>
      </c>
      <c r="O4" s="205" t="s">
        <v>152</v>
      </c>
      <c r="P4" s="205" t="s">
        <v>179</v>
      </c>
    </row>
    <row r="5" spans="1:16">
      <c r="A5" s="433" t="s">
        <v>149</v>
      </c>
      <c r="B5" s="434"/>
      <c r="C5" s="434"/>
      <c r="D5" s="434"/>
      <c r="E5" s="434"/>
      <c r="F5" s="434"/>
      <c r="G5" s="434"/>
      <c r="H5" s="434"/>
      <c r="I5" s="434"/>
      <c r="J5" s="434"/>
      <c r="K5" s="434"/>
      <c r="L5" s="434"/>
      <c r="M5" s="434"/>
      <c r="N5" s="434"/>
      <c r="O5" s="434"/>
      <c r="P5" s="434"/>
    </row>
    <row r="6" spans="1:16">
      <c r="A6" s="142" t="s">
        <v>80</v>
      </c>
      <c r="B6" s="143">
        <f t="shared" ref="B6:B21" si="0">D6-C6</f>
        <v>356007</v>
      </c>
      <c r="C6" s="144">
        <f>[1]SKL!$R$12</f>
        <v>9449</v>
      </c>
      <c r="D6" s="145">
        <f>[1]SKL!$D$12</f>
        <v>365456</v>
      </c>
      <c r="E6" s="143">
        <f t="shared" ref="E6:E21" si="1">G6-F6</f>
        <v>338379</v>
      </c>
      <c r="F6" s="144">
        <f>[2]SKL!$R$12</f>
        <v>9366</v>
      </c>
      <c r="G6" s="145">
        <f>[2]SKL!$D$12</f>
        <v>347745</v>
      </c>
      <c r="H6" s="143">
        <f t="shared" ref="H6:H21" si="2">J6-I6</f>
        <v>324193</v>
      </c>
      <c r="I6" s="144">
        <f>[3]SKL!$R$12</f>
        <v>9475</v>
      </c>
      <c r="J6" s="145">
        <f>[3]SKL!$D$12</f>
        <v>333668</v>
      </c>
      <c r="K6" s="143">
        <f t="shared" ref="K6:K21" si="3">M6-L6</f>
        <v>317776</v>
      </c>
      <c r="L6" s="144">
        <f>[4]SKL!$R$12</f>
        <v>9711</v>
      </c>
      <c r="M6" s="145">
        <f>[4]SKL!$D$12</f>
        <v>327487</v>
      </c>
      <c r="N6" s="143">
        <f t="shared" ref="N6:N21" si="4">P6-O6</f>
        <v>319971</v>
      </c>
      <c r="O6" s="144">
        <f>[5]SKL!$R$12</f>
        <v>9631</v>
      </c>
      <c r="P6" s="145">
        <f>[5]SKL!$D$12</f>
        <v>329602</v>
      </c>
    </row>
    <row r="7" spans="1:16">
      <c r="A7" s="142" t="s">
        <v>81</v>
      </c>
      <c r="B7" s="143">
        <f t="shared" si="0"/>
        <v>407053</v>
      </c>
      <c r="C7" s="144">
        <f>[6]SKL!$R$12</f>
        <v>15362</v>
      </c>
      <c r="D7" s="145">
        <f>[6]SKL!$D$12</f>
        <v>422415</v>
      </c>
      <c r="E7" s="143">
        <f t="shared" si="1"/>
        <v>401528</v>
      </c>
      <c r="F7" s="144">
        <f>[7]SKL!$R$12</f>
        <v>15492</v>
      </c>
      <c r="G7" s="145">
        <f>[7]SKL!$D$12</f>
        <v>417020</v>
      </c>
      <c r="H7" s="143">
        <f t="shared" si="2"/>
        <v>404556</v>
      </c>
      <c r="I7" s="144">
        <f>[8]SKL!$R$12</f>
        <v>15561</v>
      </c>
      <c r="J7" s="145">
        <f>[8]SKL!$D$12</f>
        <v>420117</v>
      </c>
      <c r="K7" s="143">
        <f t="shared" si="3"/>
        <v>408453</v>
      </c>
      <c r="L7" s="144">
        <f>[9]SKL!$R$12</f>
        <v>15833</v>
      </c>
      <c r="M7" s="145">
        <f>[9]SKL!$D$12</f>
        <v>424286</v>
      </c>
      <c r="N7" s="143">
        <f t="shared" si="4"/>
        <v>416126</v>
      </c>
      <c r="O7" s="144">
        <f>[10]SKL!$R$12</f>
        <v>16063</v>
      </c>
      <c r="P7" s="145">
        <f>[10]SKL!$D$12</f>
        <v>432189</v>
      </c>
    </row>
    <row r="8" spans="1:16">
      <c r="A8" s="142" t="s">
        <v>82</v>
      </c>
      <c r="B8" s="143">
        <f t="shared" si="0"/>
        <v>95465</v>
      </c>
      <c r="C8" s="144">
        <f>[11]SKL!$R$12</f>
        <v>7471</v>
      </c>
      <c r="D8" s="145">
        <f>[11]SKL!$D$12</f>
        <v>102936</v>
      </c>
      <c r="E8" s="143">
        <f t="shared" si="1"/>
        <v>98964</v>
      </c>
      <c r="F8" s="144">
        <f>[12]SKL!$R$12</f>
        <v>7963</v>
      </c>
      <c r="G8" s="145">
        <f>[12]SKL!$D$12</f>
        <v>106927</v>
      </c>
      <c r="H8" s="143">
        <f t="shared" si="2"/>
        <v>101722</v>
      </c>
      <c r="I8" s="144">
        <f>[13]SKL!$R$12</f>
        <v>8398</v>
      </c>
      <c r="J8" s="145">
        <f>[13]SKL!$D$12</f>
        <v>110120</v>
      </c>
      <c r="K8" s="143">
        <f t="shared" si="3"/>
        <v>104806</v>
      </c>
      <c r="L8" s="144">
        <f>[14]SKL!$R$12</f>
        <v>8462</v>
      </c>
      <c r="M8" s="145">
        <f>[14]SKL!$D$12</f>
        <v>113268</v>
      </c>
      <c r="N8" s="143">
        <f t="shared" si="4"/>
        <v>108756</v>
      </c>
      <c r="O8" s="144">
        <f>[15]SKL!$R$12</f>
        <v>8531</v>
      </c>
      <c r="P8" s="145">
        <f>[15]SKL!$D$12</f>
        <v>117287</v>
      </c>
    </row>
    <row r="9" spans="1:16">
      <c r="A9" s="142" t="s">
        <v>83</v>
      </c>
      <c r="B9" s="143">
        <f t="shared" si="0"/>
        <v>70810</v>
      </c>
      <c r="C9" s="144">
        <f>[16]SKL!$R$12</f>
        <v>5962</v>
      </c>
      <c r="D9" s="145">
        <f>[16]SKL!$D$12</f>
        <v>76772</v>
      </c>
      <c r="E9" s="143">
        <f t="shared" si="1"/>
        <v>71244</v>
      </c>
      <c r="F9" s="144">
        <f>[17]SKL!$R$12</f>
        <v>6129</v>
      </c>
      <c r="G9" s="145">
        <f>[17]SKL!$D$12</f>
        <v>77373</v>
      </c>
      <c r="H9" s="143">
        <f t="shared" si="2"/>
        <v>72864</v>
      </c>
      <c r="I9" s="144">
        <f>[18]SKL!$R$12</f>
        <v>6234</v>
      </c>
      <c r="J9" s="145">
        <f>[18]SKL!$D$12</f>
        <v>79098</v>
      </c>
      <c r="K9" s="143">
        <f t="shared" si="3"/>
        <v>75218</v>
      </c>
      <c r="L9" s="144">
        <f>[19]SKL!$R$12</f>
        <v>6364</v>
      </c>
      <c r="M9" s="145">
        <f>[19]SKL!$D$12</f>
        <v>81582</v>
      </c>
      <c r="N9" s="143">
        <f t="shared" si="4"/>
        <v>78697</v>
      </c>
      <c r="O9" s="144">
        <f>[20]SKL!$R$12</f>
        <v>6463</v>
      </c>
      <c r="P9" s="145">
        <f>[20]SKL!$D$12</f>
        <v>85160</v>
      </c>
    </row>
    <row r="10" spans="1:16" ht="10.15" customHeight="1">
      <c r="A10" s="142" t="s">
        <v>84</v>
      </c>
      <c r="B10" s="143">
        <f t="shared" si="0"/>
        <v>19046</v>
      </c>
      <c r="C10" s="144">
        <f>[21]SKL!$R$12</f>
        <v>1780</v>
      </c>
      <c r="D10" s="145">
        <f>[21]SKL!$D$12</f>
        <v>20826</v>
      </c>
      <c r="E10" s="143">
        <f t="shared" si="1"/>
        <v>19223</v>
      </c>
      <c r="F10" s="144">
        <f>[22]SKL!$R$12</f>
        <v>1694</v>
      </c>
      <c r="G10" s="145">
        <f>[22]SKL!$D$12</f>
        <v>20917</v>
      </c>
      <c r="H10" s="143">
        <f t="shared" si="2"/>
        <v>19685</v>
      </c>
      <c r="I10" s="144">
        <f>[23]SKL!$R$12</f>
        <v>1637</v>
      </c>
      <c r="J10" s="145">
        <f>[23]SKL!$D$12</f>
        <v>21322</v>
      </c>
      <c r="K10" s="143">
        <f t="shared" si="3"/>
        <v>20222</v>
      </c>
      <c r="L10" s="144">
        <f>[24]SKL!$R$12</f>
        <v>1572</v>
      </c>
      <c r="M10" s="145">
        <f>[24]SKL!$D$12</f>
        <v>21794</v>
      </c>
      <c r="N10" s="143">
        <f t="shared" si="4"/>
        <v>20993</v>
      </c>
      <c r="O10" s="144">
        <f>[25]SKL!$R$12</f>
        <v>1512</v>
      </c>
      <c r="P10" s="145">
        <f>[25]SKL!$D$12</f>
        <v>22505</v>
      </c>
    </row>
    <row r="11" spans="1:16">
      <c r="A11" s="142" t="s">
        <v>85</v>
      </c>
      <c r="B11" s="143">
        <f t="shared" si="0"/>
        <v>47631</v>
      </c>
      <c r="C11" s="144">
        <f>[26]SKL!$R$12</f>
        <v>5033</v>
      </c>
      <c r="D11" s="145">
        <f>[26]SKL!$D$12</f>
        <v>52664</v>
      </c>
      <c r="E11" s="143">
        <f t="shared" si="1"/>
        <v>48138</v>
      </c>
      <c r="F11" s="144">
        <f>[27]SKL!$R$12</f>
        <v>5203</v>
      </c>
      <c r="G11" s="145">
        <f>[27]SKL!$D$12</f>
        <v>53341</v>
      </c>
      <c r="H11" s="143">
        <f t="shared" si="2"/>
        <v>49088</v>
      </c>
      <c r="I11" s="144">
        <f>[28]SKL!$R$12</f>
        <v>5381</v>
      </c>
      <c r="J11" s="145">
        <f>[28]SKL!$D$12</f>
        <v>54469</v>
      </c>
      <c r="K11" s="143">
        <f t="shared" si="3"/>
        <v>49953</v>
      </c>
      <c r="L11" s="144">
        <f>[29]SKL!$R$12</f>
        <v>5359</v>
      </c>
      <c r="M11" s="145">
        <f>[29]SKL!$D$12</f>
        <v>55312</v>
      </c>
      <c r="N11" s="143">
        <f t="shared" si="4"/>
        <v>51656</v>
      </c>
      <c r="O11" s="144">
        <f>[30]SKL!$R$12</f>
        <v>5487</v>
      </c>
      <c r="P11" s="145">
        <f>[30]SKL!$D$12</f>
        <v>57143</v>
      </c>
    </row>
    <row r="12" spans="1:16">
      <c r="A12" s="142" t="s">
        <v>86</v>
      </c>
      <c r="B12" s="143">
        <f t="shared" si="0"/>
        <v>200534</v>
      </c>
      <c r="C12" s="144">
        <f>[66]SKL!$R$12</f>
        <v>5109</v>
      </c>
      <c r="D12" s="145">
        <f>[66]SKL!$D$12</f>
        <v>205643</v>
      </c>
      <c r="E12" s="143">
        <f t="shared" si="1"/>
        <v>199205</v>
      </c>
      <c r="F12" s="144">
        <f>[67]SKL!$R$12</f>
        <v>5419</v>
      </c>
      <c r="G12" s="145">
        <f>[67]SKL!$D$12</f>
        <v>204624</v>
      </c>
      <c r="H12" s="143">
        <f t="shared" si="2"/>
        <v>201281</v>
      </c>
      <c r="I12" s="144">
        <f>[68]SKL!$R$12</f>
        <v>5706</v>
      </c>
      <c r="J12" s="145">
        <f>[68]SKL!$D$12</f>
        <v>206987</v>
      </c>
      <c r="K12" s="143">
        <f t="shared" si="3"/>
        <v>203084</v>
      </c>
      <c r="L12" s="144">
        <f>[69]SKL!$R$12</f>
        <v>5954</v>
      </c>
      <c r="M12" s="145">
        <f>[69]SKL!$D$12</f>
        <v>209038</v>
      </c>
      <c r="N12" s="143">
        <f t="shared" si="4"/>
        <v>207538</v>
      </c>
      <c r="O12" s="144">
        <f>[70]SKL!$R$12</f>
        <v>6215</v>
      </c>
      <c r="P12" s="145">
        <f>[70]SKL!$D$12</f>
        <v>213753</v>
      </c>
    </row>
    <row r="13" spans="1:16">
      <c r="A13" s="142" t="s">
        <v>87</v>
      </c>
      <c r="B13" s="143">
        <f t="shared" si="0"/>
        <v>44298</v>
      </c>
      <c r="C13" s="144">
        <f>[31]SKL!$R$12</f>
        <v>4790</v>
      </c>
      <c r="D13" s="145">
        <f>[31]SKL!$D$12</f>
        <v>49088</v>
      </c>
      <c r="E13" s="143">
        <f t="shared" si="1"/>
        <v>44314</v>
      </c>
      <c r="F13" s="144">
        <f>[32]SKL!$R$12</f>
        <v>5044</v>
      </c>
      <c r="G13" s="145">
        <f>[32]SKL!$D$12</f>
        <v>49358</v>
      </c>
      <c r="H13" s="143">
        <f t="shared" si="2"/>
        <v>44977</v>
      </c>
      <c r="I13" s="144">
        <f>[33]SKL!$R$12</f>
        <v>5170</v>
      </c>
      <c r="J13" s="145">
        <f>[33]SKL!$D$12</f>
        <v>50147</v>
      </c>
      <c r="K13" s="143">
        <f t="shared" si="3"/>
        <v>46372</v>
      </c>
      <c r="L13" s="144">
        <f>[34]SKL!$R$12</f>
        <v>5409</v>
      </c>
      <c r="M13" s="145">
        <f>[34]SKL!$D$12</f>
        <v>51781</v>
      </c>
      <c r="N13" s="143">
        <f t="shared" si="4"/>
        <v>47948</v>
      </c>
      <c r="O13" s="144">
        <f>[35]SKL!$R$12</f>
        <v>5608</v>
      </c>
      <c r="P13" s="145">
        <f>[35]SKL!$D$12</f>
        <v>53556</v>
      </c>
    </row>
    <row r="14" spans="1:16">
      <c r="A14" s="142" t="s">
        <v>88</v>
      </c>
      <c r="B14" s="143">
        <f t="shared" si="0"/>
        <v>287918</v>
      </c>
      <c r="C14" s="144">
        <f>[71]SKL!$R$12</f>
        <v>1928</v>
      </c>
      <c r="D14" s="145">
        <f>[71]SKL!$D$12</f>
        <v>289846</v>
      </c>
      <c r="E14" s="143">
        <f t="shared" si="1"/>
        <v>284142</v>
      </c>
      <c r="F14" s="144">
        <f>[72]SKL!$R$12</f>
        <v>2073</v>
      </c>
      <c r="G14" s="145">
        <f>[72]SKL!$D$12</f>
        <v>286215</v>
      </c>
      <c r="H14" s="143">
        <f t="shared" si="2"/>
        <v>280805</v>
      </c>
      <c r="I14" s="144">
        <f>[73]SKL!$R$12</f>
        <v>2183</v>
      </c>
      <c r="J14" s="145">
        <f>[73]SKL!$D$12</f>
        <v>282988</v>
      </c>
      <c r="K14" s="143">
        <f t="shared" si="3"/>
        <v>278140</v>
      </c>
      <c r="L14" s="144">
        <f>[74]SKL!$R$12</f>
        <v>2304</v>
      </c>
      <c r="M14" s="145">
        <f>[74]SKL!$D$12</f>
        <v>280444</v>
      </c>
      <c r="N14" s="143">
        <f t="shared" si="4"/>
        <v>280026</v>
      </c>
      <c r="O14" s="144">
        <f>[75]SKL!$R$12</f>
        <v>2457</v>
      </c>
      <c r="P14" s="145">
        <f>[75]SKL!$D$12</f>
        <v>282483</v>
      </c>
    </row>
    <row r="15" spans="1:16">
      <c r="A15" s="142" t="s">
        <v>89</v>
      </c>
      <c r="B15" s="143">
        <f t="shared" si="0"/>
        <v>632545</v>
      </c>
      <c r="C15" s="144">
        <f>[36]SKL!$R$12</f>
        <v>7244</v>
      </c>
      <c r="D15" s="145">
        <f>[36]SKL!$D$12</f>
        <v>639789</v>
      </c>
      <c r="E15" s="143">
        <f t="shared" si="1"/>
        <v>617860</v>
      </c>
      <c r="F15" s="144">
        <f>[37]SKL!$R$12</f>
        <v>7600</v>
      </c>
      <c r="G15" s="145">
        <f>[37]SKL!$D$12</f>
        <v>625460</v>
      </c>
      <c r="H15" s="143">
        <f t="shared" si="2"/>
        <v>617310</v>
      </c>
      <c r="I15" s="144">
        <f>[38]SKL!$R$12</f>
        <v>7913</v>
      </c>
      <c r="J15" s="145">
        <f>[38]SKL!$D$12</f>
        <v>625223</v>
      </c>
      <c r="K15" s="143">
        <f t="shared" si="3"/>
        <v>611472</v>
      </c>
      <c r="L15" s="144">
        <f>[39]SKL!$R$12</f>
        <v>8289</v>
      </c>
      <c r="M15" s="145">
        <f>[39]SKL!$D$12</f>
        <v>619761</v>
      </c>
      <c r="N15" s="143">
        <f t="shared" si="4"/>
        <v>624142</v>
      </c>
      <c r="O15" s="144">
        <f>[40]SKL!$R$12</f>
        <v>8654</v>
      </c>
      <c r="P15" s="145">
        <f>[40]SKL!$D$12</f>
        <v>632796</v>
      </c>
    </row>
    <row r="16" spans="1:16">
      <c r="A16" s="142" t="s">
        <v>90</v>
      </c>
      <c r="B16" s="143">
        <f t="shared" si="0"/>
        <v>132768</v>
      </c>
      <c r="C16" s="144">
        <f>[41]SKL!$R$12</f>
        <v>2624</v>
      </c>
      <c r="D16" s="145">
        <f>[41]SKL!$D$12</f>
        <v>135392</v>
      </c>
      <c r="E16" s="143">
        <f t="shared" si="1"/>
        <v>130359</v>
      </c>
      <c r="F16" s="144">
        <f>[42]SKL!$R$12</f>
        <v>2661</v>
      </c>
      <c r="G16" s="145">
        <f>[42]SKL!$D$12</f>
        <v>133020</v>
      </c>
      <c r="H16" s="143">
        <f t="shared" si="2"/>
        <v>130969</v>
      </c>
      <c r="I16" s="144">
        <f>[43]SKL!$R$12</f>
        <v>2738</v>
      </c>
      <c r="J16" s="145">
        <f>[43]SKL!$D$12</f>
        <v>133707</v>
      </c>
      <c r="K16" s="143">
        <f t="shared" si="3"/>
        <v>132027</v>
      </c>
      <c r="L16" s="144">
        <f>[44]SKL!$R$12</f>
        <v>2825</v>
      </c>
      <c r="M16" s="145">
        <f>[44]SKL!$D$12</f>
        <v>134852</v>
      </c>
      <c r="N16" s="143">
        <f t="shared" si="4"/>
        <v>134801</v>
      </c>
      <c r="O16" s="144">
        <f>[45]SKL!$R$12</f>
        <v>2926</v>
      </c>
      <c r="P16" s="145">
        <f>[45]SKL!$D$12</f>
        <v>137727</v>
      </c>
    </row>
    <row r="17" spans="1:16">
      <c r="A17" s="142" t="s">
        <v>91</v>
      </c>
      <c r="B17" s="143">
        <f t="shared" si="0"/>
        <v>29608</v>
      </c>
      <c r="C17" s="144">
        <f>[46]SKL!$R$12</f>
        <v>430</v>
      </c>
      <c r="D17" s="145">
        <f>[46]SKL!$D$12</f>
        <v>30038</v>
      </c>
      <c r="E17" s="143">
        <f t="shared" si="1"/>
        <v>28987</v>
      </c>
      <c r="F17" s="144">
        <f>[47]SKL!$R$12</f>
        <v>724</v>
      </c>
      <c r="G17" s="145">
        <f>[47]SKL!$D$12</f>
        <v>29711</v>
      </c>
      <c r="H17" s="143">
        <f t="shared" si="2"/>
        <v>29404</v>
      </c>
      <c r="I17" s="144">
        <f>[48]SKL!$R$12</f>
        <v>508</v>
      </c>
      <c r="J17" s="145">
        <f>[48]SKL!$D$12</f>
        <v>29912</v>
      </c>
      <c r="K17" s="143">
        <f t="shared" si="3"/>
        <v>29154</v>
      </c>
      <c r="L17" s="144">
        <f>[49]SKL!$R$12</f>
        <v>717</v>
      </c>
      <c r="M17" s="145">
        <f>[49]SKL!$D$12</f>
        <v>29871</v>
      </c>
      <c r="N17" s="143">
        <f t="shared" si="4"/>
        <v>30274</v>
      </c>
      <c r="O17" s="144">
        <f>[50]SKL!$R$12</f>
        <v>724</v>
      </c>
      <c r="P17" s="145">
        <f>[50]SKL!$D$12</f>
        <v>30998</v>
      </c>
    </row>
    <row r="18" spans="1:16">
      <c r="A18" s="142" t="s">
        <v>92</v>
      </c>
      <c r="B18" s="143">
        <f t="shared" si="0"/>
        <v>115505</v>
      </c>
      <c r="C18" s="144">
        <f>[51]SKL!$R$12</f>
        <v>8730</v>
      </c>
      <c r="D18" s="145">
        <f>[51]SKL!$D$12</f>
        <v>124235</v>
      </c>
      <c r="E18" s="143">
        <f t="shared" si="1"/>
        <v>117372</v>
      </c>
      <c r="F18" s="144">
        <f>[52]SKL!$R$12</f>
        <v>9092</v>
      </c>
      <c r="G18" s="145">
        <f>[52]SKL!$D$12</f>
        <v>126464</v>
      </c>
      <c r="H18" s="143">
        <f t="shared" si="2"/>
        <v>119735</v>
      </c>
      <c r="I18" s="144">
        <f>[53]SKL!$R$12</f>
        <v>9269</v>
      </c>
      <c r="J18" s="145">
        <f>[53]SKL!$D$12</f>
        <v>129004</v>
      </c>
      <c r="K18" s="143">
        <f t="shared" si="3"/>
        <v>122466</v>
      </c>
      <c r="L18" s="144">
        <f>[54]SKL!$R$12</f>
        <v>9525</v>
      </c>
      <c r="M18" s="145">
        <f>[54]SKL!$D$12</f>
        <v>131991</v>
      </c>
      <c r="N18" s="143">
        <f t="shared" si="4"/>
        <v>126859</v>
      </c>
      <c r="O18" s="144">
        <f>[55]SKL!$R$12</f>
        <v>9931</v>
      </c>
      <c r="P18" s="145">
        <f>[55]SKL!$D$12</f>
        <v>136790</v>
      </c>
    </row>
    <row r="19" spans="1:16">
      <c r="A19" s="142" t="s">
        <v>93</v>
      </c>
      <c r="B19" s="143">
        <f t="shared" si="0"/>
        <v>61379</v>
      </c>
      <c r="C19" s="144">
        <f>[76]SKL!$R$12</f>
        <v>4419</v>
      </c>
      <c r="D19" s="145">
        <f>[76]SKL!$D$12</f>
        <v>65798</v>
      </c>
      <c r="E19" s="143">
        <f t="shared" si="1"/>
        <v>61913</v>
      </c>
      <c r="F19" s="144">
        <f>[77]SKL!$R$12</f>
        <v>4540</v>
      </c>
      <c r="G19" s="145">
        <f>[77]SKL!$D$12</f>
        <v>66453</v>
      </c>
      <c r="H19" s="143">
        <f t="shared" si="2"/>
        <v>62895</v>
      </c>
      <c r="I19" s="144">
        <f>[78]SKL!$R$12</f>
        <v>4772</v>
      </c>
      <c r="J19" s="145">
        <f>[78]SKL!$D$12</f>
        <v>67667</v>
      </c>
      <c r="K19" s="143">
        <f t="shared" si="3"/>
        <v>64189</v>
      </c>
      <c r="L19" s="144">
        <f>[79]SKL!$R$12</f>
        <v>5009</v>
      </c>
      <c r="M19" s="145">
        <f>[79]SKL!$D$12</f>
        <v>69198</v>
      </c>
      <c r="N19" s="143">
        <f t="shared" si="4"/>
        <v>66348</v>
      </c>
      <c r="O19" s="144">
        <f>[80]SKL!$R$12</f>
        <v>5196</v>
      </c>
      <c r="P19" s="145">
        <f>[80]SKL!$D$12</f>
        <v>71544</v>
      </c>
    </row>
    <row r="20" spans="1:16">
      <c r="A20" s="142" t="s">
        <v>94</v>
      </c>
      <c r="B20" s="143">
        <f t="shared" si="0"/>
        <v>97869</v>
      </c>
      <c r="C20" s="144">
        <f>[56]SKL!$R$12</f>
        <v>3216</v>
      </c>
      <c r="D20" s="145">
        <f>[56]SKL!$D$12</f>
        <v>101085</v>
      </c>
      <c r="E20" s="143">
        <f t="shared" si="1"/>
        <v>96314</v>
      </c>
      <c r="F20" s="144">
        <f>[57]SKL!$R$12</f>
        <v>3354</v>
      </c>
      <c r="G20" s="145">
        <f>[57]SKL!$D$12</f>
        <v>99668</v>
      </c>
      <c r="H20" s="143">
        <f t="shared" si="2"/>
        <v>96419</v>
      </c>
      <c r="I20" s="144">
        <f>[58]SKL!$R$12</f>
        <v>3328</v>
      </c>
      <c r="J20" s="145">
        <f>[58]SKL!$D$12</f>
        <v>99747</v>
      </c>
      <c r="K20" s="143">
        <f t="shared" si="3"/>
        <v>97293</v>
      </c>
      <c r="L20" s="144">
        <f>[59]SKL!$R$12</f>
        <v>3363</v>
      </c>
      <c r="M20" s="145">
        <f>[59]SKL!$D$12</f>
        <v>100656</v>
      </c>
      <c r="N20" s="143">
        <f t="shared" si="4"/>
        <v>99705</v>
      </c>
      <c r="O20" s="144">
        <f>[60]SKL!$R$12</f>
        <v>3494</v>
      </c>
      <c r="P20" s="145">
        <f>[60]SKL!$D$12</f>
        <v>103199</v>
      </c>
    </row>
    <row r="21" spans="1:16">
      <c r="A21" s="142" t="s">
        <v>95</v>
      </c>
      <c r="B21" s="143">
        <f t="shared" si="0"/>
        <v>61170</v>
      </c>
      <c r="C21" s="144">
        <f>[61]SKL!$R$12</f>
        <v>3226</v>
      </c>
      <c r="D21" s="145">
        <f>[61]SKL!$D$12</f>
        <v>64396</v>
      </c>
      <c r="E21" s="143">
        <f t="shared" si="1"/>
        <v>60781</v>
      </c>
      <c r="F21" s="144">
        <f>[62]SKL!$R$12</f>
        <v>3323</v>
      </c>
      <c r="G21" s="145">
        <f>[62]SKL!$D$12</f>
        <v>64104</v>
      </c>
      <c r="H21" s="143">
        <f t="shared" si="2"/>
        <v>61265</v>
      </c>
      <c r="I21" s="144">
        <f>[63]SKL!$R$12</f>
        <v>3311</v>
      </c>
      <c r="J21" s="145">
        <f>[63]SKL!$D$12</f>
        <v>64576</v>
      </c>
      <c r="K21" s="143">
        <f t="shared" si="3"/>
        <v>61936</v>
      </c>
      <c r="L21" s="144">
        <f>[64]SKL!$R$12</f>
        <v>3434</v>
      </c>
      <c r="M21" s="145">
        <f>[64]SKL!$D$12</f>
        <v>65370</v>
      </c>
      <c r="N21" s="143">
        <f t="shared" si="4"/>
        <v>63133</v>
      </c>
      <c r="O21" s="144">
        <f>[65]SKL!$R$12</f>
        <v>3570</v>
      </c>
      <c r="P21" s="145">
        <f>[65]SKL!$D$12</f>
        <v>66703</v>
      </c>
    </row>
    <row r="22" spans="1:16">
      <c r="A22" s="142" t="s">
        <v>96</v>
      </c>
      <c r="B22" s="132">
        <f>SUM(B6:B21)</f>
        <v>2659606</v>
      </c>
      <c r="C22" s="141">
        <f>SUM(C6:C21)-C14-C12-C19</f>
        <v>75317</v>
      </c>
      <c r="D22" s="137">
        <f>SUM(B22:C22)</f>
        <v>2734923</v>
      </c>
      <c r="E22" s="132">
        <f>SUM(E6:E21)</f>
        <v>2618723</v>
      </c>
      <c r="F22" s="141">
        <f>SUM(F6:F21)-F14-F12-F19</f>
        <v>77645</v>
      </c>
      <c r="G22" s="137">
        <f>SUM(E22:F22)</f>
        <v>2696368</v>
      </c>
      <c r="H22" s="132">
        <f>SUM(H6:H21)</f>
        <v>2617168</v>
      </c>
      <c r="I22" s="141">
        <f>SUM(I6:I21)-I14-I12-I19</f>
        <v>78923</v>
      </c>
      <c r="J22" s="137">
        <f>SUM(H22:I22)</f>
        <v>2696091</v>
      </c>
      <c r="K22" s="132">
        <f>SUM(K6:K21)</f>
        <v>2622561</v>
      </c>
      <c r="L22" s="141">
        <f>SUM(L6:L21)-L14-L12-L19</f>
        <v>80863</v>
      </c>
      <c r="M22" s="137">
        <f>SUM(K22:L22)</f>
        <v>2703424</v>
      </c>
      <c r="N22" s="132">
        <f>SUM(N6:N21)</f>
        <v>2676973</v>
      </c>
      <c r="O22" s="141">
        <f>SUM(O6:O21)-O14-O12-O19</f>
        <v>82594</v>
      </c>
      <c r="P22" s="137">
        <f>SUM(N22:O22)</f>
        <v>2759567</v>
      </c>
    </row>
    <row r="23" spans="1:16">
      <c r="A23" s="429" t="s">
        <v>9</v>
      </c>
      <c r="B23" s="430"/>
      <c r="C23" s="430"/>
      <c r="D23" s="430"/>
      <c r="E23" s="430"/>
      <c r="F23" s="430"/>
      <c r="G23" s="430"/>
      <c r="H23" s="430"/>
      <c r="I23" s="430"/>
      <c r="J23" s="430"/>
      <c r="K23" s="430"/>
      <c r="L23" s="430"/>
      <c r="M23" s="430"/>
      <c r="N23" s="430"/>
      <c r="O23" s="430"/>
      <c r="P23" s="430"/>
    </row>
    <row r="24" spans="1:16">
      <c r="A24" s="146" t="s">
        <v>80</v>
      </c>
      <c r="B24" s="143">
        <f>D24-C24</f>
        <v>400</v>
      </c>
      <c r="C24" s="144">
        <f>[1]SKL!$R$13</f>
        <v>0</v>
      </c>
      <c r="D24" s="145">
        <f>[1]SKL!$D$13</f>
        <v>400</v>
      </c>
      <c r="E24" s="143">
        <f>G24-F24</f>
        <v>354</v>
      </c>
      <c r="F24" s="144">
        <f>[2]SKL!$R$13</f>
        <v>0</v>
      </c>
      <c r="G24" s="145">
        <f>[2]SKL!$D$13</f>
        <v>354</v>
      </c>
      <c r="H24" s="143">
        <f>J24-I24</f>
        <v>329</v>
      </c>
      <c r="I24" s="144">
        <f>[3]SKL!$R$13</f>
        <v>0</v>
      </c>
      <c r="J24" s="145">
        <f>[3]SKL!$D$13</f>
        <v>329</v>
      </c>
      <c r="K24" s="143">
        <f>M24-L24</f>
        <v>341</v>
      </c>
      <c r="L24" s="144">
        <f>[4]SKL!$R$13</f>
        <v>0</v>
      </c>
      <c r="M24" s="145">
        <f>[4]SKL!$D$13</f>
        <v>341</v>
      </c>
      <c r="N24" s="143">
        <f>P24-O24</f>
        <v>376</v>
      </c>
      <c r="O24" s="144">
        <f>[5]SKL!$R$13</f>
        <v>0</v>
      </c>
      <c r="P24" s="145">
        <f>[5]SKL!$D$13</f>
        <v>376</v>
      </c>
    </row>
    <row r="25" spans="1:16">
      <c r="A25" s="146" t="s">
        <v>81</v>
      </c>
      <c r="B25" s="143">
        <f t="shared" ref="B25:B39" si="5">D25-C25</f>
        <v>613</v>
      </c>
      <c r="C25" s="144">
        <f>[6]SKL!$R$13</f>
        <v>0</v>
      </c>
      <c r="D25" s="145">
        <f>[6]SKL!$D$13</f>
        <v>613</v>
      </c>
      <c r="E25" s="143">
        <f t="shared" ref="E25:E39" si="6">G25-F25</f>
        <v>613</v>
      </c>
      <c r="F25" s="144">
        <f>[7]SKL!$R$13</f>
        <v>0</v>
      </c>
      <c r="G25" s="145">
        <f>[7]SKL!$D$13</f>
        <v>613</v>
      </c>
      <c r="H25" s="143">
        <f t="shared" ref="H25:H39" si="7">J25-I25</f>
        <v>611</v>
      </c>
      <c r="I25" s="144">
        <f>[8]SKL!$R$13</f>
        <v>0</v>
      </c>
      <c r="J25" s="145">
        <f>[8]SKL!$D$13</f>
        <v>611</v>
      </c>
      <c r="K25" s="143">
        <f t="shared" ref="K25:K39" si="8">M25-L25</f>
        <v>612</v>
      </c>
      <c r="L25" s="144">
        <f>[9]SKL!$R$13</f>
        <v>0</v>
      </c>
      <c r="M25" s="145">
        <f>[9]SKL!$D$13</f>
        <v>612</v>
      </c>
      <c r="N25" s="143">
        <f t="shared" ref="N25:N39" si="9">P25-O25</f>
        <v>601</v>
      </c>
      <c r="O25" s="144">
        <f>[10]SKL!$R$13</f>
        <v>0</v>
      </c>
      <c r="P25" s="145">
        <f>[10]SKL!$D$13</f>
        <v>601</v>
      </c>
    </row>
    <row r="26" spans="1:16">
      <c r="A26" s="146" t="s">
        <v>82</v>
      </c>
      <c r="B26" s="143">
        <f t="shared" si="5"/>
        <v>41499</v>
      </c>
      <c r="C26" s="144">
        <f>[11]SKL!$R$13</f>
        <v>2934</v>
      </c>
      <c r="D26" s="145">
        <f>[11]SKL!$D$13</f>
        <v>44433</v>
      </c>
      <c r="E26" s="143">
        <f t="shared" si="6"/>
        <v>42302</v>
      </c>
      <c r="F26" s="144">
        <f>[12]SKL!$R$13</f>
        <v>3247</v>
      </c>
      <c r="G26" s="145">
        <f>[12]SKL!$D$13</f>
        <v>45549</v>
      </c>
      <c r="H26" s="143">
        <f t="shared" si="7"/>
        <v>43435</v>
      </c>
      <c r="I26" s="144">
        <f>[13]SKL!$R$13</f>
        <v>3444</v>
      </c>
      <c r="J26" s="145">
        <f>[13]SKL!$D$13</f>
        <v>46879</v>
      </c>
      <c r="K26" s="143">
        <f t="shared" si="8"/>
        <v>44942</v>
      </c>
      <c r="L26" s="144">
        <f>[14]SKL!$R$13</f>
        <v>3515</v>
      </c>
      <c r="M26" s="145">
        <f>[14]SKL!$D$13</f>
        <v>48457</v>
      </c>
      <c r="N26" s="143">
        <f t="shared" si="9"/>
        <v>46916</v>
      </c>
      <c r="O26" s="144">
        <f>[15]SKL!$R$13</f>
        <v>3682</v>
      </c>
      <c r="P26" s="145">
        <f>[15]SKL!$D$13</f>
        <v>50598</v>
      </c>
    </row>
    <row r="27" spans="1:16">
      <c r="A27" s="146" t="s">
        <v>83</v>
      </c>
      <c r="B27" s="143">
        <f t="shared" si="5"/>
        <v>32960</v>
      </c>
      <c r="C27" s="144">
        <f>[16]SKL!$R$13</f>
        <v>2477</v>
      </c>
      <c r="D27" s="145">
        <f>[16]SKL!$D$13</f>
        <v>35437</v>
      </c>
      <c r="E27" s="143">
        <f t="shared" si="6"/>
        <v>33093</v>
      </c>
      <c r="F27" s="144">
        <f>[17]SKL!$R$13</f>
        <v>2648</v>
      </c>
      <c r="G27" s="145">
        <f>[17]SKL!$D$13</f>
        <v>35741</v>
      </c>
      <c r="H27" s="143">
        <f t="shared" si="7"/>
        <v>33472</v>
      </c>
      <c r="I27" s="144">
        <f>[18]SKL!$R$13</f>
        <v>2818</v>
      </c>
      <c r="J27" s="145">
        <f>[18]SKL!$D$13</f>
        <v>36290</v>
      </c>
      <c r="K27" s="143">
        <f t="shared" si="8"/>
        <v>33471</v>
      </c>
      <c r="L27" s="144">
        <f>[19]SKL!$R$13</f>
        <v>2947</v>
      </c>
      <c r="M27" s="145">
        <f>[19]SKL!$D$13</f>
        <v>36418</v>
      </c>
      <c r="N27" s="143">
        <f t="shared" si="9"/>
        <v>34108</v>
      </c>
      <c r="O27" s="144">
        <f>[20]SKL!$R$13</f>
        <v>2966</v>
      </c>
      <c r="P27" s="145">
        <f>[20]SKL!$D$13</f>
        <v>37074</v>
      </c>
    </row>
    <row r="28" spans="1:16">
      <c r="A28" s="146" t="s">
        <v>84</v>
      </c>
      <c r="B28" s="143">
        <f t="shared" si="5"/>
        <v>0</v>
      </c>
      <c r="C28" s="144">
        <f>[21]SKL!$R$13</f>
        <v>0</v>
      </c>
      <c r="D28" s="145">
        <f>[21]SKL!$D$13</f>
        <v>0</v>
      </c>
      <c r="E28" s="143">
        <f t="shared" si="6"/>
        <v>0</v>
      </c>
      <c r="F28" s="144">
        <f>[22]SKL!$R$13</f>
        <v>0</v>
      </c>
      <c r="G28" s="145">
        <f>[22]SKL!$D$13</f>
        <v>0</v>
      </c>
      <c r="H28" s="143">
        <f t="shared" si="7"/>
        <v>0</v>
      </c>
      <c r="I28" s="144">
        <f>[23]SKL!$R$13</f>
        <v>0</v>
      </c>
      <c r="J28" s="145">
        <f>[23]SKL!$D$13</f>
        <v>0</v>
      </c>
      <c r="K28" s="143">
        <f t="shared" si="8"/>
        <v>0</v>
      </c>
      <c r="L28" s="144">
        <f>[24]SKL!$R$13</f>
        <v>0</v>
      </c>
      <c r="M28" s="145">
        <f>[24]SKL!$D$13</f>
        <v>0</v>
      </c>
      <c r="N28" s="143">
        <f t="shared" si="9"/>
        <v>0</v>
      </c>
      <c r="O28" s="144">
        <f>[25]SKL!$R$13</f>
        <v>0</v>
      </c>
      <c r="P28" s="145">
        <f>[25]SKL!$D$13</f>
        <v>0</v>
      </c>
    </row>
    <row r="29" spans="1:16">
      <c r="A29" s="146" t="s">
        <v>85</v>
      </c>
      <c r="B29" s="143">
        <f t="shared" si="5"/>
        <v>282</v>
      </c>
      <c r="C29" s="144">
        <f>[26]SKL!$R$13</f>
        <v>0</v>
      </c>
      <c r="D29" s="145">
        <f>[26]SKL!$D$13</f>
        <v>282</v>
      </c>
      <c r="E29" s="143">
        <f t="shared" si="6"/>
        <v>272</v>
      </c>
      <c r="F29" s="144">
        <f>[27]SKL!$R$13</f>
        <v>36</v>
      </c>
      <c r="G29" s="145">
        <f>[27]SKL!$D$13</f>
        <v>308</v>
      </c>
      <c r="H29" s="143">
        <f t="shared" si="7"/>
        <v>293</v>
      </c>
      <c r="I29" s="144">
        <f>[28]SKL!$R$13</f>
        <v>69</v>
      </c>
      <c r="J29" s="145">
        <f>[28]SKL!$D$13</f>
        <v>362</v>
      </c>
      <c r="K29" s="143">
        <f t="shared" si="8"/>
        <v>337</v>
      </c>
      <c r="L29" s="144">
        <f>[29]SKL!$R$13</f>
        <v>64</v>
      </c>
      <c r="M29" s="145">
        <f>[29]SKL!$D$13</f>
        <v>401</v>
      </c>
      <c r="N29" s="143">
        <f t="shared" si="9"/>
        <v>338</v>
      </c>
      <c r="O29" s="144">
        <f>[30]SKL!$R$13</f>
        <v>68</v>
      </c>
      <c r="P29" s="145">
        <f>[30]SKL!$D$13</f>
        <v>406</v>
      </c>
    </row>
    <row r="30" spans="1:16">
      <c r="A30" s="146" t="s">
        <v>86</v>
      </c>
      <c r="B30" s="143">
        <f t="shared" si="5"/>
        <v>15691</v>
      </c>
      <c r="C30" s="144">
        <f>[66]SKL!$R$13</f>
        <v>480</v>
      </c>
      <c r="D30" s="145">
        <f>[66]SKL!$D$13</f>
        <v>16171</v>
      </c>
      <c r="E30" s="143">
        <f t="shared" si="6"/>
        <v>14613</v>
      </c>
      <c r="F30" s="144">
        <f>[67]SKL!$R$13</f>
        <v>478</v>
      </c>
      <c r="G30" s="145">
        <f>[67]SKL!$D$13</f>
        <v>15091</v>
      </c>
      <c r="H30" s="143">
        <f t="shared" si="7"/>
        <v>14339</v>
      </c>
      <c r="I30" s="144">
        <f>[68]SKL!$R$13</f>
        <v>471</v>
      </c>
      <c r="J30" s="145">
        <f>[68]SKL!$D$13</f>
        <v>14810</v>
      </c>
      <c r="K30" s="143">
        <f t="shared" si="8"/>
        <v>14286</v>
      </c>
      <c r="L30" s="144">
        <f>[69]SKL!$R$13</f>
        <v>511</v>
      </c>
      <c r="M30" s="145">
        <f>[69]SKL!$D$13</f>
        <v>14797</v>
      </c>
      <c r="N30" s="143">
        <f t="shared" si="9"/>
        <v>14352</v>
      </c>
      <c r="O30" s="144">
        <f>[70]SKL!$R$13</f>
        <v>563</v>
      </c>
      <c r="P30" s="145">
        <f>[70]SKL!$D$13</f>
        <v>14915</v>
      </c>
    </row>
    <row r="31" spans="1:16">
      <c r="A31" s="146" t="s">
        <v>87</v>
      </c>
      <c r="B31" s="143">
        <f t="shared" si="5"/>
        <v>0</v>
      </c>
      <c r="C31" s="144">
        <f>[31]SKL!$R$13</f>
        <v>0</v>
      </c>
      <c r="D31" s="145">
        <f>[31]SKL!$D$13</f>
        <v>0</v>
      </c>
      <c r="E31" s="143">
        <f t="shared" si="6"/>
        <v>0</v>
      </c>
      <c r="F31" s="144">
        <f>[32]SKL!$R$13</f>
        <v>0</v>
      </c>
      <c r="G31" s="145">
        <f>[32]SKL!$D$13</f>
        <v>0</v>
      </c>
      <c r="H31" s="143">
        <f t="shared" si="7"/>
        <v>0</v>
      </c>
      <c r="I31" s="144">
        <f>[33]SKL!$R$13</f>
        <v>0</v>
      </c>
      <c r="J31" s="145">
        <f>[33]SKL!$D$13</f>
        <v>0</v>
      </c>
      <c r="K31" s="143">
        <f t="shared" si="8"/>
        <v>0</v>
      </c>
      <c r="L31" s="144">
        <f>[34]SKL!$R$13</f>
        <v>0</v>
      </c>
      <c r="M31" s="145">
        <f>[34]SKL!$D$13</f>
        <v>0</v>
      </c>
      <c r="N31" s="143">
        <f t="shared" si="9"/>
        <v>0</v>
      </c>
      <c r="O31" s="144">
        <f>[35]SKL!$R$13</f>
        <v>0</v>
      </c>
      <c r="P31" s="145">
        <f>[35]SKL!$D$13</f>
        <v>0</v>
      </c>
    </row>
    <row r="32" spans="1:16">
      <c r="A32" s="146" t="s">
        <v>88</v>
      </c>
      <c r="B32" s="143">
        <f t="shared" si="5"/>
        <v>0</v>
      </c>
      <c r="C32" s="144">
        <f>[71]SKL!$R$13</f>
        <v>0</v>
      </c>
      <c r="D32" s="145">
        <f>[71]SKL!$D$13</f>
        <v>0</v>
      </c>
      <c r="E32" s="143">
        <f t="shared" si="6"/>
        <v>0</v>
      </c>
      <c r="F32" s="144">
        <f>[72]SKL!$R$13</f>
        <v>0</v>
      </c>
      <c r="G32" s="145">
        <f>[72]SKL!$D$13</f>
        <v>0</v>
      </c>
      <c r="H32" s="143">
        <f t="shared" si="7"/>
        <v>0</v>
      </c>
      <c r="I32" s="144">
        <f>[73]SKL!$R$13</f>
        <v>0</v>
      </c>
      <c r="J32" s="145">
        <f>[73]SKL!$D$13</f>
        <v>0</v>
      </c>
      <c r="K32" s="143">
        <f t="shared" si="8"/>
        <v>0</v>
      </c>
      <c r="L32" s="144">
        <f>[74]SKL!$R$13</f>
        <v>0</v>
      </c>
      <c r="M32" s="145">
        <f>[74]SKL!$D$13</f>
        <v>0</v>
      </c>
      <c r="N32" s="143">
        <f t="shared" si="9"/>
        <v>0</v>
      </c>
      <c r="O32" s="144">
        <f>[75]SKL!$R$13</f>
        <v>0</v>
      </c>
      <c r="P32" s="145">
        <f>[75]SKL!$D$13</f>
        <v>0</v>
      </c>
    </row>
    <row r="33" spans="1:16">
      <c r="A33" s="146" t="s">
        <v>89</v>
      </c>
      <c r="B33" s="143">
        <f t="shared" si="5"/>
        <v>0</v>
      </c>
      <c r="C33" s="144">
        <f>[36]SKL!$R$13</f>
        <v>0</v>
      </c>
      <c r="D33" s="145">
        <f>[36]SKL!$D$13</f>
        <v>0</v>
      </c>
      <c r="E33" s="143">
        <f t="shared" si="6"/>
        <v>0</v>
      </c>
      <c r="F33" s="144">
        <f>[37]SKL!$R$13</f>
        <v>0</v>
      </c>
      <c r="G33" s="145">
        <f>[37]SKL!$D$13</f>
        <v>0</v>
      </c>
      <c r="H33" s="143">
        <f t="shared" si="7"/>
        <v>0</v>
      </c>
      <c r="I33" s="144">
        <f>[38]SKL!$R$13</f>
        <v>0</v>
      </c>
      <c r="J33" s="145">
        <f>[38]SKL!$D$13</f>
        <v>0</v>
      </c>
      <c r="K33" s="143">
        <f t="shared" si="8"/>
        <v>0</v>
      </c>
      <c r="L33" s="144">
        <f>[39]SKL!$R$13</f>
        <v>0</v>
      </c>
      <c r="M33" s="145">
        <f>[39]SKL!$D$13</f>
        <v>0</v>
      </c>
      <c r="N33" s="143">
        <f t="shared" si="9"/>
        <v>0</v>
      </c>
      <c r="O33" s="144">
        <f>[40]SKL!$R$13</f>
        <v>0</v>
      </c>
      <c r="P33" s="145">
        <f>[40]SKL!$D$13</f>
        <v>0</v>
      </c>
    </row>
    <row r="34" spans="1:16">
      <c r="A34" s="146" t="s">
        <v>90</v>
      </c>
      <c r="B34" s="143">
        <f t="shared" si="5"/>
        <v>0</v>
      </c>
      <c r="C34" s="144">
        <f>[41]SKL!$R$13</f>
        <v>0</v>
      </c>
      <c r="D34" s="145">
        <f>[41]SKL!$D$13</f>
        <v>0</v>
      </c>
      <c r="E34" s="143">
        <f t="shared" si="6"/>
        <v>0</v>
      </c>
      <c r="F34" s="144">
        <f>[42]SKL!$R$13</f>
        <v>0</v>
      </c>
      <c r="G34" s="145">
        <f>[42]SKL!$D$13</f>
        <v>0</v>
      </c>
      <c r="H34" s="143">
        <f t="shared" si="7"/>
        <v>0</v>
      </c>
      <c r="I34" s="144">
        <f>[43]SKL!$R$13</f>
        <v>0</v>
      </c>
      <c r="J34" s="145">
        <f>[43]SKL!$D$13</f>
        <v>0</v>
      </c>
      <c r="K34" s="143">
        <f t="shared" si="8"/>
        <v>0</v>
      </c>
      <c r="L34" s="144">
        <f>[44]SKL!$R$13</f>
        <v>0</v>
      </c>
      <c r="M34" s="145">
        <f>[44]SKL!$D$13</f>
        <v>0</v>
      </c>
      <c r="N34" s="143">
        <f t="shared" si="9"/>
        <v>0</v>
      </c>
      <c r="O34" s="144">
        <f>[45]SKL!$R$13</f>
        <v>0</v>
      </c>
      <c r="P34" s="145">
        <f>[45]SKL!$D$13</f>
        <v>0</v>
      </c>
    </row>
    <row r="35" spans="1:16">
      <c r="A35" s="146" t="s">
        <v>91</v>
      </c>
      <c r="B35" s="143">
        <f t="shared" si="5"/>
        <v>0</v>
      </c>
      <c r="C35" s="144">
        <f>[46]SKL!$R$13</f>
        <v>0</v>
      </c>
      <c r="D35" s="145">
        <f>[46]SKL!$D$13</f>
        <v>0</v>
      </c>
      <c r="E35" s="143">
        <f t="shared" si="6"/>
        <v>0</v>
      </c>
      <c r="F35" s="144">
        <f>[47]SKL!$R$13</f>
        <v>0</v>
      </c>
      <c r="G35" s="145">
        <f>[47]SKL!$D$13</f>
        <v>0</v>
      </c>
      <c r="H35" s="143">
        <f t="shared" si="7"/>
        <v>0</v>
      </c>
      <c r="I35" s="144">
        <f>[48]SKL!$R$13</f>
        <v>0</v>
      </c>
      <c r="J35" s="145">
        <f>[48]SKL!$D$13</f>
        <v>0</v>
      </c>
      <c r="K35" s="143">
        <f t="shared" si="8"/>
        <v>0</v>
      </c>
      <c r="L35" s="144">
        <f>[49]SKL!$R$13</f>
        <v>0</v>
      </c>
      <c r="M35" s="145">
        <f>[49]SKL!$D$13</f>
        <v>0</v>
      </c>
      <c r="N35" s="143">
        <f t="shared" si="9"/>
        <v>0</v>
      </c>
      <c r="O35" s="144">
        <f>[50]SKL!$R$13</f>
        <v>0</v>
      </c>
      <c r="P35" s="145">
        <f>[50]SKL!$D$13</f>
        <v>0</v>
      </c>
    </row>
    <row r="36" spans="1:16">
      <c r="A36" s="146" t="s">
        <v>92</v>
      </c>
      <c r="B36" s="143">
        <f t="shared" si="5"/>
        <v>0</v>
      </c>
      <c r="C36" s="144">
        <f>[51]SKL!$R$13</f>
        <v>0</v>
      </c>
      <c r="D36" s="145">
        <f>[51]SKL!$D$13</f>
        <v>0</v>
      </c>
      <c r="E36" s="143">
        <f t="shared" si="6"/>
        <v>0</v>
      </c>
      <c r="F36" s="144">
        <f>[52]SKL!$R$13</f>
        <v>0</v>
      </c>
      <c r="G36" s="145">
        <f>[52]SKL!$D$13</f>
        <v>0</v>
      </c>
      <c r="H36" s="143">
        <f t="shared" si="7"/>
        <v>0</v>
      </c>
      <c r="I36" s="144">
        <f>[53]SKL!$R$13</f>
        <v>0</v>
      </c>
      <c r="J36" s="145">
        <f>[53]SKL!$D$13</f>
        <v>0</v>
      </c>
      <c r="K36" s="143">
        <f t="shared" si="8"/>
        <v>0</v>
      </c>
      <c r="L36" s="144">
        <f>[54]SKL!$R$13</f>
        <v>0</v>
      </c>
      <c r="M36" s="145">
        <f>[54]SKL!$D$13</f>
        <v>0</v>
      </c>
      <c r="N36" s="143">
        <f t="shared" si="9"/>
        <v>0</v>
      </c>
      <c r="O36" s="144">
        <f>[55]SKL!$R$13</f>
        <v>0</v>
      </c>
      <c r="P36" s="145">
        <f>[55]SKL!$D$13</f>
        <v>0</v>
      </c>
    </row>
    <row r="37" spans="1:16">
      <c r="A37" s="146" t="s">
        <v>93</v>
      </c>
      <c r="B37" s="143">
        <f t="shared" si="5"/>
        <v>0</v>
      </c>
      <c r="C37" s="144">
        <f>[76]SKL!$R$13</f>
        <v>0</v>
      </c>
      <c r="D37" s="145">
        <f>[76]SKL!$D$13</f>
        <v>0</v>
      </c>
      <c r="E37" s="143">
        <f t="shared" si="6"/>
        <v>0</v>
      </c>
      <c r="F37" s="144">
        <f>[77]SKL!$R$13</f>
        <v>0</v>
      </c>
      <c r="G37" s="145">
        <f>[77]SKL!$D$13</f>
        <v>0</v>
      </c>
      <c r="H37" s="143">
        <f t="shared" si="7"/>
        <v>0</v>
      </c>
      <c r="I37" s="144">
        <f>[78]SKL!$R$13</f>
        <v>0</v>
      </c>
      <c r="J37" s="145">
        <f>[78]SKL!$D$13</f>
        <v>0</v>
      </c>
      <c r="K37" s="143">
        <f t="shared" si="8"/>
        <v>0</v>
      </c>
      <c r="L37" s="144">
        <f>[79]SKL!$R$13</f>
        <v>0</v>
      </c>
      <c r="M37" s="145">
        <f>[79]SKL!$D$13</f>
        <v>0</v>
      </c>
      <c r="N37" s="143">
        <f t="shared" si="9"/>
        <v>0</v>
      </c>
      <c r="O37" s="144">
        <f>[80]SKL!$R$13</f>
        <v>0</v>
      </c>
      <c r="P37" s="145">
        <f>[80]SKL!$D$13</f>
        <v>0</v>
      </c>
    </row>
    <row r="38" spans="1:16">
      <c r="A38" s="146" t="s">
        <v>94</v>
      </c>
      <c r="B38" s="143">
        <f t="shared" si="5"/>
        <v>0</v>
      </c>
      <c r="C38" s="144">
        <f>[56]SKL!$R$13</f>
        <v>0</v>
      </c>
      <c r="D38" s="145">
        <f>[56]SKL!$D$13</f>
        <v>0</v>
      </c>
      <c r="E38" s="143">
        <f t="shared" si="6"/>
        <v>0</v>
      </c>
      <c r="F38" s="144">
        <f>[57]SKL!$R$13</f>
        <v>0</v>
      </c>
      <c r="G38" s="145">
        <f>[57]SKL!$D$13</f>
        <v>0</v>
      </c>
      <c r="H38" s="143">
        <f t="shared" si="7"/>
        <v>0</v>
      </c>
      <c r="I38" s="144">
        <f>[58]SKL!$R$13</f>
        <v>0</v>
      </c>
      <c r="J38" s="145">
        <f>[58]SKL!$D$13</f>
        <v>0</v>
      </c>
      <c r="K38" s="143">
        <f t="shared" si="8"/>
        <v>0</v>
      </c>
      <c r="L38" s="144">
        <f>[59]SKL!$R$13</f>
        <v>0</v>
      </c>
      <c r="M38" s="145">
        <f>[59]SKL!$D$13</f>
        <v>0</v>
      </c>
      <c r="N38" s="143">
        <f t="shared" si="9"/>
        <v>0</v>
      </c>
      <c r="O38" s="144">
        <f>[60]SKL!$R$13</f>
        <v>0</v>
      </c>
      <c r="P38" s="145">
        <f>[60]SKL!$D$13</f>
        <v>0</v>
      </c>
    </row>
    <row r="39" spans="1:16">
      <c r="A39" s="146" t="s">
        <v>95</v>
      </c>
      <c r="B39" s="143">
        <f t="shared" si="5"/>
        <v>0</v>
      </c>
      <c r="C39" s="144">
        <f>[61]SKL!$R$13</f>
        <v>0</v>
      </c>
      <c r="D39" s="145">
        <f>[61]SKL!$D$13</f>
        <v>0</v>
      </c>
      <c r="E39" s="143">
        <f t="shared" si="6"/>
        <v>0</v>
      </c>
      <c r="F39" s="144">
        <f>[62]SKL!$R$13</f>
        <v>0</v>
      </c>
      <c r="G39" s="145">
        <f>[62]SKL!$D$13</f>
        <v>0</v>
      </c>
      <c r="H39" s="143">
        <f t="shared" si="7"/>
        <v>0</v>
      </c>
      <c r="I39" s="144">
        <f>[63]SKL!$R$13</f>
        <v>0</v>
      </c>
      <c r="J39" s="145">
        <f>[63]SKL!$D$13</f>
        <v>0</v>
      </c>
      <c r="K39" s="143">
        <f t="shared" si="8"/>
        <v>0</v>
      </c>
      <c r="L39" s="144">
        <f>[64]SKL!$R$13</f>
        <v>0</v>
      </c>
      <c r="M39" s="145">
        <f>[64]SKL!$D$13</f>
        <v>0</v>
      </c>
      <c r="N39" s="143">
        <f t="shared" si="9"/>
        <v>0</v>
      </c>
      <c r="O39" s="144">
        <f>[65]SKL!$R$13</f>
        <v>0</v>
      </c>
      <c r="P39" s="145">
        <f>[65]SKL!$D$13</f>
        <v>0</v>
      </c>
    </row>
    <row r="40" spans="1:16">
      <c r="A40" s="146" t="s">
        <v>96</v>
      </c>
      <c r="B40" s="132">
        <f>SUM(B24:B39)</f>
        <v>91445</v>
      </c>
      <c r="C40" s="141">
        <f>SUM(C24:C39)-C32-C30-C37</f>
        <v>5411</v>
      </c>
      <c r="D40" s="137">
        <f>SUM(B40:C40)</f>
        <v>96856</v>
      </c>
      <c r="E40" s="132">
        <f>SUM(E24:E39)</f>
        <v>91247</v>
      </c>
      <c r="F40" s="141">
        <f>SUM(F24:F39)-F32-F30-F37</f>
        <v>5931</v>
      </c>
      <c r="G40" s="137">
        <f>SUM(E40:F40)</f>
        <v>97178</v>
      </c>
      <c r="H40" s="132">
        <f>SUM(H24:H39)</f>
        <v>92479</v>
      </c>
      <c r="I40" s="141">
        <f>SUM(I24:I39)-I32-I30-I37</f>
        <v>6331</v>
      </c>
      <c r="J40" s="137">
        <f>SUM(H40:I40)</f>
        <v>98810</v>
      </c>
      <c r="K40" s="132">
        <f>SUM(K24:K39)</f>
        <v>93989</v>
      </c>
      <c r="L40" s="141">
        <f>SUM(L24:L39)-L32-L30-L37</f>
        <v>6526</v>
      </c>
      <c r="M40" s="137">
        <f>SUM(K40:L40)</f>
        <v>100515</v>
      </c>
      <c r="N40" s="132">
        <f>SUM(N24:N39)</f>
        <v>96691</v>
      </c>
      <c r="O40" s="141">
        <f>SUM(O24:O39)-O32-O30-O37</f>
        <v>6716</v>
      </c>
      <c r="P40" s="137">
        <f>SUM(N40:O40)</f>
        <v>103407</v>
      </c>
    </row>
    <row r="41" spans="1:16">
      <c r="A41" s="429" t="s">
        <v>11</v>
      </c>
      <c r="B41" s="430"/>
      <c r="C41" s="430"/>
      <c r="D41" s="430"/>
      <c r="E41" s="430"/>
      <c r="F41" s="430"/>
      <c r="G41" s="430"/>
      <c r="H41" s="430"/>
      <c r="I41" s="430"/>
      <c r="J41" s="430"/>
      <c r="K41" s="430"/>
      <c r="L41" s="430"/>
      <c r="M41" s="430"/>
      <c r="N41" s="430"/>
      <c r="O41" s="430"/>
      <c r="P41" s="430"/>
    </row>
    <row r="42" spans="1:16">
      <c r="A42" s="146" t="s">
        <v>80</v>
      </c>
      <c r="B42" s="143">
        <f>D42-C42</f>
        <v>136407</v>
      </c>
      <c r="C42" s="144">
        <f>[1]SKL!$R$14</f>
        <v>5075</v>
      </c>
      <c r="D42" s="145">
        <f>[1]SKL!$D$14</f>
        <v>141482</v>
      </c>
      <c r="E42" s="143">
        <f>G42-F42</f>
        <v>122340</v>
      </c>
      <c r="F42" s="144">
        <f>[2]SKL!$R$14</f>
        <v>4728</v>
      </c>
      <c r="G42" s="145">
        <f>[2]SKL!$D$14</f>
        <v>127068</v>
      </c>
      <c r="H42" s="143">
        <f>J42-I42</f>
        <v>109624</v>
      </c>
      <c r="I42" s="144">
        <f>[3]SKL!$R$14</f>
        <v>4424</v>
      </c>
      <c r="J42" s="145">
        <f>[3]SKL!$D$14</f>
        <v>114048</v>
      </c>
      <c r="K42" s="143">
        <f>M42-L42</f>
        <v>95607</v>
      </c>
      <c r="L42" s="144">
        <f>[4]SKL!$R$14</f>
        <v>4164</v>
      </c>
      <c r="M42" s="145">
        <f>[4]SKL!$D$14</f>
        <v>99771</v>
      </c>
      <c r="N42" s="143">
        <f>P42-O42</f>
        <v>79806</v>
      </c>
      <c r="O42" s="144">
        <f>[5]SKL!$R$14</f>
        <v>3922</v>
      </c>
      <c r="P42" s="145">
        <f>[5]SKL!$D$14</f>
        <v>83728</v>
      </c>
    </row>
    <row r="43" spans="1:16">
      <c r="A43" s="146" t="s">
        <v>81</v>
      </c>
      <c r="B43" s="143">
        <f t="shared" ref="B43:B55" si="10">D43-C43</f>
        <v>195243</v>
      </c>
      <c r="C43" s="144">
        <f>[6]SKL!$R$14</f>
        <v>12952</v>
      </c>
      <c r="D43" s="145">
        <f>[6]SKL!$D$14</f>
        <v>208195</v>
      </c>
      <c r="E43" s="143">
        <f t="shared" ref="E43:E55" si="11">G43-F43</f>
        <v>191819</v>
      </c>
      <c r="F43" s="144">
        <f>[7]SKL!$R$14</f>
        <v>13155</v>
      </c>
      <c r="G43" s="145">
        <f>[7]SKL!$D$14</f>
        <v>204974</v>
      </c>
      <c r="H43" s="143">
        <f t="shared" ref="H43:H55" si="12">J43-I43</f>
        <v>189440</v>
      </c>
      <c r="I43" s="144">
        <f>[8]SKL!$R$14</f>
        <v>13370</v>
      </c>
      <c r="J43" s="145">
        <f>[8]SKL!$D$14</f>
        <v>202810</v>
      </c>
      <c r="K43" s="143">
        <f t="shared" ref="K43:K55" si="13">M43-L43</f>
        <v>188540</v>
      </c>
      <c r="L43" s="144">
        <f>[9]SKL!$R$14</f>
        <v>13656</v>
      </c>
      <c r="M43" s="145">
        <f>[9]SKL!$D$14</f>
        <v>202196</v>
      </c>
      <c r="N43" s="143">
        <f t="shared" ref="N43:N55" si="14">P43-O43</f>
        <v>189005</v>
      </c>
      <c r="O43" s="144">
        <f>[10]SKL!$R$14</f>
        <v>13970</v>
      </c>
      <c r="P43" s="145">
        <f>[10]SKL!$D$14</f>
        <v>202975</v>
      </c>
    </row>
    <row r="44" spans="1:16">
      <c r="A44" s="146" t="s">
        <v>82</v>
      </c>
      <c r="B44" s="143">
        <f t="shared" si="10"/>
        <v>2372</v>
      </c>
      <c r="C44" s="144">
        <f>[11]SKL!$R$14</f>
        <v>59</v>
      </c>
      <c r="D44" s="145">
        <f>[11]SKL!$D$14</f>
        <v>2431</v>
      </c>
      <c r="E44" s="143">
        <f t="shared" si="11"/>
        <v>0</v>
      </c>
      <c r="F44" s="144">
        <f>[12]SKL!$R$14</f>
        <v>29</v>
      </c>
      <c r="G44" s="145">
        <f>[12]SKL!$D$14</f>
        <v>29</v>
      </c>
      <c r="H44" s="143">
        <f t="shared" si="12"/>
        <v>0</v>
      </c>
      <c r="I44" s="144">
        <f>[13]SKL!$R$14</f>
        <v>0</v>
      </c>
      <c r="J44" s="145">
        <f>[13]SKL!$D$14</f>
        <v>0</v>
      </c>
      <c r="K44" s="143">
        <f t="shared" si="13"/>
        <v>0</v>
      </c>
      <c r="L44" s="144">
        <f>[14]SKL!$R$14</f>
        <v>0</v>
      </c>
      <c r="M44" s="145">
        <f>[14]SKL!$D$14</f>
        <v>0</v>
      </c>
      <c r="N44" s="143">
        <f t="shared" si="14"/>
        <v>0</v>
      </c>
      <c r="O44" s="144">
        <f>[15]SKL!$R$14</f>
        <v>0</v>
      </c>
      <c r="P44" s="145">
        <f>[15]SKL!$D$14</f>
        <v>0</v>
      </c>
    </row>
    <row r="45" spans="1:16">
      <c r="A45" s="146" t="s">
        <v>83</v>
      </c>
      <c r="B45" s="143">
        <f t="shared" si="10"/>
        <v>0</v>
      </c>
      <c r="C45" s="144">
        <f>[16]SKL!$R$14</f>
        <v>0</v>
      </c>
      <c r="D45" s="145">
        <f>[16]SKL!$D$14</f>
        <v>0</v>
      </c>
      <c r="E45" s="143">
        <f t="shared" si="11"/>
        <v>0</v>
      </c>
      <c r="F45" s="144">
        <f>[17]SKL!$R$14</f>
        <v>0</v>
      </c>
      <c r="G45" s="145">
        <f>[17]SKL!$D$14</f>
        <v>0</v>
      </c>
      <c r="H45" s="143">
        <f t="shared" si="12"/>
        <v>0</v>
      </c>
      <c r="I45" s="144">
        <f>[18]SKL!$R$14</f>
        <v>0</v>
      </c>
      <c r="J45" s="145">
        <f>[18]SKL!$D$14</f>
        <v>0</v>
      </c>
      <c r="K45" s="143">
        <f t="shared" si="13"/>
        <v>0</v>
      </c>
      <c r="L45" s="144">
        <f>[19]SKL!$R$14</f>
        <v>0</v>
      </c>
      <c r="M45" s="145">
        <f>[19]SKL!$D$14</f>
        <v>0</v>
      </c>
      <c r="N45" s="143">
        <f t="shared" si="14"/>
        <v>0</v>
      </c>
      <c r="O45" s="144">
        <f>[20]SKL!$R$14</f>
        <v>0</v>
      </c>
      <c r="P45" s="145">
        <f>[20]SKL!$D$14</f>
        <v>0</v>
      </c>
    </row>
    <row r="46" spans="1:16">
      <c r="A46" s="146" t="s">
        <v>84</v>
      </c>
      <c r="B46" s="143">
        <f t="shared" si="10"/>
        <v>0</v>
      </c>
      <c r="C46" s="144">
        <f>[21]SKL!$R$14</f>
        <v>0</v>
      </c>
      <c r="D46" s="145">
        <f>[21]SKL!$D$14</f>
        <v>0</v>
      </c>
      <c r="E46" s="143">
        <f t="shared" si="11"/>
        <v>0</v>
      </c>
      <c r="F46" s="144">
        <f>[22]SKL!$R$14</f>
        <v>0</v>
      </c>
      <c r="G46" s="145">
        <f>[22]SKL!$D$14</f>
        <v>0</v>
      </c>
      <c r="H46" s="143">
        <f t="shared" si="12"/>
        <v>0</v>
      </c>
      <c r="I46" s="144">
        <f>[23]SKL!$R$14</f>
        <v>0</v>
      </c>
      <c r="J46" s="145">
        <f>[23]SKL!$D$14</f>
        <v>0</v>
      </c>
      <c r="K46" s="143">
        <f t="shared" si="13"/>
        <v>0</v>
      </c>
      <c r="L46" s="144">
        <f>[24]SKL!$R$14</f>
        <v>0</v>
      </c>
      <c r="M46" s="145">
        <f>[24]SKL!$D$14</f>
        <v>0</v>
      </c>
      <c r="N46" s="143">
        <f t="shared" si="14"/>
        <v>0</v>
      </c>
      <c r="O46" s="144">
        <f>[25]SKL!$R$14</f>
        <v>0</v>
      </c>
      <c r="P46" s="145">
        <f>[25]SKL!$D$14</f>
        <v>0</v>
      </c>
    </row>
    <row r="47" spans="1:16">
      <c r="A47" s="146" t="s">
        <v>85</v>
      </c>
      <c r="B47" s="143">
        <f t="shared" si="10"/>
        <v>0</v>
      </c>
      <c r="C47" s="144">
        <f>[26]SKL!$R$14</f>
        <v>0</v>
      </c>
      <c r="D47" s="145">
        <f>[26]SKL!$D$14</f>
        <v>0</v>
      </c>
      <c r="E47" s="143">
        <f t="shared" si="11"/>
        <v>0</v>
      </c>
      <c r="F47" s="144">
        <f>[27]SKL!$R$14</f>
        <v>0</v>
      </c>
      <c r="G47" s="145">
        <f>[27]SKL!$D$14</f>
        <v>0</v>
      </c>
      <c r="H47" s="143">
        <f t="shared" si="12"/>
        <v>0</v>
      </c>
      <c r="I47" s="144">
        <f>[28]SKL!$R$14</f>
        <v>0</v>
      </c>
      <c r="J47" s="145">
        <f>[28]SKL!$D$14</f>
        <v>0</v>
      </c>
      <c r="K47" s="143">
        <f t="shared" si="13"/>
        <v>0</v>
      </c>
      <c r="L47" s="144">
        <f>[29]SKL!$R$14</f>
        <v>0</v>
      </c>
      <c r="M47" s="145">
        <f>[29]SKL!$D$14</f>
        <v>0</v>
      </c>
      <c r="N47" s="143">
        <f t="shared" si="14"/>
        <v>0</v>
      </c>
      <c r="O47" s="144">
        <f>[30]SKL!$R$14</f>
        <v>0</v>
      </c>
      <c r="P47" s="145">
        <f>[30]SKL!$D$14</f>
        <v>0</v>
      </c>
    </row>
    <row r="48" spans="1:16">
      <c r="A48" s="146" t="s">
        <v>86</v>
      </c>
      <c r="B48" s="143">
        <f t="shared" si="10"/>
        <v>24032</v>
      </c>
      <c r="C48" s="144">
        <f>[66]SKL!$R$14</f>
        <v>53</v>
      </c>
      <c r="D48" s="145">
        <f>[66]SKL!$D$14</f>
        <v>24085</v>
      </c>
      <c r="E48" s="143">
        <f t="shared" si="11"/>
        <v>22803</v>
      </c>
      <c r="F48" s="144">
        <f>[67]SKL!$R$14</f>
        <v>38</v>
      </c>
      <c r="G48" s="145">
        <f>[67]SKL!$D$14</f>
        <v>22841</v>
      </c>
      <c r="H48" s="143">
        <f t="shared" si="12"/>
        <v>22061</v>
      </c>
      <c r="I48" s="144">
        <f>[68]SKL!$R$14</f>
        <v>34</v>
      </c>
      <c r="J48" s="145">
        <f>[68]SKL!$D$14</f>
        <v>22095</v>
      </c>
      <c r="K48" s="143">
        <f t="shared" si="13"/>
        <v>22390</v>
      </c>
      <c r="L48" s="144">
        <f>[69]SKL!$R$14</f>
        <v>37</v>
      </c>
      <c r="M48" s="145">
        <f>[69]SKL!$D$14</f>
        <v>22427</v>
      </c>
      <c r="N48" s="143">
        <f t="shared" si="14"/>
        <v>23614</v>
      </c>
      <c r="O48" s="144">
        <f>[70]SKL!$R$14</f>
        <v>45</v>
      </c>
      <c r="P48" s="145">
        <f>[70]SKL!$D$14</f>
        <v>23659</v>
      </c>
    </row>
    <row r="49" spans="1:16">
      <c r="A49" s="146" t="s">
        <v>87</v>
      </c>
      <c r="B49" s="143">
        <f t="shared" si="10"/>
        <v>0</v>
      </c>
      <c r="C49" s="144">
        <f>[31]SKL!$R$14</f>
        <v>0</v>
      </c>
      <c r="D49" s="145">
        <f>[31]SKL!$D$14</f>
        <v>0</v>
      </c>
      <c r="E49" s="143">
        <f t="shared" si="11"/>
        <v>0</v>
      </c>
      <c r="F49" s="144">
        <f>[32]SKL!$R$14</f>
        <v>0</v>
      </c>
      <c r="G49" s="145">
        <f>[32]SKL!$D$14</f>
        <v>0</v>
      </c>
      <c r="H49" s="143">
        <f t="shared" si="12"/>
        <v>0</v>
      </c>
      <c r="I49" s="144">
        <f>[33]SKL!$R$14</f>
        <v>0</v>
      </c>
      <c r="J49" s="145">
        <f>[33]SKL!$D$14</f>
        <v>0</v>
      </c>
      <c r="K49" s="143">
        <f t="shared" si="13"/>
        <v>0</v>
      </c>
      <c r="L49" s="144">
        <f>[34]SKL!$R$14</f>
        <v>0</v>
      </c>
      <c r="M49" s="145">
        <f>[34]SKL!$D$14</f>
        <v>0</v>
      </c>
      <c r="N49" s="143">
        <f t="shared" si="14"/>
        <v>0</v>
      </c>
      <c r="O49" s="144">
        <f>[35]SKL!$R$14</f>
        <v>0</v>
      </c>
      <c r="P49" s="145">
        <f>[35]SKL!$D$14</f>
        <v>0</v>
      </c>
    </row>
    <row r="50" spans="1:16">
      <c r="A50" s="146" t="s">
        <v>88</v>
      </c>
      <c r="B50" s="143">
        <f t="shared" si="10"/>
        <v>64079</v>
      </c>
      <c r="C50" s="144">
        <f>[71]SKL!$R$14</f>
        <v>2465</v>
      </c>
      <c r="D50" s="145">
        <f>[71]SKL!$D$14</f>
        <v>66544</v>
      </c>
      <c r="E50" s="143">
        <f t="shared" si="11"/>
        <v>55523</v>
      </c>
      <c r="F50" s="144">
        <f>[72]SKL!$R$14</f>
        <v>1885</v>
      </c>
      <c r="G50" s="145">
        <f>[72]SKL!$D$14</f>
        <v>57408</v>
      </c>
      <c r="H50" s="143">
        <f t="shared" si="12"/>
        <v>47151</v>
      </c>
      <c r="I50" s="144">
        <f>[73]SKL!$R$14</f>
        <v>1367</v>
      </c>
      <c r="J50" s="145">
        <f>[73]SKL!$D$14</f>
        <v>48518</v>
      </c>
      <c r="K50" s="143">
        <f t="shared" si="13"/>
        <v>39180</v>
      </c>
      <c r="L50" s="144">
        <f>[74]SKL!$R$14</f>
        <v>894</v>
      </c>
      <c r="M50" s="145">
        <f>[74]SKL!$D$14</f>
        <v>40074</v>
      </c>
      <c r="N50" s="143">
        <f t="shared" si="14"/>
        <v>32482</v>
      </c>
      <c r="O50" s="144">
        <f>[75]SKL!$R$14</f>
        <v>524</v>
      </c>
      <c r="P50" s="145">
        <f>[75]SKL!$D$14</f>
        <v>33006</v>
      </c>
    </row>
    <row r="51" spans="1:16">
      <c r="A51" s="146" t="s">
        <v>89</v>
      </c>
      <c r="B51" s="143">
        <f t="shared" si="10"/>
        <v>157334</v>
      </c>
      <c r="C51" s="144">
        <f>[36]SKL!$R$14</f>
        <v>1784</v>
      </c>
      <c r="D51" s="145">
        <f>[36]SKL!$D$14</f>
        <v>159118</v>
      </c>
      <c r="E51" s="143">
        <f t="shared" si="11"/>
        <v>137807</v>
      </c>
      <c r="F51" s="144">
        <f>[37]SKL!$R$14</f>
        <v>1790</v>
      </c>
      <c r="G51" s="145">
        <f>[37]SKL!$D$14</f>
        <v>139597</v>
      </c>
      <c r="H51" s="143">
        <f t="shared" si="12"/>
        <v>117489</v>
      </c>
      <c r="I51" s="144">
        <f>[38]SKL!$R$14</f>
        <v>1703</v>
      </c>
      <c r="J51" s="145">
        <f>[38]SKL!$D$14</f>
        <v>119192</v>
      </c>
      <c r="K51" s="143">
        <f t="shared" si="13"/>
        <v>101855</v>
      </c>
      <c r="L51" s="144">
        <f>[39]SKL!$R$14</f>
        <v>1620</v>
      </c>
      <c r="M51" s="145">
        <f>[39]SKL!$D$14</f>
        <v>103475</v>
      </c>
      <c r="N51" s="143">
        <f t="shared" si="14"/>
        <v>86481</v>
      </c>
      <c r="O51" s="144">
        <f>[40]SKL!$R$14</f>
        <v>1517</v>
      </c>
      <c r="P51" s="145">
        <f>[40]SKL!$D$14</f>
        <v>87998</v>
      </c>
    </row>
    <row r="52" spans="1:16">
      <c r="A52" s="146" t="s">
        <v>90</v>
      </c>
      <c r="B52" s="143">
        <f t="shared" si="10"/>
        <v>1139</v>
      </c>
      <c r="C52" s="144">
        <f>[41]SKL!$R$14</f>
        <v>586</v>
      </c>
      <c r="D52" s="145">
        <f>[41]SKL!$D$14</f>
        <v>1725</v>
      </c>
      <c r="E52" s="143">
        <f t="shared" si="11"/>
        <v>0</v>
      </c>
      <c r="F52" s="144">
        <f>[42]SKL!$R$14</f>
        <v>561</v>
      </c>
      <c r="G52" s="145">
        <f>[42]SKL!$D$14</f>
        <v>561</v>
      </c>
      <c r="H52" s="143">
        <f t="shared" si="12"/>
        <v>0</v>
      </c>
      <c r="I52" s="144">
        <f>[43]SKL!$R$14</f>
        <v>476</v>
      </c>
      <c r="J52" s="145">
        <f>[43]SKL!$D$14</f>
        <v>476</v>
      </c>
      <c r="K52" s="143">
        <f t="shared" si="13"/>
        <v>0</v>
      </c>
      <c r="L52" s="144">
        <f>[44]SKL!$R$14</f>
        <v>450</v>
      </c>
      <c r="M52" s="145">
        <f>[44]SKL!$D$14</f>
        <v>450</v>
      </c>
      <c r="N52" s="143">
        <f t="shared" si="14"/>
        <v>0</v>
      </c>
      <c r="O52" s="144">
        <f>[45]SKL!$R$14</f>
        <v>440</v>
      </c>
      <c r="P52" s="145">
        <f>[45]SKL!$D$14</f>
        <v>440</v>
      </c>
    </row>
    <row r="53" spans="1:16">
      <c r="A53" s="146" t="s">
        <v>91</v>
      </c>
      <c r="B53" s="143">
        <f t="shared" si="10"/>
        <v>0</v>
      </c>
      <c r="C53" s="144">
        <f>[46]SKL!$R$14</f>
        <v>267</v>
      </c>
      <c r="D53" s="145">
        <f>[46]SKL!$D$14</f>
        <v>267</v>
      </c>
      <c r="E53" s="143">
        <f t="shared" si="11"/>
        <v>0</v>
      </c>
      <c r="F53" s="144">
        <f>[47]SKL!$R$14</f>
        <v>262</v>
      </c>
      <c r="G53" s="145">
        <f>[47]SKL!$D$14</f>
        <v>262</v>
      </c>
      <c r="H53" s="143">
        <f t="shared" si="12"/>
        <v>0</v>
      </c>
      <c r="I53" s="144">
        <f>[48]SKL!$R$14</f>
        <v>271</v>
      </c>
      <c r="J53" s="145">
        <f>[48]SKL!$D$14</f>
        <v>271</v>
      </c>
      <c r="K53" s="143">
        <f t="shared" si="13"/>
        <v>0</v>
      </c>
      <c r="L53" s="144">
        <f>[49]SKL!$R$14</f>
        <v>0</v>
      </c>
      <c r="M53" s="145">
        <f>[49]SKL!$D$14</f>
        <v>0</v>
      </c>
      <c r="N53" s="143">
        <f t="shared" si="14"/>
        <v>0</v>
      </c>
      <c r="O53" s="144">
        <f>[50]SKL!$R$14</f>
        <v>0</v>
      </c>
      <c r="P53" s="145">
        <f>[50]SKL!$D$14</f>
        <v>0</v>
      </c>
    </row>
    <row r="54" spans="1:16">
      <c r="A54" s="146" t="s">
        <v>92</v>
      </c>
      <c r="B54" s="143">
        <f t="shared" si="10"/>
        <v>0</v>
      </c>
      <c r="C54" s="144">
        <f>[51]SKL!$R$14</f>
        <v>0</v>
      </c>
      <c r="D54" s="145">
        <f>[51]SKL!$D$14</f>
        <v>0</v>
      </c>
      <c r="E54" s="143">
        <f t="shared" si="11"/>
        <v>0</v>
      </c>
      <c r="F54" s="144">
        <f>[52]SKL!$R$14</f>
        <v>0</v>
      </c>
      <c r="G54" s="145">
        <f>[52]SKL!$D$14</f>
        <v>0</v>
      </c>
      <c r="H54" s="143">
        <f t="shared" si="12"/>
        <v>0</v>
      </c>
      <c r="I54" s="144">
        <f>[53]SKL!$R$14</f>
        <v>0</v>
      </c>
      <c r="J54" s="145">
        <f>[53]SKL!$D$14</f>
        <v>0</v>
      </c>
      <c r="K54" s="143">
        <f t="shared" si="13"/>
        <v>0</v>
      </c>
      <c r="L54" s="144">
        <f>[54]SKL!$R$14</f>
        <v>0</v>
      </c>
      <c r="M54" s="145">
        <f>[54]SKL!$D$14</f>
        <v>0</v>
      </c>
      <c r="N54" s="143">
        <f t="shared" si="14"/>
        <v>0</v>
      </c>
      <c r="O54" s="144">
        <f>[55]SKL!$R$14</f>
        <v>0</v>
      </c>
      <c r="P54" s="145">
        <f>[55]SKL!$D$14</f>
        <v>0</v>
      </c>
    </row>
    <row r="55" spans="1:16">
      <c r="A55" s="146" t="s">
        <v>93</v>
      </c>
      <c r="B55" s="143">
        <f t="shared" si="10"/>
        <v>0</v>
      </c>
      <c r="C55" s="144">
        <f>[76]SKL!$R$14</f>
        <v>0</v>
      </c>
      <c r="D55" s="145">
        <f>[76]SKL!$D$14</f>
        <v>0</v>
      </c>
      <c r="E55" s="143">
        <f t="shared" si="11"/>
        <v>0</v>
      </c>
      <c r="F55" s="144">
        <f>[77]SKL!$R$14</f>
        <v>0</v>
      </c>
      <c r="G55" s="145">
        <f>[77]SKL!$D$14</f>
        <v>0</v>
      </c>
      <c r="H55" s="143">
        <f t="shared" si="12"/>
        <v>0</v>
      </c>
      <c r="I55" s="144">
        <f>[78]SKL!$R$14</f>
        <v>0</v>
      </c>
      <c r="J55" s="145">
        <f>[78]SKL!$D$14</f>
        <v>0</v>
      </c>
      <c r="K55" s="143">
        <f t="shared" si="13"/>
        <v>0</v>
      </c>
      <c r="L55" s="144">
        <f>[79]SKL!$R$14</f>
        <v>0</v>
      </c>
      <c r="M55" s="145">
        <f>[79]SKL!$D$14</f>
        <v>0</v>
      </c>
      <c r="N55" s="143">
        <f t="shared" si="14"/>
        <v>0</v>
      </c>
      <c r="O55" s="144">
        <f>[80]SKL!$R$14</f>
        <v>0</v>
      </c>
      <c r="P55" s="145">
        <f>[80]SKL!$D$14</f>
        <v>0</v>
      </c>
    </row>
    <row r="56" spans="1:16">
      <c r="A56" s="146" t="s">
        <v>94</v>
      </c>
      <c r="B56" s="143">
        <f>D56-C56</f>
        <v>4031</v>
      </c>
      <c r="C56" s="144">
        <f>[56]SKL!$R$14</f>
        <v>0</v>
      </c>
      <c r="D56" s="145">
        <f>[56]SKL!$D$14</f>
        <v>4031</v>
      </c>
      <c r="E56" s="143">
        <f>G56-F56</f>
        <v>913</v>
      </c>
      <c r="F56" s="144">
        <f>[57]SKL!$R$14</f>
        <v>0</v>
      </c>
      <c r="G56" s="145">
        <f>[57]SKL!$D$14</f>
        <v>913</v>
      </c>
      <c r="H56" s="143">
        <f>J56-I56</f>
        <v>92</v>
      </c>
      <c r="I56" s="144">
        <f>[58]SKL!$R$14</f>
        <v>0</v>
      </c>
      <c r="J56" s="145">
        <f>[58]SKL!$D$14</f>
        <v>92</v>
      </c>
      <c r="K56" s="143">
        <f>M56-L56</f>
        <v>0</v>
      </c>
      <c r="L56" s="144">
        <f>[59]SKL!$R$14</f>
        <v>0</v>
      </c>
      <c r="M56" s="145">
        <f>[59]SKL!$D$14</f>
        <v>0</v>
      </c>
      <c r="N56" s="143">
        <f>P56-O56</f>
        <v>0</v>
      </c>
      <c r="O56" s="144">
        <f>[60]SKL!$R$14</f>
        <v>0</v>
      </c>
      <c r="P56" s="145">
        <f>[60]SKL!$D$14</f>
        <v>0</v>
      </c>
    </row>
    <row r="57" spans="1:16">
      <c r="A57" s="146" t="s">
        <v>95</v>
      </c>
      <c r="B57" s="143">
        <f>D57-C57</f>
        <v>0</v>
      </c>
      <c r="C57" s="144">
        <f>[61]SKL!$R$14</f>
        <v>0</v>
      </c>
      <c r="D57" s="145">
        <f>[61]SKL!$D$14</f>
        <v>0</v>
      </c>
      <c r="E57" s="143">
        <f>G57-F57</f>
        <v>0</v>
      </c>
      <c r="F57" s="144">
        <f>[62]SKL!$R$14</f>
        <v>0</v>
      </c>
      <c r="G57" s="145">
        <f>[62]SKL!$D$14</f>
        <v>0</v>
      </c>
      <c r="H57" s="143">
        <f>J57-I57</f>
        <v>0</v>
      </c>
      <c r="I57" s="144">
        <f>[63]SKL!$R$14</f>
        <v>0</v>
      </c>
      <c r="J57" s="145">
        <f>[63]SKL!$D$14</f>
        <v>0</v>
      </c>
      <c r="K57" s="143">
        <f>M57-L57</f>
        <v>0</v>
      </c>
      <c r="L57" s="144">
        <f>[64]SKL!$R$14</f>
        <v>0</v>
      </c>
      <c r="M57" s="145">
        <f>[64]SKL!$D$14</f>
        <v>0</v>
      </c>
      <c r="N57" s="143">
        <f>P57-O57</f>
        <v>0</v>
      </c>
      <c r="O57" s="144">
        <f>[65]SKL!$R$14</f>
        <v>0</v>
      </c>
      <c r="P57" s="145">
        <f>[65]SKL!$D$14</f>
        <v>0</v>
      </c>
    </row>
    <row r="58" spans="1:16">
      <c r="A58" s="146" t="s">
        <v>96</v>
      </c>
      <c r="B58" s="132">
        <f>SUM(B42:B57)</f>
        <v>584637</v>
      </c>
      <c r="C58" s="141">
        <f>SUM(C42:C57)-C50-C48-C55</f>
        <v>20723</v>
      </c>
      <c r="D58" s="137">
        <f>SUM(B58:C58)</f>
        <v>605360</v>
      </c>
      <c r="E58" s="132">
        <f>SUM(E42:E57)</f>
        <v>531205</v>
      </c>
      <c r="F58" s="141">
        <f>SUM(F42:F57)-F50-F48-F55</f>
        <v>20525</v>
      </c>
      <c r="G58" s="137">
        <f>SUM(E58:F58)</f>
        <v>551730</v>
      </c>
      <c r="H58" s="132">
        <f>SUM(H42:H57)</f>
        <v>485857</v>
      </c>
      <c r="I58" s="141">
        <f>SUM(I42:I57)-I50-I48-I55</f>
        <v>20244</v>
      </c>
      <c r="J58" s="137">
        <f>SUM(H58:I58)</f>
        <v>506101</v>
      </c>
      <c r="K58" s="132">
        <f>SUM(K42:K57)</f>
        <v>447572</v>
      </c>
      <c r="L58" s="141">
        <f>SUM(L42:L57)-L50-L48-L55</f>
        <v>19890</v>
      </c>
      <c r="M58" s="137">
        <f>SUM(K58:L58)</f>
        <v>467462</v>
      </c>
      <c r="N58" s="132">
        <f>SUM(N42:N57)</f>
        <v>411388</v>
      </c>
      <c r="O58" s="141">
        <f>SUM(O42:O57)-O50-O48-O55</f>
        <v>19849</v>
      </c>
      <c r="P58" s="137">
        <f>SUM(N58:O58)</f>
        <v>431237</v>
      </c>
    </row>
    <row r="59" spans="1:16">
      <c r="A59" s="429" t="s">
        <v>13</v>
      </c>
      <c r="B59" s="430"/>
      <c r="C59" s="430"/>
      <c r="D59" s="430"/>
      <c r="E59" s="430"/>
      <c r="F59" s="430"/>
      <c r="G59" s="430"/>
      <c r="H59" s="430"/>
      <c r="I59" s="430"/>
      <c r="J59" s="430"/>
      <c r="K59" s="430"/>
      <c r="L59" s="430"/>
      <c r="M59" s="430"/>
      <c r="N59" s="430"/>
      <c r="O59" s="430"/>
      <c r="P59" s="430"/>
    </row>
    <row r="60" spans="1:16">
      <c r="A60" s="146" t="s">
        <v>80</v>
      </c>
      <c r="B60" s="143">
        <f>D60-C60</f>
        <v>0</v>
      </c>
      <c r="C60" s="144">
        <f>[1]SKL!$R$17</f>
        <v>0</v>
      </c>
      <c r="D60" s="145">
        <f>[1]SKL!$D$17</f>
        <v>0</v>
      </c>
      <c r="E60" s="143">
        <f>G60-F60</f>
        <v>0</v>
      </c>
      <c r="F60" s="144">
        <f>[2]SKL!$R$17</f>
        <v>0</v>
      </c>
      <c r="G60" s="145">
        <f>[2]SKL!$D$17</f>
        <v>0</v>
      </c>
      <c r="H60" s="143">
        <f>J60-I60</f>
        <v>0</v>
      </c>
      <c r="I60" s="144">
        <f>[3]SKL!$R$17</f>
        <v>0</v>
      </c>
      <c r="J60" s="145">
        <f>[3]SKL!$D$17</f>
        <v>0</v>
      </c>
      <c r="K60" s="143">
        <f>M60-L60</f>
        <v>0</v>
      </c>
      <c r="L60" s="144">
        <f>[4]SKL!$R$17</f>
        <v>0</v>
      </c>
      <c r="M60" s="145">
        <f>[4]SKL!$D$17</f>
        <v>0</v>
      </c>
      <c r="N60" s="143">
        <f>P60-O60</f>
        <v>0</v>
      </c>
      <c r="O60" s="144">
        <f>[5]SKL!$R$17</f>
        <v>0</v>
      </c>
      <c r="P60" s="145">
        <f>[5]SKL!$D$17</f>
        <v>0</v>
      </c>
    </row>
    <row r="61" spans="1:16">
      <c r="A61" s="146" t="s">
        <v>81</v>
      </c>
      <c r="B61" s="143">
        <f t="shared" ref="B61:B75" si="15">D61-C61</f>
        <v>0</v>
      </c>
      <c r="C61" s="144">
        <f>[6]SKL!$R$17</f>
        <v>0</v>
      </c>
      <c r="D61" s="145">
        <f>[6]SKL!$D$17</f>
        <v>0</v>
      </c>
      <c r="E61" s="143">
        <f t="shared" ref="E61:E75" si="16">G61-F61</f>
        <v>0</v>
      </c>
      <c r="F61" s="144">
        <f>[7]SKL!$R$17</f>
        <v>0</v>
      </c>
      <c r="G61" s="145">
        <f>[7]SKL!$D$17</f>
        <v>0</v>
      </c>
      <c r="H61" s="143">
        <f t="shared" ref="H61:H75" si="17">J61-I61</f>
        <v>0</v>
      </c>
      <c r="I61" s="144">
        <f>[8]SKL!$R$17</f>
        <v>0</v>
      </c>
      <c r="J61" s="145">
        <f>[8]SKL!$D$17</f>
        <v>0</v>
      </c>
      <c r="K61" s="143">
        <f t="shared" ref="K61:K75" si="18">M61-L61</f>
        <v>0</v>
      </c>
      <c r="L61" s="144">
        <f>[9]SKL!$R$17</f>
        <v>0</v>
      </c>
      <c r="M61" s="145">
        <f>[9]SKL!$D$17</f>
        <v>0</v>
      </c>
      <c r="N61" s="143">
        <f t="shared" ref="N61:N75" si="19">P61-O61</f>
        <v>0</v>
      </c>
      <c r="O61" s="144">
        <f>[10]SKL!$R$17</f>
        <v>0</v>
      </c>
      <c r="P61" s="145">
        <f>[10]SKL!$D$17</f>
        <v>0</v>
      </c>
    </row>
    <row r="62" spans="1:16">
      <c r="A62" s="146" t="s">
        <v>82</v>
      </c>
      <c r="B62" s="143">
        <f t="shared" si="15"/>
        <v>0</v>
      </c>
      <c r="C62" s="144">
        <f>[11]SKL!$R$17</f>
        <v>0</v>
      </c>
      <c r="D62" s="145">
        <f>[11]SKL!$D$17</f>
        <v>0</v>
      </c>
      <c r="E62" s="143">
        <f t="shared" si="16"/>
        <v>0</v>
      </c>
      <c r="F62" s="144">
        <f>[12]SKL!$R$17</f>
        <v>0</v>
      </c>
      <c r="G62" s="145">
        <f>[12]SKL!$D$17</f>
        <v>0</v>
      </c>
      <c r="H62" s="143">
        <f t="shared" si="17"/>
        <v>0</v>
      </c>
      <c r="I62" s="144">
        <f>[13]SKL!$R$17</f>
        <v>0</v>
      </c>
      <c r="J62" s="145">
        <f>[13]SKL!$D$17</f>
        <v>0</v>
      </c>
      <c r="K62" s="143">
        <f t="shared" si="18"/>
        <v>0</v>
      </c>
      <c r="L62" s="144">
        <f>[14]SKL!$R$17</f>
        <v>0</v>
      </c>
      <c r="M62" s="145">
        <f>[14]SKL!$D$17</f>
        <v>0</v>
      </c>
      <c r="N62" s="143">
        <f t="shared" si="19"/>
        <v>0</v>
      </c>
      <c r="O62" s="144">
        <f>[15]SKL!$R$17</f>
        <v>0</v>
      </c>
      <c r="P62" s="145">
        <f>[15]SKL!$D$17</f>
        <v>0</v>
      </c>
    </row>
    <row r="63" spans="1:16">
      <c r="A63" s="146" t="s">
        <v>83</v>
      </c>
      <c r="B63" s="143">
        <f t="shared" si="15"/>
        <v>28210</v>
      </c>
      <c r="C63" s="144">
        <f>[16]SKL!$R$17</f>
        <v>2540</v>
      </c>
      <c r="D63" s="145">
        <f>[16]SKL!$D$17</f>
        <v>30750</v>
      </c>
      <c r="E63" s="143">
        <f t="shared" si="16"/>
        <v>28974</v>
      </c>
      <c r="F63" s="144">
        <f>[17]SKL!$R$17</f>
        <v>2702</v>
      </c>
      <c r="G63" s="145">
        <f>[17]SKL!$D$17</f>
        <v>31676</v>
      </c>
      <c r="H63" s="143">
        <f t="shared" si="17"/>
        <v>29760</v>
      </c>
      <c r="I63" s="144">
        <f>[18]SKL!$R$17</f>
        <v>2746</v>
      </c>
      <c r="J63" s="145">
        <f>[18]SKL!$D$17</f>
        <v>32506</v>
      </c>
      <c r="K63" s="143">
        <f t="shared" si="18"/>
        <v>29633</v>
      </c>
      <c r="L63" s="144">
        <f>[19]SKL!$R$17</f>
        <v>2764</v>
      </c>
      <c r="M63" s="145">
        <f>[19]SKL!$D$17</f>
        <v>32397</v>
      </c>
      <c r="N63" s="143">
        <f t="shared" si="19"/>
        <v>29899</v>
      </c>
      <c r="O63" s="144">
        <f>[20]SKL!$R$17</f>
        <v>2836</v>
      </c>
      <c r="P63" s="145">
        <f>[20]SKL!$D$17</f>
        <v>32735</v>
      </c>
    </row>
    <row r="64" spans="1:16" ht="8.65" customHeight="1">
      <c r="A64" s="146" t="s">
        <v>84</v>
      </c>
      <c r="B64" s="143">
        <f t="shared" si="15"/>
        <v>4069</v>
      </c>
      <c r="C64" s="144">
        <f>[21]SKL!$R$17</f>
        <v>949</v>
      </c>
      <c r="D64" s="145">
        <f>[21]SKL!$D$17</f>
        <v>5018</v>
      </c>
      <c r="E64" s="143">
        <f t="shared" si="16"/>
        <v>2726</v>
      </c>
      <c r="F64" s="144">
        <f>[22]SKL!$R$17</f>
        <v>928</v>
      </c>
      <c r="G64" s="145">
        <f>[22]SKL!$D$17</f>
        <v>3654</v>
      </c>
      <c r="H64" s="143">
        <f t="shared" si="17"/>
        <v>1465</v>
      </c>
      <c r="I64" s="144">
        <f>[23]SKL!$R$17</f>
        <v>819</v>
      </c>
      <c r="J64" s="145">
        <f>[23]SKL!$D$17</f>
        <v>2284</v>
      </c>
      <c r="K64" s="143">
        <f t="shared" si="18"/>
        <v>540</v>
      </c>
      <c r="L64" s="144">
        <f>[24]SKL!$R$17</f>
        <v>274</v>
      </c>
      <c r="M64" s="145">
        <f>[24]SKL!$D$17</f>
        <v>814</v>
      </c>
      <c r="N64" s="143">
        <f t="shared" si="19"/>
        <v>0</v>
      </c>
      <c r="O64" s="144">
        <f>[25]SKL!$R$17</f>
        <v>187</v>
      </c>
      <c r="P64" s="145">
        <f>[25]SKL!$D$17</f>
        <v>187</v>
      </c>
    </row>
    <row r="65" spans="1:16" ht="12.6" customHeight="1">
      <c r="A65" s="146" t="s">
        <v>85</v>
      </c>
      <c r="B65" s="143">
        <f t="shared" si="15"/>
        <v>1942</v>
      </c>
      <c r="C65" s="144">
        <f>[26]SKL!$R$17</f>
        <v>427</v>
      </c>
      <c r="D65" s="145">
        <f>[26]SKL!$D$17</f>
        <v>2369</v>
      </c>
      <c r="E65" s="143">
        <f t="shared" si="16"/>
        <v>0</v>
      </c>
      <c r="F65" s="144">
        <f>[27]SKL!$R$17</f>
        <v>0</v>
      </c>
      <c r="G65" s="145">
        <f>[27]SKL!$D$17</f>
        <v>0</v>
      </c>
      <c r="H65" s="143">
        <f t="shared" si="17"/>
        <v>0</v>
      </c>
      <c r="I65" s="144">
        <f>[28]SKL!$R$17</f>
        <v>0</v>
      </c>
      <c r="J65" s="145">
        <f>[28]SKL!$D$17</f>
        <v>0</v>
      </c>
      <c r="K65" s="143">
        <f t="shared" si="18"/>
        <v>0</v>
      </c>
      <c r="L65" s="144">
        <f>[29]SKL!$R$17</f>
        <v>0</v>
      </c>
      <c r="M65" s="145">
        <f>[29]SKL!$D$17</f>
        <v>0</v>
      </c>
      <c r="N65" s="143">
        <f t="shared" si="19"/>
        <v>0</v>
      </c>
      <c r="O65" s="144">
        <f>[30]SKL!$R$17</f>
        <v>0</v>
      </c>
      <c r="P65" s="145">
        <f>[30]SKL!$D$17</f>
        <v>0</v>
      </c>
    </row>
    <row r="66" spans="1:16" ht="10.15" customHeight="1">
      <c r="A66" s="218" t="s">
        <v>86</v>
      </c>
      <c r="B66" s="143">
        <f t="shared" si="15"/>
        <v>2435</v>
      </c>
      <c r="C66" s="144">
        <f>[66]SKL!$R$17</f>
        <v>0</v>
      </c>
      <c r="D66" s="145">
        <f>[66]SKL!$D$17</f>
        <v>2435</v>
      </c>
      <c r="E66" s="143">
        <f t="shared" si="16"/>
        <v>3472</v>
      </c>
      <c r="F66" s="144">
        <f>[67]SKL!$R$17</f>
        <v>0</v>
      </c>
      <c r="G66" s="145">
        <f>[67]SKL!$D$17</f>
        <v>3472</v>
      </c>
      <c r="H66" s="143">
        <f t="shared" si="17"/>
        <v>4569</v>
      </c>
      <c r="I66" s="144">
        <f>[68]SKL!$R$17</f>
        <v>0</v>
      </c>
      <c r="J66" s="145">
        <f>[68]SKL!$D$17</f>
        <v>4569</v>
      </c>
      <c r="K66" s="143">
        <f t="shared" si="18"/>
        <v>5802</v>
      </c>
      <c r="L66" s="144">
        <f>[69]SKL!$R$17</f>
        <v>0</v>
      </c>
      <c r="M66" s="145">
        <f>[69]SKL!$D$17</f>
        <v>5802</v>
      </c>
      <c r="N66" s="143">
        <f t="shared" si="19"/>
        <v>6622</v>
      </c>
      <c r="O66" s="144">
        <f>[70]SKL!$R$17</f>
        <v>0</v>
      </c>
      <c r="P66" s="145">
        <f>[70]SKL!$D$17</f>
        <v>6622</v>
      </c>
    </row>
    <row r="67" spans="1:16" ht="10.15" customHeight="1">
      <c r="A67" s="218" t="s">
        <v>87</v>
      </c>
      <c r="B67" s="143">
        <f t="shared" si="15"/>
        <v>37441</v>
      </c>
      <c r="C67" s="144">
        <f>[31]SKL!$R$17</f>
        <v>2201</v>
      </c>
      <c r="D67" s="145">
        <f>[31]SKL!$D$17</f>
        <v>39642</v>
      </c>
      <c r="E67" s="143">
        <f t="shared" si="16"/>
        <v>37688</v>
      </c>
      <c r="F67" s="144">
        <f>[32]SKL!$R$17</f>
        <v>2314</v>
      </c>
      <c r="G67" s="145">
        <f>[32]SKL!$D$17</f>
        <v>40002</v>
      </c>
      <c r="H67" s="143">
        <f t="shared" si="17"/>
        <v>38651</v>
      </c>
      <c r="I67" s="144">
        <f>[33]SKL!$R$17</f>
        <v>2452</v>
      </c>
      <c r="J67" s="145">
        <f>[33]SKL!$D$17</f>
        <v>41103</v>
      </c>
      <c r="K67" s="143">
        <f t="shared" si="18"/>
        <v>39586</v>
      </c>
      <c r="L67" s="144">
        <f>[34]SKL!$R$17</f>
        <v>2553</v>
      </c>
      <c r="M67" s="145">
        <f>[34]SKL!$D$17</f>
        <v>42139</v>
      </c>
      <c r="N67" s="143">
        <f t="shared" si="19"/>
        <v>40224</v>
      </c>
      <c r="O67" s="144">
        <f>[35]SKL!$R$17</f>
        <v>2458</v>
      </c>
      <c r="P67" s="145">
        <f>[35]SKL!$D$17</f>
        <v>42682</v>
      </c>
    </row>
    <row r="68" spans="1:16" ht="10.15" customHeight="1">
      <c r="A68" s="218" t="s">
        <v>88</v>
      </c>
      <c r="B68" s="143">
        <f t="shared" si="15"/>
        <v>21259</v>
      </c>
      <c r="C68" s="144">
        <f>[71]SKL!$R$17</f>
        <v>2003</v>
      </c>
      <c r="D68" s="145">
        <f>[71]SKL!$D$17</f>
        <v>23262</v>
      </c>
      <c r="E68" s="143">
        <f t="shared" si="16"/>
        <v>34915</v>
      </c>
      <c r="F68" s="144">
        <f>[72]SKL!$R$17</f>
        <v>3178</v>
      </c>
      <c r="G68" s="145">
        <f>[72]SKL!$D$17</f>
        <v>38093</v>
      </c>
      <c r="H68" s="143">
        <f t="shared" si="17"/>
        <v>51318</v>
      </c>
      <c r="I68" s="144">
        <f>[73]SKL!$R$17</f>
        <v>4474</v>
      </c>
      <c r="J68" s="145">
        <f>[73]SKL!$D$17</f>
        <v>55792</v>
      </c>
      <c r="K68" s="143">
        <f t="shared" si="18"/>
        <v>68758</v>
      </c>
      <c r="L68" s="144">
        <f>[74]SKL!$R$17</f>
        <v>5806</v>
      </c>
      <c r="M68" s="145">
        <f>[74]SKL!$D$17</f>
        <v>74564</v>
      </c>
      <c r="N68" s="143">
        <f t="shared" si="19"/>
        <v>86623</v>
      </c>
      <c r="O68" s="144">
        <f>[75]SKL!$R$17</f>
        <v>7082</v>
      </c>
      <c r="P68" s="145">
        <f>[75]SKL!$D$17</f>
        <v>93705</v>
      </c>
    </row>
    <row r="69" spans="1:16">
      <c r="A69" s="146" t="s">
        <v>89</v>
      </c>
      <c r="B69" s="143">
        <f t="shared" si="15"/>
        <v>7242</v>
      </c>
      <c r="C69" s="144">
        <f>[36]SKL!$R$17</f>
        <v>363</v>
      </c>
      <c r="D69" s="145">
        <f>[36]SKL!$D$17</f>
        <v>7605</v>
      </c>
      <c r="E69" s="143">
        <f t="shared" si="16"/>
        <v>18113</v>
      </c>
      <c r="F69" s="144">
        <f>[37]SKL!$R$17</f>
        <v>1222</v>
      </c>
      <c r="G69" s="145">
        <f>[37]SKL!$D$17</f>
        <v>19335</v>
      </c>
      <c r="H69" s="143">
        <f t="shared" si="17"/>
        <v>31042</v>
      </c>
      <c r="I69" s="144">
        <f>[38]SKL!$R$17</f>
        <v>2005</v>
      </c>
      <c r="J69" s="145">
        <f>[38]SKL!$D$17</f>
        <v>33047</v>
      </c>
      <c r="K69" s="143">
        <f t="shared" si="18"/>
        <v>40868</v>
      </c>
      <c r="L69" s="144">
        <f>[39]SKL!$R$17</f>
        <v>2742</v>
      </c>
      <c r="M69" s="145">
        <f>[39]SKL!$D$17</f>
        <v>43610</v>
      </c>
      <c r="N69" s="143">
        <f t="shared" si="19"/>
        <v>51068</v>
      </c>
      <c r="O69" s="144">
        <f>[40]SKL!$R$17</f>
        <v>3596</v>
      </c>
      <c r="P69" s="145">
        <f>[40]SKL!$D$17</f>
        <v>54664</v>
      </c>
    </row>
    <row r="70" spans="1:16">
      <c r="A70" s="146" t="s">
        <v>90</v>
      </c>
      <c r="B70" s="143">
        <f t="shared" si="15"/>
        <v>93392</v>
      </c>
      <c r="C70" s="144">
        <f>[41]SKL!$R$17</f>
        <v>1812</v>
      </c>
      <c r="D70" s="145">
        <f>[41]SKL!$D$17</f>
        <v>95204</v>
      </c>
      <c r="E70" s="143">
        <f t="shared" si="16"/>
        <v>91767</v>
      </c>
      <c r="F70" s="144">
        <f>[42]SKL!$R$17</f>
        <v>1816</v>
      </c>
      <c r="G70" s="145">
        <f>[42]SKL!$D$17</f>
        <v>93583</v>
      </c>
      <c r="H70" s="143">
        <f t="shared" si="17"/>
        <v>86346</v>
      </c>
      <c r="I70" s="144">
        <f>[43]SKL!$R$17</f>
        <v>2290</v>
      </c>
      <c r="J70" s="145">
        <f>[43]SKL!$D$17</f>
        <v>88636</v>
      </c>
      <c r="K70" s="143">
        <f t="shared" si="18"/>
        <v>82467</v>
      </c>
      <c r="L70" s="144">
        <f>[44]SKL!$R$17</f>
        <v>2859</v>
      </c>
      <c r="M70" s="145">
        <f>[44]SKL!$D$17</f>
        <v>85326</v>
      </c>
      <c r="N70" s="143">
        <f t="shared" si="19"/>
        <v>80012</v>
      </c>
      <c r="O70" s="144">
        <f>[45]SKL!$R$17</f>
        <v>2880</v>
      </c>
      <c r="P70" s="145">
        <f>[45]SKL!$D$17</f>
        <v>82892</v>
      </c>
    </row>
    <row r="71" spans="1:16">
      <c r="A71" s="146" t="s">
        <v>91</v>
      </c>
      <c r="B71" s="143">
        <f t="shared" si="15"/>
        <v>14911</v>
      </c>
      <c r="C71" s="144">
        <f>[46]SKL!$R$17</f>
        <v>403</v>
      </c>
      <c r="D71" s="145">
        <f>[46]SKL!$D$17</f>
        <v>15314</v>
      </c>
      <c r="E71" s="143">
        <f t="shared" si="16"/>
        <v>11564</v>
      </c>
      <c r="F71" s="144">
        <f>[47]SKL!$R$17</f>
        <v>391</v>
      </c>
      <c r="G71" s="145">
        <f>[47]SKL!$D$17</f>
        <v>11955</v>
      </c>
      <c r="H71" s="143">
        <f t="shared" si="17"/>
        <v>8331</v>
      </c>
      <c r="I71" s="144">
        <f>[48]SKL!$R$17</f>
        <v>389</v>
      </c>
      <c r="J71" s="145">
        <f>[48]SKL!$D$17</f>
        <v>8720</v>
      </c>
      <c r="K71" s="143">
        <f t="shared" si="18"/>
        <v>4918</v>
      </c>
      <c r="L71" s="144">
        <f>[49]SKL!$R$17</f>
        <v>330</v>
      </c>
      <c r="M71" s="145">
        <f>[49]SKL!$D$17</f>
        <v>5248</v>
      </c>
      <c r="N71" s="143">
        <f t="shared" si="19"/>
        <v>0</v>
      </c>
      <c r="O71" s="144">
        <f>[50]SKL!$R$17</f>
        <v>49</v>
      </c>
      <c r="P71" s="145">
        <f>[50]SKL!$D$17</f>
        <v>49</v>
      </c>
    </row>
    <row r="72" spans="1:16">
      <c r="A72" s="146" t="s">
        <v>92</v>
      </c>
      <c r="B72" s="143">
        <f t="shared" si="15"/>
        <v>85965</v>
      </c>
      <c r="C72" s="144">
        <f>[51]SKL!$R$17</f>
        <v>8571</v>
      </c>
      <c r="D72" s="145">
        <f>[51]SKL!$D$17</f>
        <v>94536</v>
      </c>
      <c r="E72" s="143">
        <f t="shared" si="16"/>
        <v>88244</v>
      </c>
      <c r="F72" s="144">
        <f>[52]SKL!$R$17</f>
        <v>9242</v>
      </c>
      <c r="G72" s="145">
        <f>[52]SKL!$D$17</f>
        <v>97486</v>
      </c>
      <c r="H72" s="143">
        <f t="shared" si="17"/>
        <v>90417</v>
      </c>
      <c r="I72" s="144">
        <f>[53]SKL!$R$17</f>
        <v>9793</v>
      </c>
      <c r="J72" s="145">
        <f>[53]SKL!$D$17</f>
        <v>100210</v>
      </c>
      <c r="K72" s="143">
        <f t="shared" si="18"/>
        <v>93434</v>
      </c>
      <c r="L72" s="144">
        <f>[54]SKL!$R$17</f>
        <v>10328</v>
      </c>
      <c r="M72" s="145">
        <f>[54]SKL!$D$17</f>
        <v>103762</v>
      </c>
      <c r="N72" s="143">
        <f t="shared" si="19"/>
        <v>95946</v>
      </c>
      <c r="O72" s="144">
        <f>[55]SKL!$R$17</f>
        <v>11029</v>
      </c>
      <c r="P72" s="145">
        <f>[55]SKL!$D$17</f>
        <v>106975</v>
      </c>
    </row>
    <row r="73" spans="1:16">
      <c r="A73" s="146" t="s">
        <v>93</v>
      </c>
      <c r="B73" s="143">
        <f t="shared" si="15"/>
        <v>45354</v>
      </c>
      <c r="C73" s="144">
        <f>[76]SKL!$R$17</f>
        <v>2031</v>
      </c>
      <c r="D73" s="145">
        <f>[76]SKL!$D$17</f>
        <v>47385</v>
      </c>
      <c r="E73" s="143">
        <f t="shared" si="16"/>
        <v>44877</v>
      </c>
      <c r="F73" s="144">
        <f>[77]SKL!$R$17</f>
        <v>2221</v>
      </c>
      <c r="G73" s="145">
        <f>[77]SKL!$D$17</f>
        <v>47098</v>
      </c>
      <c r="H73" s="143">
        <f t="shared" si="17"/>
        <v>44373</v>
      </c>
      <c r="I73" s="144">
        <f>[78]SKL!$R$17</f>
        <v>2347</v>
      </c>
      <c r="J73" s="145">
        <f>[78]SKL!$D$17</f>
        <v>46720</v>
      </c>
      <c r="K73" s="143">
        <f t="shared" si="18"/>
        <v>43472</v>
      </c>
      <c r="L73" s="144">
        <f>[79]SKL!$R$17</f>
        <v>2561</v>
      </c>
      <c r="M73" s="145">
        <f>[79]SKL!$D$17</f>
        <v>46033</v>
      </c>
      <c r="N73" s="143">
        <f t="shared" si="19"/>
        <v>42908</v>
      </c>
      <c r="O73" s="144">
        <f>[80]SKL!$R$17</f>
        <v>2693</v>
      </c>
      <c r="P73" s="145">
        <f>[80]SKL!$D$17</f>
        <v>45601</v>
      </c>
    </row>
    <row r="74" spans="1:16">
      <c r="A74" s="146" t="s">
        <v>94</v>
      </c>
      <c r="B74" s="143">
        <f t="shared" si="15"/>
        <v>18143</v>
      </c>
      <c r="C74" s="144">
        <f>[56]SKL!$R$17</f>
        <v>238</v>
      </c>
      <c r="D74" s="145">
        <f>[56]SKL!$D$17</f>
        <v>18381</v>
      </c>
      <c r="E74" s="143">
        <f t="shared" si="16"/>
        <v>20524</v>
      </c>
      <c r="F74" s="144">
        <f>[57]SKL!$R$17</f>
        <v>284</v>
      </c>
      <c r="G74" s="145">
        <f>[57]SKL!$D$17</f>
        <v>20808</v>
      </c>
      <c r="H74" s="143">
        <f t="shared" si="17"/>
        <v>17565</v>
      </c>
      <c r="I74" s="144">
        <f>[58]SKL!$R$17</f>
        <v>280</v>
      </c>
      <c r="J74" s="145">
        <f>[58]SKL!$D$17</f>
        <v>17845</v>
      </c>
      <c r="K74" s="143">
        <f t="shared" si="18"/>
        <v>13729</v>
      </c>
      <c r="L74" s="144">
        <f>[59]SKL!$R$17</f>
        <v>270</v>
      </c>
      <c r="M74" s="145">
        <f>[59]SKL!$D$17</f>
        <v>13999</v>
      </c>
      <c r="N74" s="143">
        <f t="shared" si="19"/>
        <v>9441</v>
      </c>
      <c r="O74" s="144">
        <f>[60]SKL!$R$17</f>
        <v>135</v>
      </c>
      <c r="P74" s="145">
        <f>[60]SKL!$D$17</f>
        <v>9576</v>
      </c>
    </row>
    <row r="75" spans="1:16">
      <c r="A75" s="146" t="s">
        <v>95</v>
      </c>
      <c r="B75" s="143">
        <f t="shared" si="15"/>
        <v>45891</v>
      </c>
      <c r="C75" s="144">
        <f>[61]SKL!$R$17</f>
        <v>1524</v>
      </c>
      <c r="D75" s="145">
        <f>[61]SKL!$D$17</f>
        <v>47415</v>
      </c>
      <c r="E75" s="143">
        <f t="shared" si="16"/>
        <v>45182</v>
      </c>
      <c r="F75" s="144">
        <f>[62]SKL!$R$17</f>
        <v>1586</v>
      </c>
      <c r="G75" s="145">
        <f>[62]SKL!$D$17</f>
        <v>46768</v>
      </c>
      <c r="H75" s="143">
        <f t="shared" si="17"/>
        <v>44158</v>
      </c>
      <c r="I75" s="144">
        <f>[63]SKL!$R$17</f>
        <v>1471</v>
      </c>
      <c r="J75" s="145">
        <f>[63]SKL!$D$17</f>
        <v>45629</v>
      </c>
      <c r="K75" s="143">
        <f t="shared" si="18"/>
        <v>43907</v>
      </c>
      <c r="L75" s="144">
        <f>[64]SKL!$R$17</f>
        <v>1487</v>
      </c>
      <c r="M75" s="145">
        <f>[64]SKL!$D$17</f>
        <v>45394</v>
      </c>
      <c r="N75" s="143">
        <f t="shared" si="19"/>
        <v>43405</v>
      </c>
      <c r="O75" s="144">
        <f>[65]SKL!$R$17</f>
        <v>1500</v>
      </c>
      <c r="P75" s="145">
        <f>[65]SKL!$D$17</f>
        <v>44905</v>
      </c>
    </row>
    <row r="76" spans="1:16">
      <c r="A76" s="146" t="s">
        <v>96</v>
      </c>
      <c r="B76" s="132">
        <f>SUM(B60:B75)</f>
        <v>406254</v>
      </c>
      <c r="C76" s="141">
        <f>SUM(C60:C75)-C68-C66-C73</f>
        <v>19028</v>
      </c>
      <c r="D76" s="137">
        <f>SUM(B76:C76)</f>
        <v>425282</v>
      </c>
      <c r="E76" s="132">
        <f>SUM(E60:E75)</f>
        <v>428046</v>
      </c>
      <c r="F76" s="141">
        <f>SUM(F60:F75)-F68-F66-F73</f>
        <v>20485</v>
      </c>
      <c r="G76" s="137">
        <f>SUM(E76:F76)</f>
        <v>448531</v>
      </c>
      <c r="H76" s="132">
        <f>SUM(H60:H75)</f>
        <v>447995</v>
      </c>
      <c r="I76" s="141">
        <f>SUM(I60:I75)-I68-I66-I73</f>
        <v>22245</v>
      </c>
      <c r="J76" s="137">
        <f>SUM(H76:I76)</f>
        <v>470240</v>
      </c>
      <c r="K76" s="132">
        <f>SUM(K60:K75)</f>
        <v>467114</v>
      </c>
      <c r="L76" s="141">
        <f>SUM(L60:L75)-L68-L66-L73</f>
        <v>23607</v>
      </c>
      <c r="M76" s="137">
        <f>SUM(K76:L76)</f>
        <v>490721</v>
      </c>
      <c r="N76" s="132">
        <f>SUM(N60:N75)</f>
        <v>486148</v>
      </c>
      <c r="O76" s="141">
        <f>SUM(O60:O75)-O68-O66-O73</f>
        <v>24670</v>
      </c>
      <c r="P76" s="137">
        <f>SUM(N76:O76)</f>
        <v>510818</v>
      </c>
    </row>
    <row r="77" spans="1:16">
      <c r="A77" s="429" t="s">
        <v>15</v>
      </c>
      <c r="B77" s="430"/>
      <c r="C77" s="430"/>
      <c r="D77" s="430"/>
      <c r="E77" s="430"/>
      <c r="F77" s="430"/>
      <c r="G77" s="430"/>
      <c r="H77" s="430"/>
      <c r="I77" s="430"/>
      <c r="J77" s="430"/>
      <c r="K77" s="430"/>
      <c r="L77" s="430"/>
      <c r="M77" s="430"/>
      <c r="N77" s="430"/>
      <c r="O77" s="430"/>
      <c r="P77" s="430"/>
    </row>
    <row r="78" spans="1:16">
      <c r="A78" s="146" t="s">
        <v>80</v>
      </c>
      <c r="B78" s="143">
        <f>D78-C78</f>
        <v>229633</v>
      </c>
      <c r="C78" s="144">
        <f>[1]SKL!$R$20</f>
        <v>14470</v>
      </c>
      <c r="D78" s="145">
        <f>[1]SKL!$D$20</f>
        <v>244103</v>
      </c>
      <c r="E78" s="143">
        <f>G78-F78</f>
        <v>224569</v>
      </c>
      <c r="F78" s="144">
        <f>[2]SKL!$R$20</f>
        <v>14781</v>
      </c>
      <c r="G78" s="145">
        <f>[2]SKL!$D$20</f>
        <v>239350</v>
      </c>
      <c r="H78" s="143">
        <f>J78-I78</f>
        <v>216713</v>
      </c>
      <c r="I78" s="144">
        <f>[3]SKL!$R$20</f>
        <v>14918</v>
      </c>
      <c r="J78" s="145">
        <f>[3]SKL!$D$20</f>
        <v>231631</v>
      </c>
      <c r="K78" s="143">
        <f>M78-L78</f>
        <v>209566</v>
      </c>
      <c r="L78" s="144">
        <f>[4]SKL!$R$20</f>
        <v>15154</v>
      </c>
      <c r="M78" s="145">
        <f>[4]SKL!$D$20</f>
        <v>224720</v>
      </c>
      <c r="N78" s="143">
        <f>P78-O78</f>
        <v>203845</v>
      </c>
      <c r="O78" s="144">
        <f>[5]SKL!$R$20</f>
        <v>15271</v>
      </c>
      <c r="P78" s="145">
        <f>[5]SKL!$D$20</f>
        <v>219116</v>
      </c>
    </row>
    <row r="79" spans="1:16">
      <c r="A79" s="146" t="s">
        <v>81</v>
      </c>
      <c r="B79" s="143">
        <f t="shared" ref="B79:B93" si="20">D79-C79</f>
        <v>211320</v>
      </c>
      <c r="C79" s="144">
        <f>[6]SKL!$R$20</f>
        <v>53748</v>
      </c>
      <c r="D79" s="145">
        <f>[6]SKL!$D$20</f>
        <v>265068</v>
      </c>
      <c r="E79" s="143">
        <f t="shared" ref="E79:E93" si="21">G79-F79</f>
        <v>209607</v>
      </c>
      <c r="F79" s="144">
        <f>[7]SKL!$R$20</f>
        <v>52262</v>
      </c>
      <c r="G79" s="145">
        <f>[7]SKL!$D$20</f>
        <v>261869</v>
      </c>
      <c r="H79" s="143">
        <f t="shared" ref="H79:H93" si="22">J79-I79</f>
        <v>205080</v>
      </c>
      <c r="I79" s="144">
        <f>[8]SKL!$R$20</f>
        <v>50418</v>
      </c>
      <c r="J79" s="145">
        <f>[8]SKL!$D$20</f>
        <v>255498</v>
      </c>
      <c r="K79" s="143">
        <f t="shared" ref="K79:K93" si="23">M79-L79</f>
        <v>201908</v>
      </c>
      <c r="L79" s="144">
        <f>[9]SKL!$R$20</f>
        <v>49220</v>
      </c>
      <c r="M79" s="145">
        <f>[9]SKL!$D$20</f>
        <v>251128</v>
      </c>
      <c r="N79" s="143">
        <f t="shared" ref="N79:N93" si="24">P79-O79</f>
        <v>195569</v>
      </c>
      <c r="O79" s="144">
        <f>[10]SKL!$R$20</f>
        <v>47582</v>
      </c>
      <c r="P79" s="145">
        <f>[10]SKL!$D$20</f>
        <v>243151</v>
      </c>
    </row>
    <row r="80" spans="1:16">
      <c r="A80" s="146" t="s">
        <v>82</v>
      </c>
      <c r="B80" s="143">
        <f t="shared" si="20"/>
        <v>5060</v>
      </c>
      <c r="C80" s="144">
        <f>[11]SKL!$R$20</f>
        <v>505</v>
      </c>
      <c r="D80" s="145">
        <f>[11]SKL!$D$20</f>
        <v>5565</v>
      </c>
      <c r="E80" s="143">
        <f t="shared" si="21"/>
        <v>549</v>
      </c>
      <c r="F80" s="144">
        <f>[12]SKL!$R$20</f>
        <v>118</v>
      </c>
      <c r="G80" s="145">
        <f>[12]SKL!$D$20</f>
        <v>667</v>
      </c>
      <c r="H80" s="143">
        <f t="shared" si="22"/>
        <v>0</v>
      </c>
      <c r="I80" s="144">
        <f>[13]SKL!$R$20</f>
        <v>0</v>
      </c>
      <c r="J80" s="145">
        <f>[13]SKL!$D$20</f>
        <v>0</v>
      </c>
      <c r="K80" s="143">
        <f t="shared" si="23"/>
        <v>0</v>
      </c>
      <c r="L80" s="144">
        <f>[14]SKL!$R$20</f>
        <v>0</v>
      </c>
      <c r="M80" s="145">
        <f>[14]SKL!$D$20</f>
        <v>0</v>
      </c>
      <c r="N80" s="143">
        <f t="shared" si="24"/>
        <v>0</v>
      </c>
      <c r="O80" s="144">
        <f>[15]SKL!$R$20</f>
        <v>0</v>
      </c>
      <c r="P80" s="145">
        <f>[15]SKL!$D$20</f>
        <v>0</v>
      </c>
    </row>
    <row r="81" spans="1:16">
      <c r="A81" s="146" t="s">
        <v>83</v>
      </c>
      <c r="B81" s="143">
        <f t="shared" si="20"/>
        <v>0</v>
      </c>
      <c r="C81" s="144">
        <f>[16]SKL!$R$20</f>
        <v>0</v>
      </c>
      <c r="D81" s="145">
        <f>[16]SKL!$D$20</f>
        <v>0</v>
      </c>
      <c r="E81" s="143">
        <f t="shared" si="21"/>
        <v>0</v>
      </c>
      <c r="F81" s="144">
        <f>[17]SKL!$R$20</f>
        <v>0</v>
      </c>
      <c r="G81" s="145">
        <f>[17]SKL!$D$20</f>
        <v>0</v>
      </c>
      <c r="H81" s="143">
        <f t="shared" si="22"/>
        <v>0</v>
      </c>
      <c r="I81" s="144">
        <f>[18]SKL!$R$20</f>
        <v>0</v>
      </c>
      <c r="J81" s="145">
        <f>[18]SKL!$D$20</f>
        <v>0</v>
      </c>
      <c r="K81" s="143">
        <f t="shared" si="23"/>
        <v>0</v>
      </c>
      <c r="L81" s="144">
        <f>[19]SKL!$R$20</f>
        <v>0</v>
      </c>
      <c r="M81" s="145">
        <f>[19]SKL!$D$20</f>
        <v>0</v>
      </c>
      <c r="N81" s="143">
        <f t="shared" si="24"/>
        <v>0</v>
      </c>
      <c r="O81" s="144">
        <f>[20]SKL!$R$20</f>
        <v>0</v>
      </c>
      <c r="P81" s="145">
        <f>[20]SKL!$D$20</f>
        <v>0</v>
      </c>
    </row>
    <row r="82" spans="1:16">
      <c r="A82" s="146" t="s">
        <v>84</v>
      </c>
      <c r="B82" s="143">
        <f t="shared" si="20"/>
        <v>0</v>
      </c>
      <c r="C82" s="144">
        <f>[21]SKL!$R$20</f>
        <v>0</v>
      </c>
      <c r="D82" s="145">
        <f>[21]SKL!$D$20</f>
        <v>0</v>
      </c>
      <c r="E82" s="143">
        <f t="shared" si="21"/>
        <v>0</v>
      </c>
      <c r="F82" s="144">
        <f>[22]SKL!$R$20</f>
        <v>0</v>
      </c>
      <c r="G82" s="145">
        <f>[22]SKL!$D$20</f>
        <v>0</v>
      </c>
      <c r="H82" s="143">
        <f t="shared" si="22"/>
        <v>0</v>
      </c>
      <c r="I82" s="144">
        <f>[23]SKL!$R$20</f>
        <v>0</v>
      </c>
      <c r="J82" s="145">
        <f>[23]SKL!$D$20</f>
        <v>0</v>
      </c>
      <c r="K82" s="143">
        <f t="shared" si="23"/>
        <v>0</v>
      </c>
      <c r="L82" s="144">
        <f>[24]SKL!$R$20</f>
        <v>0</v>
      </c>
      <c r="M82" s="145">
        <f>[24]SKL!$D$20</f>
        <v>0</v>
      </c>
      <c r="N82" s="143">
        <f t="shared" si="24"/>
        <v>0</v>
      </c>
      <c r="O82" s="144">
        <f>[25]SKL!$R$20</f>
        <v>0</v>
      </c>
      <c r="P82" s="145">
        <f>[25]SKL!$D$20</f>
        <v>0</v>
      </c>
    </row>
    <row r="83" spans="1:16" ht="10.5" customHeight="1">
      <c r="A83" s="146" t="s">
        <v>85</v>
      </c>
      <c r="B83" s="143">
        <f t="shared" si="20"/>
        <v>0</v>
      </c>
      <c r="C83" s="144">
        <f>[26]SKL!$R$20</f>
        <v>0</v>
      </c>
      <c r="D83" s="145">
        <f>[26]SKL!$D$20</f>
        <v>0</v>
      </c>
      <c r="E83" s="143">
        <f t="shared" si="21"/>
        <v>0</v>
      </c>
      <c r="F83" s="144">
        <f>[27]SKL!$R$20</f>
        <v>0</v>
      </c>
      <c r="G83" s="145">
        <f>[27]SKL!$D$20</f>
        <v>0</v>
      </c>
      <c r="H83" s="143">
        <f t="shared" si="22"/>
        <v>0</v>
      </c>
      <c r="I83" s="144">
        <f>[28]SKL!$R$20</f>
        <v>0</v>
      </c>
      <c r="J83" s="145">
        <f>[28]SKL!$D$20</f>
        <v>0</v>
      </c>
      <c r="K83" s="143">
        <f t="shared" si="23"/>
        <v>0</v>
      </c>
      <c r="L83" s="144">
        <f>[29]SKL!$R$20</f>
        <v>0</v>
      </c>
      <c r="M83" s="145">
        <f>[29]SKL!$D$20</f>
        <v>0</v>
      </c>
      <c r="N83" s="143">
        <f t="shared" si="24"/>
        <v>0</v>
      </c>
      <c r="O83" s="144">
        <f>[30]SKL!$R$20</f>
        <v>0</v>
      </c>
      <c r="P83" s="145">
        <f>[30]SKL!$D$20</f>
        <v>0</v>
      </c>
    </row>
    <row r="84" spans="1:16" ht="10.15" customHeight="1">
      <c r="A84" s="218" t="s">
        <v>86</v>
      </c>
      <c r="B84" s="143">
        <f t="shared" si="20"/>
        <v>76370</v>
      </c>
      <c r="C84" s="144">
        <f>[66]SKL!$R$20</f>
        <v>5160</v>
      </c>
      <c r="D84" s="145">
        <f>[66]SKL!$D$20</f>
        <v>81530</v>
      </c>
      <c r="E84" s="143">
        <f t="shared" si="21"/>
        <v>71952</v>
      </c>
      <c r="F84" s="144">
        <f>[67]SKL!$R$20</f>
        <v>5423</v>
      </c>
      <c r="G84" s="145">
        <f>[67]SKL!$D$20</f>
        <v>77375</v>
      </c>
      <c r="H84" s="143">
        <f t="shared" si="22"/>
        <v>67363</v>
      </c>
      <c r="I84" s="144">
        <f>[68]SKL!$R$20</f>
        <v>5239</v>
      </c>
      <c r="J84" s="145">
        <f>[68]SKL!$D$20</f>
        <v>72602</v>
      </c>
      <c r="K84" s="143">
        <f t="shared" si="23"/>
        <v>64035</v>
      </c>
      <c r="L84" s="144">
        <f>[69]SKL!$R$20</f>
        <v>5266</v>
      </c>
      <c r="M84" s="145">
        <f>[69]SKL!$D$20</f>
        <v>69301</v>
      </c>
      <c r="N84" s="143">
        <f t="shared" si="24"/>
        <v>61228</v>
      </c>
      <c r="O84" s="144">
        <f>[70]SKL!$R$20</f>
        <v>5281</v>
      </c>
      <c r="P84" s="145">
        <f>[70]SKL!$D$20</f>
        <v>66509</v>
      </c>
    </row>
    <row r="85" spans="1:16">
      <c r="A85" s="146" t="s">
        <v>87</v>
      </c>
      <c r="B85" s="143">
        <f t="shared" si="20"/>
        <v>0</v>
      </c>
      <c r="C85" s="144">
        <f>[31]SKL!$R$20</f>
        <v>0</v>
      </c>
      <c r="D85" s="145">
        <f>[31]SKL!$D$20</f>
        <v>0</v>
      </c>
      <c r="E85" s="143">
        <f t="shared" si="21"/>
        <v>0</v>
      </c>
      <c r="F85" s="144">
        <f>[32]SKL!$R$20</f>
        <v>0</v>
      </c>
      <c r="G85" s="145">
        <f>[32]SKL!$D$20</f>
        <v>0</v>
      </c>
      <c r="H85" s="143">
        <f t="shared" si="22"/>
        <v>0</v>
      </c>
      <c r="I85" s="144">
        <f>[33]SKL!$R$20</f>
        <v>0</v>
      </c>
      <c r="J85" s="145">
        <f>[33]SKL!$D$20</f>
        <v>0</v>
      </c>
      <c r="K85" s="143">
        <f t="shared" si="23"/>
        <v>0</v>
      </c>
      <c r="L85" s="144">
        <f>[34]SKL!$R$20</f>
        <v>0</v>
      </c>
      <c r="M85" s="145">
        <f>[34]SKL!$D$20</f>
        <v>0</v>
      </c>
      <c r="N85" s="143">
        <f t="shared" si="24"/>
        <v>0</v>
      </c>
      <c r="O85" s="144">
        <f>[35]SKL!$R$20</f>
        <v>0</v>
      </c>
      <c r="P85" s="145">
        <f>[35]SKL!$D$20</f>
        <v>0</v>
      </c>
    </row>
    <row r="86" spans="1:16">
      <c r="A86" s="146" t="s">
        <v>88</v>
      </c>
      <c r="B86" s="143">
        <f t="shared" si="20"/>
        <v>152894</v>
      </c>
      <c r="C86" s="144">
        <f>[71]SKL!$R$20</f>
        <v>7206</v>
      </c>
      <c r="D86" s="145">
        <f>[71]SKL!$D$20</f>
        <v>160100</v>
      </c>
      <c r="E86" s="143">
        <f t="shared" si="21"/>
        <v>135186</v>
      </c>
      <c r="F86" s="144">
        <f>[72]SKL!$R$20</f>
        <v>6019</v>
      </c>
      <c r="G86" s="145">
        <f>[72]SKL!$D$20</f>
        <v>141205</v>
      </c>
      <c r="H86" s="143">
        <f t="shared" si="22"/>
        <v>115838</v>
      </c>
      <c r="I86" s="144">
        <f>[73]SKL!$R$20</f>
        <v>4815</v>
      </c>
      <c r="J86" s="145">
        <f>[73]SKL!$D$20</f>
        <v>120653</v>
      </c>
      <c r="K86" s="143">
        <f t="shared" si="23"/>
        <v>97463</v>
      </c>
      <c r="L86" s="144">
        <f>[74]SKL!$R$20</f>
        <v>3773</v>
      </c>
      <c r="M86" s="145">
        <f>[74]SKL!$D$20</f>
        <v>101236</v>
      </c>
      <c r="N86" s="143">
        <f t="shared" si="24"/>
        <v>81279</v>
      </c>
      <c r="O86" s="144">
        <f>[75]SKL!$R$20</f>
        <v>2590</v>
      </c>
      <c r="P86" s="145">
        <f>[75]SKL!$D$20</f>
        <v>83869</v>
      </c>
    </row>
    <row r="87" spans="1:16">
      <c r="A87" s="146" t="s">
        <v>89</v>
      </c>
      <c r="B87" s="143">
        <f t="shared" si="20"/>
        <v>275683</v>
      </c>
      <c r="C87" s="144">
        <f>[36]SKL!$R$20</f>
        <v>23224</v>
      </c>
      <c r="D87" s="145">
        <f>[36]SKL!$D$20</f>
        <v>298907</v>
      </c>
      <c r="E87" s="143">
        <f t="shared" si="21"/>
        <v>259040</v>
      </c>
      <c r="F87" s="144">
        <f>[37]SKL!$R$20</f>
        <v>22907</v>
      </c>
      <c r="G87" s="145">
        <f>[37]SKL!$D$20</f>
        <v>281947</v>
      </c>
      <c r="H87" s="143">
        <f t="shared" si="22"/>
        <v>240988</v>
      </c>
      <c r="I87" s="144">
        <f>[38]SKL!$R$20</f>
        <v>22152</v>
      </c>
      <c r="J87" s="145">
        <f>[38]SKL!$D$20</f>
        <v>263140</v>
      </c>
      <c r="K87" s="143">
        <f t="shared" si="23"/>
        <v>226725</v>
      </c>
      <c r="L87" s="144">
        <f>[39]SKL!$R$20</f>
        <v>21817</v>
      </c>
      <c r="M87" s="145">
        <f>[39]SKL!$D$20</f>
        <v>248542</v>
      </c>
      <c r="N87" s="143">
        <f t="shared" si="24"/>
        <v>214409</v>
      </c>
      <c r="O87" s="144">
        <f>[40]SKL!$R$20</f>
        <v>21115</v>
      </c>
      <c r="P87" s="145">
        <f>[40]SKL!$D$20</f>
        <v>235524</v>
      </c>
    </row>
    <row r="88" spans="1:16" ht="12" customHeight="1">
      <c r="A88" s="146" t="s">
        <v>90</v>
      </c>
      <c r="B88" s="143">
        <f t="shared" si="20"/>
        <v>2727</v>
      </c>
      <c r="C88" s="144">
        <f>[41]SKL!$R$20</f>
        <v>4603</v>
      </c>
      <c r="D88" s="145">
        <f>[41]SKL!$D$20</f>
        <v>7330</v>
      </c>
      <c r="E88" s="143">
        <f t="shared" si="21"/>
        <v>0</v>
      </c>
      <c r="F88" s="144">
        <f>[42]SKL!$R$20</f>
        <v>4558</v>
      </c>
      <c r="G88" s="145">
        <f>[42]SKL!$D$20</f>
        <v>4558</v>
      </c>
      <c r="H88" s="143">
        <f t="shared" si="22"/>
        <v>0</v>
      </c>
      <c r="I88" s="144">
        <f>[43]SKL!$R$20</f>
        <v>4187</v>
      </c>
      <c r="J88" s="145">
        <f>[43]SKL!$D$20</f>
        <v>4187</v>
      </c>
      <c r="K88" s="143">
        <f t="shared" si="23"/>
        <v>0</v>
      </c>
      <c r="L88" s="144">
        <f>[44]SKL!$R$20</f>
        <v>3582</v>
      </c>
      <c r="M88" s="145">
        <f>[44]SKL!$D$20</f>
        <v>3582</v>
      </c>
      <c r="N88" s="143">
        <f t="shared" si="24"/>
        <v>0</v>
      </c>
      <c r="O88" s="144">
        <f>[45]SKL!$R$20</f>
        <v>3613</v>
      </c>
      <c r="P88" s="145">
        <f>[45]SKL!$D$20</f>
        <v>3613</v>
      </c>
    </row>
    <row r="89" spans="1:16">
      <c r="A89" s="146" t="s">
        <v>91</v>
      </c>
      <c r="B89" s="143">
        <f t="shared" si="20"/>
        <v>0</v>
      </c>
      <c r="C89" s="144">
        <f>[46]SKL!$R$20</f>
        <v>1266</v>
      </c>
      <c r="D89" s="145">
        <f>[46]SKL!$D$20</f>
        <v>1266</v>
      </c>
      <c r="E89" s="143">
        <f t="shared" si="21"/>
        <v>0</v>
      </c>
      <c r="F89" s="144">
        <f>[47]SKL!$R$20</f>
        <v>1253</v>
      </c>
      <c r="G89" s="145">
        <f>[47]SKL!$D$20</f>
        <v>1253</v>
      </c>
      <c r="H89" s="143">
        <f t="shared" si="22"/>
        <v>0</v>
      </c>
      <c r="I89" s="144">
        <f>[48]SKL!$R$20</f>
        <v>1240</v>
      </c>
      <c r="J89" s="145">
        <f>[48]SKL!$D$20</f>
        <v>1240</v>
      </c>
      <c r="K89" s="143">
        <f t="shared" si="23"/>
        <v>0</v>
      </c>
      <c r="L89" s="144">
        <f>[49]SKL!$R$20</f>
        <v>1392</v>
      </c>
      <c r="M89" s="145">
        <f>[49]SKL!$D$20</f>
        <v>1392</v>
      </c>
      <c r="N89" s="143">
        <f t="shared" si="24"/>
        <v>0</v>
      </c>
      <c r="O89" s="144">
        <f>[50]SKL!$R$20</f>
        <v>1010</v>
      </c>
      <c r="P89" s="145">
        <f>[50]SKL!$D$20</f>
        <v>1010</v>
      </c>
    </row>
    <row r="90" spans="1:16">
      <c r="A90" s="146" t="s">
        <v>92</v>
      </c>
      <c r="B90" s="143">
        <f t="shared" si="20"/>
        <v>0</v>
      </c>
      <c r="C90" s="144">
        <f>[51]SKL!$R$20</f>
        <v>0</v>
      </c>
      <c r="D90" s="145">
        <f>[51]SKL!$D$20</f>
        <v>0</v>
      </c>
      <c r="E90" s="143">
        <f t="shared" si="21"/>
        <v>0</v>
      </c>
      <c r="F90" s="144">
        <f>[52]SKL!$R$20</f>
        <v>0</v>
      </c>
      <c r="G90" s="145">
        <f>[52]SKL!$D$20</f>
        <v>0</v>
      </c>
      <c r="H90" s="143">
        <f t="shared" si="22"/>
        <v>0</v>
      </c>
      <c r="I90" s="144">
        <f>[53]SKL!$R$20</f>
        <v>0</v>
      </c>
      <c r="J90" s="145">
        <f>[53]SKL!$D$20</f>
        <v>0</v>
      </c>
      <c r="K90" s="143">
        <f t="shared" si="23"/>
        <v>0</v>
      </c>
      <c r="L90" s="144">
        <f>[54]SKL!$R$20</f>
        <v>0</v>
      </c>
      <c r="M90" s="145">
        <f>[54]SKL!$D$20</f>
        <v>0</v>
      </c>
      <c r="N90" s="143">
        <f t="shared" si="24"/>
        <v>0</v>
      </c>
      <c r="O90" s="144">
        <f>[55]SKL!$R$20</f>
        <v>0</v>
      </c>
      <c r="P90" s="145">
        <f>[55]SKL!$D$20</f>
        <v>0</v>
      </c>
    </row>
    <row r="91" spans="1:16">
      <c r="A91" s="146" t="s">
        <v>93</v>
      </c>
      <c r="B91" s="143">
        <f t="shared" si="20"/>
        <v>0</v>
      </c>
      <c r="C91" s="144">
        <f>[76]SKL!$R$20</f>
        <v>0</v>
      </c>
      <c r="D91" s="145">
        <f>[76]SKL!$D$20</f>
        <v>0</v>
      </c>
      <c r="E91" s="143">
        <f t="shared" si="21"/>
        <v>0</v>
      </c>
      <c r="F91" s="144">
        <f>[77]SKL!$R$20</f>
        <v>0</v>
      </c>
      <c r="G91" s="145">
        <f>[77]SKL!$D$20</f>
        <v>0</v>
      </c>
      <c r="H91" s="143">
        <f t="shared" si="22"/>
        <v>0</v>
      </c>
      <c r="I91" s="144">
        <f>[78]SKL!$R$20</f>
        <v>0</v>
      </c>
      <c r="J91" s="145">
        <f>[78]SKL!$D$20</f>
        <v>0</v>
      </c>
      <c r="K91" s="143">
        <f t="shared" si="23"/>
        <v>0</v>
      </c>
      <c r="L91" s="144">
        <f>[79]SKL!$R$20</f>
        <v>0</v>
      </c>
      <c r="M91" s="145">
        <f>[79]SKL!$D$20</f>
        <v>0</v>
      </c>
      <c r="N91" s="143">
        <f t="shared" si="24"/>
        <v>0</v>
      </c>
      <c r="O91" s="144">
        <f>[80]SKL!$R$20</f>
        <v>0</v>
      </c>
      <c r="P91" s="145">
        <f>[80]SKL!$D$20</f>
        <v>0</v>
      </c>
    </row>
    <row r="92" spans="1:16">
      <c r="A92" s="146" t="s">
        <v>94</v>
      </c>
      <c r="B92" s="143">
        <f t="shared" si="20"/>
        <v>16576</v>
      </c>
      <c r="C92" s="144">
        <f>[56]SKL!$R$20</f>
        <v>153</v>
      </c>
      <c r="D92" s="145">
        <f>[56]SKL!$D$20</f>
        <v>16729</v>
      </c>
      <c r="E92" s="143">
        <f t="shared" si="21"/>
        <v>6826</v>
      </c>
      <c r="F92" s="144">
        <f>[57]SKL!$R$20</f>
        <v>110</v>
      </c>
      <c r="G92" s="145">
        <f>[57]SKL!$D$20</f>
        <v>6936</v>
      </c>
      <c r="H92" s="143">
        <f t="shared" si="22"/>
        <v>1675</v>
      </c>
      <c r="I92" s="144">
        <f>[58]SKL!$R$20</f>
        <v>80</v>
      </c>
      <c r="J92" s="145">
        <f>[58]SKL!$D$20</f>
        <v>1755</v>
      </c>
      <c r="K92" s="143">
        <f t="shared" si="23"/>
        <v>21</v>
      </c>
      <c r="L92" s="144">
        <f>[59]SKL!$R$20</f>
        <v>48</v>
      </c>
      <c r="M92" s="145">
        <f>[59]SKL!$D$20</f>
        <v>69</v>
      </c>
      <c r="N92" s="143">
        <f t="shared" si="24"/>
        <v>0</v>
      </c>
      <c r="O92" s="144">
        <f>[60]SKL!$R$20</f>
        <v>0</v>
      </c>
      <c r="P92" s="145">
        <f>[60]SKL!$D$20</f>
        <v>0</v>
      </c>
    </row>
    <row r="93" spans="1:16">
      <c r="A93" s="146" t="s">
        <v>95</v>
      </c>
      <c r="B93" s="143">
        <f t="shared" si="20"/>
        <v>0</v>
      </c>
      <c r="C93" s="144">
        <f>[61]SKL!$R$20</f>
        <v>0</v>
      </c>
      <c r="D93" s="145">
        <f>[61]SKL!$D$20</f>
        <v>0</v>
      </c>
      <c r="E93" s="143">
        <f t="shared" si="21"/>
        <v>0</v>
      </c>
      <c r="F93" s="144">
        <f>[62]SKL!$R$20</f>
        <v>0</v>
      </c>
      <c r="G93" s="145">
        <f>[62]SKL!$D$20</f>
        <v>0</v>
      </c>
      <c r="H93" s="143">
        <f t="shared" si="22"/>
        <v>0</v>
      </c>
      <c r="I93" s="144">
        <f>[63]SKL!$R$20</f>
        <v>0</v>
      </c>
      <c r="J93" s="145">
        <f>[63]SKL!$D$20</f>
        <v>0</v>
      </c>
      <c r="K93" s="143">
        <f t="shared" si="23"/>
        <v>0</v>
      </c>
      <c r="L93" s="144">
        <f>[64]SKL!$R$20</f>
        <v>0</v>
      </c>
      <c r="M93" s="145">
        <f>[64]SKL!$D$20</f>
        <v>0</v>
      </c>
      <c r="N93" s="143">
        <f t="shared" si="24"/>
        <v>0</v>
      </c>
      <c r="O93" s="144">
        <f>[65]SKL!$R$20</f>
        <v>0</v>
      </c>
      <c r="P93" s="145">
        <f>[65]SKL!$D$20</f>
        <v>0</v>
      </c>
    </row>
    <row r="94" spans="1:16">
      <c r="A94" s="146" t="s">
        <v>96</v>
      </c>
      <c r="B94" s="132">
        <f>SUM(B78:B93)</f>
        <v>970263</v>
      </c>
      <c r="C94" s="141">
        <f>SUM(C78:C93)-C86-C84-C91</f>
        <v>97969</v>
      </c>
      <c r="D94" s="137">
        <f>SUM(B94:C94)</f>
        <v>1068232</v>
      </c>
      <c r="E94" s="132">
        <f>SUM(E78:E93)</f>
        <v>907729</v>
      </c>
      <c r="F94" s="141">
        <f>SUM(F78:F93)-F86-F84-F91</f>
        <v>95989</v>
      </c>
      <c r="G94" s="137">
        <f>SUM(E94:F94)</f>
        <v>1003718</v>
      </c>
      <c r="H94" s="132">
        <f>SUM(H78:H93)</f>
        <v>847657</v>
      </c>
      <c r="I94" s="141">
        <f>SUM(I78:I93)-I86-I84-I91</f>
        <v>92995</v>
      </c>
      <c r="J94" s="137">
        <f>SUM(H94:I94)</f>
        <v>940652</v>
      </c>
      <c r="K94" s="132">
        <f>SUM(K78:K93)</f>
        <v>799718</v>
      </c>
      <c r="L94" s="141">
        <f>SUM(L78:L93)-L86-L84-L91</f>
        <v>91213</v>
      </c>
      <c r="M94" s="137">
        <f>SUM(K94:L94)</f>
        <v>890931</v>
      </c>
      <c r="N94" s="132">
        <f>SUM(N78:N93)</f>
        <v>756330</v>
      </c>
      <c r="O94" s="141">
        <f>SUM(O78:O93)-O86-O84-O91</f>
        <v>88591</v>
      </c>
      <c r="P94" s="137">
        <f>SUM(N94:O94)</f>
        <v>844921</v>
      </c>
    </row>
    <row r="95" spans="1:16">
      <c r="A95" s="429" t="s">
        <v>153</v>
      </c>
      <c r="B95" s="430"/>
      <c r="C95" s="430"/>
      <c r="D95" s="430"/>
      <c r="E95" s="430"/>
      <c r="F95" s="430"/>
      <c r="G95" s="430"/>
      <c r="H95" s="430"/>
      <c r="I95" s="430"/>
      <c r="J95" s="430"/>
      <c r="K95" s="430"/>
      <c r="L95" s="430"/>
      <c r="M95" s="430"/>
      <c r="N95" s="430"/>
      <c r="O95" s="430"/>
      <c r="P95" s="430"/>
    </row>
    <row r="96" spans="1:16">
      <c r="A96" s="146" t="s">
        <v>80</v>
      </c>
      <c r="B96" s="143">
        <f>D96-C96</f>
        <v>187697</v>
      </c>
      <c r="C96" s="144">
        <f>[1]SKL!$R$24</f>
        <v>21481</v>
      </c>
      <c r="D96" s="145">
        <f>[1]SKL!$D$24</f>
        <v>209178</v>
      </c>
      <c r="E96" s="143">
        <f>G96-F96</f>
        <v>185243</v>
      </c>
      <c r="F96" s="144">
        <f>[2]SKL!$R$24</f>
        <v>21719</v>
      </c>
      <c r="G96" s="145">
        <f>[2]SKL!$D$24</f>
        <v>206962</v>
      </c>
      <c r="H96" s="143">
        <f>J96-I96</f>
        <v>181001</v>
      </c>
      <c r="I96" s="144">
        <f>[3]SKL!$R$24</f>
        <v>21575</v>
      </c>
      <c r="J96" s="145">
        <f>[3]SKL!$D$24</f>
        <v>202576</v>
      </c>
      <c r="K96" s="143">
        <f>M96-L96</f>
        <v>177078</v>
      </c>
      <c r="L96" s="144">
        <f>[4]SKL!$R$24</f>
        <v>21688</v>
      </c>
      <c r="M96" s="145">
        <f>[4]SKL!$D$24</f>
        <v>198766</v>
      </c>
      <c r="N96" s="143">
        <f>P96-O96</f>
        <v>175422</v>
      </c>
      <c r="O96" s="144">
        <f>[5]SKL!$R$24</f>
        <v>22062</v>
      </c>
      <c r="P96" s="145">
        <f>[5]SKL!$D$24</f>
        <v>197484</v>
      </c>
    </row>
    <row r="97" spans="1:16">
      <c r="A97" s="146" t="s">
        <v>81</v>
      </c>
      <c r="B97" s="143">
        <f t="shared" ref="B97:B111" si="25">D97-C97</f>
        <v>206172</v>
      </c>
      <c r="C97" s="144">
        <f>[6]SKL!$R$24</f>
        <v>22508</v>
      </c>
      <c r="D97" s="145">
        <f>[6]SKL!$D$24</f>
        <v>228680</v>
      </c>
      <c r="E97" s="143">
        <f t="shared" ref="E97:E111" si="26">G97-F97</f>
        <v>200576</v>
      </c>
      <c r="F97" s="144">
        <f>[7]SKL!$R$24</f>
        <v>21733</v>
      </c>
      <c r="G97" s="145">
        <f>[7]SKL!$D$24</f>
        <v>222309</v>
      </c>
      <c r="H97" s="143">
        <f t="shared" ref="H97:H111" si="27">J97-I97</f>
        <v>192684</v>
      </c>
      <c r="I97" s="144">
        <f>[8]SKL!$R$24</f>
        <v>20669</v>
      </c>
      <c r="J97" s="145">
        <f>[8]SKL!$D$24</f>
        <v>213353</v>
      </c>
      <c r="K97" s="143">
        <f t="shared" ref="K97:K111" si="28">M97-L97</f>
        <v>185706</v>
      </c>
      <c r="L97" s="144">
        <f>[9]SKL!$R$24</f>
        <v>19783</v>
      </c>
      <c r="M97" s="145">
        <f>[9]SKL!$D$24</f>
        <v>205489</v>
      </c>
      <c r="N97" s="143">
        <f t="shared" ref="N97:N111" si="29">P97-O97</f>
        <v>181007</v>
      </c>
      <c r="O97" s="144">
        <f>[10]SKL!$R$24</f>
        <v>19409</v>
      </c>
      <c r="P97" s="145">
        <f>[10]SKL!$D$24</f>
        <v>200416</v>
      </c>
    </row>
    <row r="98" spans="1:16">
      <c r="A98" s="146" t="s">
        <v>82</v>
      </c>
      <c r="B98" s="143">
        <f t="shared" si="25"/>
        <v>38554</v>
      </c>
      <c r="C98" s="144">
        <f>[11]SKL!$R$24</f>
        <v>4238</v>
      </c>
      <c r="D98" s="145">
        <f>[11]SKL!$D$24</f>
        <v>42792</v>
      </c>
      <c r="E98" s="143">
        <f t="shared" si="26"/>
        <v>37175</v>
      </c>
      <c r="F98" s="144">
        <f>[12]SKL!$R$24</f>
        <v>4220</v>
      </c>
      <c r="G98" s="145">
        <f>[12]SKL!$D$24</f>
        <v>41395</v>
      </c>
      <c r="H98" s="143">
        <f t="shared" si="27"/>
        <v>34793</v>
      </c>
      <c r="I98" s="144">
        <f>[13]SKL!$R$24</f>
        <v>4155</v>
      </c>
      <c r="J98" s="145">
        <f>[13]SKL!$D$24</f>
        <v>38948</v>
      </c>
      <c r="K98" s="143">
        <f t="shared" si="28"/>
        <v>35252</v>
      </c>
      <c r="L98" s="144">
        <f>[14]SKL!$R$24</f>
        <v>4147</v>
      </c>
      <c r="M98" s="145">
        <f>[14]SKL!$D$24</f>
        <v>39399</v>
      </c>
      <c r="N98" s="143">
        <f t="shared" si="29"/>
        <v>37385</v>
      </c>
      <c r="O98" s="144">
        <f>[15]SKL!$R$24</f>
        <v>4165</v>
      </c>
      <c r="P98" s="145">
        <f>[15]SKL!$D$24</f>
        <v>41550</v>
      </c>
    </row>
    <row r="99" spans="1:16">
      <c r="A99" s="146" t="s">
        <v>83</v>
      </c>
      <c r="B99" s="143">
        <f t="shared" si="25"/>
        <v>25743</v>
      </c>
      <c r="C99" s="144">
        <f>[16]SKL!$R$24</f>
        <v>3482</v>
      </c>
      <c r="D99" s="145">
        <f>[16]SKL!$D$24</f>
        <v>29225</v>
      </c>
      <c r="E99" s="143">
        <f t="shared" si="26"/>
        <v>25683</v>
      </c>
      <c r="F99" s="144">
        <f>[17]SKL!$R$24</f>
        <v>3699</v>
      </c>
      <c r="G99" s="145">
        <f>[17]SKL!$D$24</f>
        <v>29382</v>
      </c>
      <c r="H99" s="143">
        <f t="shared" si="27"/>
        <v>24300</v>
      </c>
      <c r="I99" s="144">
        <f>[18]SKL!$R$24</f>
        <v>3718</v>
      </c>
      <c r="J99" s="145">
        <f>[18]SKL!$D$24</f>
        <v>28018</v>
      </c>
      <c r="K99" s="143">
        <f t="shared" si="28"/>
        <v>24007</v>
      </c>
      <c r="L99" s="144">
        <f>[19]SKL!$R$24</f>
        <v>3742</v>
      </c>
      <c r="M99" s="145">
        <f>[19]SKL!$D$24</f>
        <v>27749</v>
      </c>
      <c r="N99" s="143">
        <f t="shared" si="29"/>
        <v>24026</v>
      </c>
      <c r="O99" s="144">
        <f>[20]SKL!$R$24</f>
        <v>3919</v>
      </c>
      <c r="P99" s="145">
        <f>[20]SKL!$D$24</f>
        <v>27945</v>
      </c>
    </row>
    <row r="100" spans="1:16">
      <c r="A100" s="146" t="s">
        <v>84</v>
      </c>
      <c r="B100" s="143">
        <f t="shared" si="25"/>
        <v>8194</v>
      </c>
      <c r="C100" s="144">
        <f>[21]SKL!$R$24</f>
        <v>1698</v>
      </c>
      <c r="D100" s="145">
        <f>[21]SKL!$D$24</f>
        <v>9892</v>
      </c>
      <c r="E100" s="143">
        <f t="shared" si="26"/>
        <v>6936</v>
      </c>
      <c r="F100" s="144">
        <f>[22]SKL!$R$24</f>
        <v>1653</v>
      </c>
      <c r="G100" s="145">
        <f>[22]SKL!$D$24</f>
        <v>8589</v>
      </c>
      <c r="H100" s="143">
        <f t="shared" si="27"/>
        <v>6103</v>
      </c>
      <c r="I100" s="144">
        <f>[23]SKL!$R$24</f>
        <v>1559</v>
      </c>
      <c r="J100" s="145">
        <f>[23]SKL!$D$24</f>
        <v>7662</v>
      </c>
      <c r="K100" s="143">
        <f t="shared" si="28"/>
        <v>5845</v>
      </c>
      <c r="L100" s="144">
        <f>[24]SKL!$R$24</f>
        <v>1529</v>
      </c>
      <c r="M100" s="145">
        <f>[24]SKL!$D$24</f>
        <v>7374</v>
      </c>
      <c r="N100" s="143">
        <f t="shared" si="29"/>
        <v>6052</v>
      </c>
      <c r="O100" s="144">
        <f>[25]SKL!$R$24</f>
        <v>1415</v>
      </c>
      <c r="P100" s="145">
        <f>[25]SKL!$D$24</f>
        <v>7467</v>
      </c>
    </row>
    <row r="101" spans="1:16">
      <c r="A101" s="146" t="s">
        <v>85</v>
      </c>
      <c r="B101" s="143">
        <f t="shared" si="25"/>
        <v>32238</v>
      </c>
      <c r="C101" s="144">
        <f>[26]SKL!$R$24</f>
        <v>2775</v>
      </c>
      <c r="D101" s="145">
        <f>[26]SKL!$D$24</f>
        <v>35013</v>
      </c>
      <c r="E101" s="143">
        <f t="shared" si="26"/>
        <v>31399</v>
      </c>
      <c r="F101" s="144">
        <f>[27]SKL!$R$24</f>
        <v>2757</v>
      </c>
      <c r="G101" s="145">
        <f>[27]SKL!$D$24</f>
        <v>34156</v>
      </c>
      <c r="H101" s="143">
        <f t="shared" si="27"/>
        <v>31617</v>
      </c>
      <c r="I101" s="144">
        <f>[28]SKL!$R$24</f>
        <v>2697</v>
      </c>
      <c r="J101" s="145">
        <f>[28]SKL!$D$24</f>
        <v>34314</v>
      </c>
      <c r="K101" s="143">
        <f t="shared" si="28"/>
        <v>32281</v>
      </c>
      <c r="L101" s="144">
        <f>[29]SKL!$R$24</f>
        <v>2703</v>
      </c>
      <c r="M101" s="145">
        <f>[29]SKL!$D$24</f>
        <v>34984</v>
      </c>
      <c r="N101" s="143">
        <f t="shared" si="29"/>
        <v>32874</v>
      </c>
      <c r="O101" s="144">
        <f>[30]SKL!$R$24</f>
        <v>2740</v>
      </c>
      <c r="P101" s="145">
        <f>[30]SKL!$D$24</f>
        <v>35614</v>
      </c>
    </row>
    <row r="102" spans="1:16">
      <c r="A102" s="146" t="s">
        <v>86</v>
      </c>
      <c r="B102" s="143">
        <f t="shared" si="25"/>
        <v>110230</v>
      </c>
      <c r="C102" s="144">
        <f>[66]SKL!$R$24</f>
        <v>12955</v>
      </c>
      <c r="D102" s="145">
        <f>[66]SKL!$D$24</f>
        <v>123185</v>
      </c>
      <c r="E102" s="143">
        <f t="shared" si="26"/>
        <v>109607</v>
      </c>
      <c r="F102" s="144">
        <f>[67]SKL!$R$24</f>
        <v>12975</v>
      </c>
      <c r="G102" s="145">
        <f>[67]SKL!$D$24</f>
        <v>122582</v>
      </c>
      <c r="H102" s="143">
        <f t="shared" si="27"/>
        <v>109989</v>
      </c>
      <c r="I102" s="144">
        <f>[68]SKL!$R$24</f>
        <v>13381</v>
      </c>
      <c r="J102" s="145">
        <f>[68]SKL!$D$24</f>
        <v>123370</v>
      </c>
      <c r="K102" s="143">
        <f t="shared" si="28"/>
        <v>111009</v>
      </c>
      <c r="L102" s="144">
        <f>[69]SKL!$R$24</f>
        <v>13561</v>
      </c>
      <c r="M102" s="145">
        <f>[69]SKL!$D$24</f>
        <v>124570</v>
      </c>
      <c r="N102" s="143">
        <f t="shared" si="29"/>
        <v>113711</v>
      </c>
      <c r="O102" s="144">
        <f>[70]SKL!$R$24</f>
        <v>13931</v>
      </c>
      <c r="P102" s="145">
        <f>[70]SKL!$D$24</f>
        <v>127642</v>
      </c>
    </row>
    <row r="103" spans="1:16">
      <c r="A103" s="146" t="s">
        <v>87</v>
      </c>
      <c r="B103" s="143">
        <f t="shared" si="25"/>
        <v>15453</v>
      </c>
      <c r="C103" s="144">
        <f>[31]SKL!$R$24</f>
        <v>1899</v>
      </c>
      <c r="D103" s="145">
        <f>[31]SKL!$D$24</f>
        <v>17352</v>
      </c>
      <c r="E103" s="143">
        <f t="shared" si="26"/>
        <v>15969</v>
      </c>
      <c r="F103" s="144">
        <f>[32]SKL!$R$24</f>
        <v>1915</v>
      </c>
      <c r="G103" s="145">
        <f>[32]SKL!$D$24</f>
        <v>17884</v>
      </c>
      <c r="H103" s="143">
        <f t="shared" si="27"/>
        <v>15877</v>
      </c>
      <c r="I103" s="144">
        <f>[33]SKL!$R$24</f>
        <v>1993</v>
      </c>
      <c r="J103" s="145">
        <f>[33]SKL!$D$24</f>
        <v>17870</v>
      </c>
      <c r="K103" s="143">
        <f t="shared" si="28"/>
        <v>15701</v>
      </c>
      <c r="L103" s="144">
        <f>[34]SKL!$R$24</f>
        <v>2113</v>
      </c>
      <c r="M103" s="145">
        <f>[34]SKL!$D$24</f>
        <v>17814</v>
      </c>
      <c r="N103" s="143">
        <f t="shared" si="29"/>
        <v>15738</v>
      </c>
      <c r="O103" s="144">
        <f>[35]SKL!$R$24</f>
        <v>2250</v>
      </c>
      <c r="P103" s="145">
        <f>[35]SKL!$D$24</f>
        <v>17988</v>
      </c>
    </row>
    <row r="104" spans="1:16">
      <c r="A104" s="146" t="s">
        <v>88</v>
      </c>
      <c r="B104" s="143">
        <f t="shared" si="25"/>
        <v>144241</v>
      </c>
      <c r="C104" s="144">
        <f>[71]SKL!$R$24</f>
        <v>15502</v>
      </c>
      <c r="D104" s="145">
        <f>[71]SKL!$D$24</f>
        <v>159743</v>
      </c>
      <c r="E104" s="143">
        <f t="shared" si="26"/>
        <v>140384</v>
      </c>
      <c r="F104" s="144">
        <f>[72]SKL!$R$24</f>
        <v>15377</v>
      </c>
      <c r="G104" s="145">
        <f>[72]SKL!$D$24</f>
        <v>155761</v>
      </c>
      <c r="H104" s="143">
        <f t="shared" si="27"/>
        <v>138066</v>
      </c>
      <c r="I104" s="144">
        <f>[73]SKL!$R$24</f>
        <v>15211</v>
      </c>
      <c r="J104" s="145">
        <f>[73]SKL!$D$24</f>
        <v>153277</v>
      </c>
      <c r="K104" s="143">
        <f t="shared" si="28"/>
        <v>138028</v>
      </c>
      <c r="L104" s="144">
        <f>[74]SKL!$R$24</f>
        <v>14939</v>
      </c>
      <c r="M104" s="145">
        <f>[74]SKL!$D$24</f>
        <v>152967</v>
      </c>
      <c r="N104" s="143">
        <f t="shared" si="29"/>
        <v>140448</v>
      </c>
      <c r="O104" s="144">
        <f>[75]SKL!$R$24</f>
        <v>14655</v>
      </c>
      <c r="P104" s="145">
        <f>[75]SKL!$D$24</f>
        <v>155103</v>
      </c>
    </row>
    <row r="105" spans="1:16">
      <c r="A105" s="146" t="s">
        <v>89</v>
      </c>
      <c r="B105" s="143">
        <f t="shared" si="25"/>
        <v>280538</v>
      </c>
      <c r="C105" s="144">
        <f>[36]SKL!$R$24</f>
        <v>53866</v>
      </c>
      <c r="D105" s="145">
        <f>[36]SKL!$D$24</f>
        <v>334404</v>
      </c>
      <c r="E105" s="143">
        <f t="shared" si="26"/>
        <v>277763</v>
      </c>
      <c r="F105" s="144">
        <f>[37]SKL!$R$24</f>
        <v>53730</v>
      </c>
      <c r="G105" s="145">
        <f>[37]SKL!$D$24</f>
        <v>331493</v>
      </c>
      <c r="H105" s="143">
        <f t="shared" si="27"/>
        <v>273353</v>
      </c>
      <c r="I105" s="144">
        <f>[38]SKL!$R$24</f>
        <v>53227</v>
      </c>
      <c r="J105" s="145">
        <f>[38]SKL!$D$24</f>
        <v>326580</v>
      </c>
      <c r="K105" s="143">
        <f t="shared" si="28"/>
        <v>271777</v>
      </c>
      <c r="L105" s="144">
        <f>[39]SKL!$R$24</f>
        <v>53160</v>
      </c>
      <c r="M105" s="145">
        <f>[39]SKL!$D$24</f>
        <v>324937</v>
      </c>
      <c r="N105" s="143">
        <f t="shared" si="29"/>
        <v>270847</v>
      </c>
      <c r="O105" s="144">
        <f>[40]SKL!$R$24</f>
        <v>53337</v>
      </c>
      <c r="P105" s="145">
        <f>[40]SKL!$D$24</f>
        <v>324184</v>
      </c>
    </row>
    <row r="106" spans="1:16">
      <c r="A106" s="146" t="s">
        <v>90</v>
      </c>
      <c r="B106" s="143">
        <f t="shared" si="25"/>
        <v>81056</v>
      </c>
      <c r="C106" s="144">
        <f>[41]SKL!$R$24</f>
        <v>13033</v>
      </c>
      <c r="D106" s="145">
        <f>[41]SKL!$D$24</f>
        <v>94089</v>
      </c>
      <c r="E106" s="143">
        <f t="shared" si="26"/>
        <v>77917</v>
      </c>
      <c r="F106" s="144">
        <f>[42]SKL!$R$24</f>
        <v>12884</v>
      </c>
      <c r="G106" s="145">
        <f>[42]SKL!$D$24</f>
        <v>90801</v>
      </c>
      <c r="H106" s="143">
        <f t="shared" si="27"/>
        <v>76038</v>
      </c>
      <c r="I106" s="144">
        <f>[43]SKL!$R$24</f>
        <v>12418</v>
      </c>
      <c r="J106" s="145">
        <f>[43]SKL!$D$24</f>
        <v>88456</v>
      </c>
      <c r="K106" s="143">
        <f t="shared" si="28"/>
        <v>74159</v>
      </c>
      <c r="L106" s="144">
        <f>[44]SKL!$R$24</f>
        <v>12375</v>
      </c>
      <c r="M106" s="145">
        <f>[44]SKL!$D$24</f>
        <v>86534</v>
      </c>
      <c r="N106" s="143">
        <f t="shared" si="29"/>
        <v>73028</v>
      </c>
      <c r="O106" s="144">
        <f>[45]SKL!$R$24</f>
        <v>12444</v>
      </c>
      <c r="P106" s="145">
        <f>[45]SKL!$D$24</f>
        <v>85472</v>
      </c>
    </row>
    <row r="107" spans="1:16">
      <c r="A107" s="146" t="s">
        <v>91</v>
      </c>
      <c r="B107" s="143">
        <f t="shared" si="25"/>
        <v>14710</v>
      </c>
      <c r="C107" s="144">
        <f>[46]SKL!$R$24</f>
        <v>1803</v>
      </c>
      <c r="D107" s="145">
        <f>[46]SKL!$D$24</f>
        <v>16513</v>
      </c>
      <c r="E107" s="143">
        <f t="shared" si="26"/>
        <v>14156</v>
      </c>
      <c r="F107" s="144">
        <f>[47]SKL!$R$24</f>
        <v>2055</v>
      </c>
      <c r="G107" s="145">
        <f>[47]SKL!$D$24</f>
        <v>16211</v>
      </c>
      <c r="H107" s="143">
        <f t="shared" si="27"/>
        <v>13773</v>
      </c>
      <c r="I107" s="144">
        <f>[48]SKL!$R$24</f>
        <v>2069</v>
      </c>
      <c r="J107" s="145">
        <f>[48]SKL!$D$24</f>
        <v>15842</v>
      </c>
      <c r="K107" s="143">
        <f t="shared" si="28"/>
        <v>13706</v>
      </c>
      <c r="L107" s="144">
        <f>[49]SKL!$R$24</f>
        <v>2066</v>
      </c>
      <c r="M107" s="145">
        <f>[49]SKL!$D$24</f>
        <v>15772</v>
      </c>
      <c r="N107" s="143">
        <f t="shared" si="29"/>
        <v>13720</v>
      </c>
      <c r="O107" s="144">
        <f>[50]SKL!$R$24</f>
        <v>2054</v>
      </c>
      <c r="P107" s="145">
        <f>[50]SKL!$D$24</f>
        <v>15774</v>
      </c>
    </row>
    <row r="108" spans="1:16">
      <c r="A108" s="146" t="s">
        <v>92</v>
      </c>
      <c r="B108" s="143">
        <f t="shared" si="25"/>
        <v>55101</v>
      </c>
      <c r="C108" s="144">
        <f>[51]SKL!$R$24</f>
        <v>6888</v>
      </c>
      <c r="D108" s="145">
        <f>[51]SKL!$D$24</f>
        <v>61989</v>
      </c>
      <c r="E108" s="143">
        <f t="shared" si="26"/>
        <v>54850</v>
      </c>
      <c r="F108" s="144">
        <f>[52]SKL!$R$24</f>
        <v>7297</v>
      </c>
      <c r="G108" s="145">
        <f>[52]SKL!$D$24</f>
        <v>62147</v>
      </c>
      <c r="H108" s="143">
        <f t="shared" si="27"/>
        <v>54729</v>
      </c>
      <c r="I108" s="144">
        <f>[53]SKL!$R$24</f>
        <v>7554</v>
      </c>
      <c r="J108" s="145">
        <f>[53]SKL!$D$24</f>
        <v>62283</v>
      </c>
      <c r="K108" s="143">
        <f t="shared" si="28"/>
        <v>54589</v>
      </c>
      <c r="L108" s="144">
        <f>[54]SKL!$R$24</f>
        <v>7641</v>
      </c>
      <c r="M108" s="145">
        <f>[54]SKL!$D$24</f>
        <v>62230</v>
      </c>
      <c r="N108" s="143">
        <f t="shared" si="29"/>
        <v>54752</v>
      </c>
      <c r="O108" s="144">
        <f>[55]SKL!$R$24</f>
        <v>7775</v>
      </c>
      <c r="P108" s="145">
        <f>[55]SKL!$D$24</f>
        <v>62527</v>
      </c>
    </row>
    <row r="109" spans="1:16">
      <c r="A109" s="146" t="s">
        <v>93</v>
      </c>
      <c r="B109" s="143">
        <f t="shared" si="25"/>
        <v>31208</v>
      </c>
      <c r="C109" s="144">
        <f>[76]SKL!$R$24</f>
        <v>3592</v>
      </c>
      <c r="D109" s="145">
        <f>[76]SKL!$D$24</f>
        <v>34800</v>
      </c>
      <c r="E109" s="143">
        <f t="shared" si="26"/>
        <v>32068</v>
      </c>
      <c r="F109" s="144">
        <f>[77]SKL!$R$24</f>
        <v>3660</v>
      </c>
      <c r="G109" s="145">
        <f>[77]SKL!$D$24</f>
        <v>35728</v>
      </c>
      <c r="H109" s="143">
        <f t="shared" si="27"/>
        <v>32386</v>
      </c>
      <c r="I109" s="144">
        <f>[78]SKL!$R$24</f>
        <v>3681</v>
      </c>
      <c r="J109" s="145">
        <f>[78]SKL!$D$24</f>
        <v>36067</v>
      </c>
      <c r="K109" s="143">
        <f t="shared" si="28"/>
        <v>32232</v>
      </c>
      <c r="L109" s="144">
        <f>[79]SKL!$R$24</f>
        <v>3736</v>
      </c>
      <c r="M109" s="145">
        <f>[79]SKL!$D$24</f>
        <v>35968</v>
      </c>
      <c r="N109" s="143">
        <f t="shared" si="29"/>
        <v>31491</v>
      </c>
      <c r="O109" s="144">
        <f>[80]SKL!$R$24</f>
        <v>3742</v>
      </c>
      <c r="P109" s="145">
        <f>[80]SKL!$D$24</f>
        <v>35233</v>
      </c>
    </row>
    <row r="110" spans="1:16">
      <c r="A110" s="146" t="s">
        <v>94</v>
      </c>
      <c r="B110" s="143">
        <f t="shared" si="25"/>
        <v>60679</v>
      </c>
      <c r="C110" s="144">
        <f>[56]SKL!$R$24</f>
        <v>1000</v>
      </c>
      <c r="D110" s="145">
        <f>[56]SKL!$D$24</f>
        <v>61679</v>
      </c>
      <c r="E110" s="143">
        <f t="shared" si="26"/>
        <v>49542</v>
      </c>
      <c r="F110" s="144">
        <f>[57]SKL!$R$24</f>
        <v>966</v>
      </c>
      <c r="G110" s="145">
        <f>[57]SKL!$D$24</f>
        <v>50508</v>
      </c>
      <c r="H110" s="143">
        <f t="shared" si="27"/>
        <v>48700</v>
      </c>
      <c r="I110" s="144">
        <f>[58]SKL!$R$24</f>
        <v>745</v>
      </c>
      <c r="J110" s="145">
        <f>[58]SKL!$D$24</f>
        <v>49445</v>
      </c>
      <c r="K110" s="143">
        <f t="shared" si="28"/>
        <v>49023</v>
      </c>
      <c r="L110" s="144">
        <f>[59]SKL!$R$24</f>
        <v>604</v>
      </c>
      <c r="M110" s="145">
        <f>[59]SKL!$D$24</f>
        <v>49627</v>
      </c>
      <c r="N110" s="143">
        <f t="shared" si="29"/>
        <v>49126</v>
      </c>
      <c r="O110" s="144">
        <f>[60]SKL!$R$24</f>
        <v>545</v>
      </c>
      <c r="P110" s="145">
        <f>[60]SKL!$D$24</f>
        <v>49671</v>
      </c>
    </row>
    <row r="111" spans="1:16">
      <c r="A111" s="146" t="s">
        <v>95</v>
      </c>
      <c r="B111" s="143">
        <f t="shared" si="25"/>
        <v>32559</v>
      </c>
      <c r="C111" s="144">
        <f>[61]SKL!$R$24</f>
        <v>2552</v>
      </c>
      <c r="D111" s="145">
        <f>[61]SKL!$D$24</f>
        <v>35111</v>
      </c>
      <c r="E111" s="143">
        <f t="shared" si="26"/>
        <v>32233</v>
      </c>
      <c r="F111" s="144">
        <f>[62]SKL!$R$24</f>
        <v>2622</v>
      </c>
      <c r="G111" s="145">
        <f>[62]SKL!$D$24</f>
        <v>34855</v>
      </c>
      <c r="H111" s="143">
        <f t="shared" si="27"/>
        <v>31916</v>
      </c>
      <c r="I111" s="144">
        <f>[63]SKL!$R$24</f>
        <v>2743</v>
      </c>
      <c r="J111" s="145">
        <f>[63]SKL!$D$24</f>
        <v>34659</v>
      </c>
      <c r="K111" s="143">
        <f t="shared" si="28"/>
        <v>31314</v>
      </c>
      <c r="L111" s="144">
        <f>[64]SKL!$R$24</f>
        <v>2807</v>
      </c>
      <c r="M111" s="145">
        <f>[64]SKL!$D$24</f>
        <v>34121</v>
      </c>
      <c r="N111" s="143">
        <f t="shared" si="29"/>
        <v>30231</v>
      </c>
      <c r="O111" s="144">
        <f>[65]SKL!$R$24</f>
        <v>2813</v>
      </c>
      <c r="P111" s="145">
        <f>[65]SKL!$D$24</f>
        <v>33044</v>
      </c>
    </row>
    <row r="112" spans="1:16">
      <c r="A112" s="146" t="s">
        <v>96</v>
      </c>
      <c r="B112" s="132">
        <f>SUM(B96:B111)</f>
        <v>1324373</v>
      </c>
      <c r="C112" s="141">
        <f>SUM(C96:C111)-C104-C102-C109</f>
        <v>137223</v>
      </c>
      <c r="D112" s="137">
        <f>SUM(B112:C112)</f>
        <v>1461596</v>
      </c>
      <c r="E112" s="132">
        <f>SUM(E96:E111)</f>
        <v>1291501</v>
      </c>
      <c r="F112" s="141">
        <f>SUM(F96:F111)-F104-F102-F109</f>
        <v>137250</v>
      </c>
      <c r="G112" s="137">
        <f>SUM(E112:F112)</f>
        <v>1428751</v>
      </c>
      <c r="H112" s="132">
        <f>SUM(H96:H111)</f>
        <v>1265325</v>
      </c>
      <c r="I112" s="141">
        <f>SUM(I96:I111)-I104-I102-I109</f>
        <v>135122</v>
      </c>
      <c r="J112" s="137">
        <f>SUM(H112:I112)</f>
        <v>1400447</v>
      </c>
      <c r="K112" s="132">
        <f>SUM(K96:K111)</f>
        <v>1251707</v>
      </c>
      <c r="L112" s="141">
        <f>SUM(L96:L111)-L104-L102-L109</f>
        <v>134358</v>
      </c>
      <c r="M112" s="137">
        <f>SUM(K112:L112)</f>
        <v>1386065</v>
      </c>
      <c r="N112" s="132">
        <f>SUM(N96:N111)</f>
        <v>1249858</v>
      </c>
      <c r="O112" s="141">
        <f>SUM(O96:O111)-O104-O102-O109</f>
        <v>134928</v>
      </c>
      <c r="P112" s="137">
        <f>SUM(N112:O112)</f>
        <v>1384786</v>
      </c>
    </row>
    <row r="113" spans="1:16">
      <c r="A113" s="429" t="s">
        <v>74</v>
      </c>
      <c r="B113" s="430"/>
      <c r="C113" s="430"/>
      <c r="D113" s="430"/>
      <c r="E113" s="430"/>
      <c r="F113" s="430"/>
      <c r="G113" s="430"/>
      <c r="H113" s="430"/>
      <c r="I113" s="430"/>
      <c r="J113" s="430"/>
      <c r="K113" s="430"/>
      <c r="L113" s="430"/>
      <c r="M113" s="430"/>
      <c r="N113" s="430"/>
      <c r="O113" s="430"/>
      <c r="P113" s="430"/>
    </row>
    <row r="114" spans="1:16">
      <c r="A114" s="146" t="s">
        <v>80</v>
      </c>
      <c r="B114" s="143">
        <f>D114-C114</f>
        <v>12210</v>
      </c>
      <c r="C114" s="144">
        <f>[1]SKL!$R$29+[1]SKL!$R$30</f>
        <v>81</v>
      </c>
      <c r="D114" s="145">
        <f>[1]SKL!$D$29+[1]SKL!$D$30</f>
        <v>12291</v>
      </c>
      <c r="E114" s="143">
        <f>G114-F114</f>
        <v>32329</v>
      </c>
      <c r="F114" s="144">
        <f>[2]SKL!$R$29+[2]SKL!$R$30</f>
        <v>344</v>
      </c>
      <c r="G114" s="145">
        <f>[2]SKL!$D$29+[2]SKL!$D$30</f>
        <v>32673</v>
      </c>
      <c r="H114" s="143">
        <f>J114-I114</f>
        <v>58902</v>
      </c>
      <c r="I114" s="144">
        <f>[3]SKL!$R$29+[3]SKL!$R$30</f>
        <v>718</v>
      </c>
      <c r="J114" s="145">
        <f>[3]SKL!$D$29+[3]SKL!$D$30</f>
        <v>59620</v>
      </c>
      <c r="K114" s="143">
        <f>M114-L114</f>
        <v>82837</v>
      </c>
      <c r="L114" s="144">
        <f>[4]SKL!$R$29+[4]SKL!$R$30</f>
        <v>1115</v>
      </c>
      <c r="M114" s="145">
        <f>[4]SKL!$D$29+[4]SKL!$D$30</f>
        <v>83952</v>
      </c>
      <c r="N114" s="143">
        <f>P114-O114</f>
        <v>102356</v>
      </c>
      <c r="O114" s="144">
        <f>[5]SKL!$R$29+[5]SKL!$R$30</f>
        <v>1687</v>
      </c>
      <c r="P114" s="145">
        <f>[5]SKL!$D$29+[5]SKL!$D$30</f>
        <v>104043</v>
      </c>
    </row>
    <row r="115" spans="1:16">
      <c r="A115" s="146" t="s">
        <v>81</v>
      </c>
      <c r="B115" s="143">
        <f t="shared" ref="B115:B129" si="30">D115-C115</f>
        <v>1951</v>
      </c>
      <c r="C115" s="144">
        <f>[6]SKL!$R$29+[6]SKL!$R$30</f>
        <v>0</v>
      </c>
      <c r="D115" s="145">
        <f>[6]SKL!$D$29+[6]SKL!$D$30</f>
        <v>1951</v>
      </c>
      <c r="E115" s="143">
        <f t="shared" ref="E115:E129" si="31">G115-F115</f>
        <v>1941</v>
      </c>
      <c r="F115" s="144">
        <f>[7]SKL!$R$29+[7]SKL!$R$30</f>
        <v>0</v>
      </c>
      <c r="G115" s="145">
        <f>[7]SKL!$D$29+[7]SKL!$D$30</f>
        <v>1941</v>
      </c>
      <c r="H115" s="143">
        <f t="shared" ref="H115:H129" si="32">J115-I115</f>
        <v>1880</v>
      </c>
      <c r="I115" s="144">
        <f>[8]SKL!$R$29+[8]SKL!$R$30</f>
        <v>0</v>
      </c>
      <c r="J115" s="145">
        <f>[8]SKL!$D$29+[8]SKL!$D$30</f>
        <v>1880</v>
      </c>
      <c r="K115" s="143">
        <f t="shared" ref="K115:K129" si="33">M115-L115</f>
        <v>1782</v>
      </c>
      <c r="L115" s="144">
        <f>[9]SKL!$R$29+[9]SKL!$R$30</f>
        <v>0</v>
      </c>
      <c r="M115" s="145">
        <f>[9]SKL!$D$29+[9]SKL!$D$30</f>
        <v>1782</v>
      </c>
      <c r="N115" s="143">
        <f t="shared" ref="N115:N129" si="34">P115-O115</f>
        <v>1768</v>
      </c>
      <c r="O115" s="144">
        <f>[10]SKL!$R$29+[10]SKL!$R$30</f>
        <v>0</v>
      </c>
      <c r="P115" s="145">
        <f>[10]SKL!$D$29+[10]SKL!$D$30</f>
        <v>1768</v>
      </c>
    </row>
    <row r="116" spans="1:16">
      <c r="A116" s="146" t="s">
        <v>82</v>
      </c>
      <c r="B116" s="143">
        <f t="shared" si="30"/>
        <v>57014</v>
      </c>
      <c r="C116" s="144">
        <f>[11]SKL!$R$29+[11]SKL!$R$30</f>
        <v>6557</v>
      </c>
      <c r="D116" s="145">
        <f>[11]SKL!$D$29+[11]SKL!$D$30</f>
        <v>63571</v>
      </c>
      <c r="E116" s="143">
        <f t="shared" si="31"/>
        <v>63810</v>
      </c>
      <c r="F116" s="144">
        <f>[12]SKL!$R$29+[12]SKL!$R$30</f>
        <v>7306</v>
      </c>
      <c r="G116" s="145">
        <f>[12]SKL!$D$29+[12]SKL!$D$30</f>
        <v>71116</v>
      </c>
      <c r="H116" s="143">
        <f t="shared" si="32"/>
        <v>65071</v>
      </c>
      <c r="I116" s="144">
        <f>[13]SKL!$R$29+[13]SKL!$R$30</f>
        <v>7935</v>
      </c>
      <c r="J116" s="145">
        <f>[13]SKL!$D$29+[13]SKL!$D$30</f>
        <v>73006</v>
      </c>
      <c r="K116" s="143">
        <f t="shared" si="33"/>
        <v>63821</v>
      </c>
      <c r="L116" s="144">
        <f>[14]SKL!$R$29+[14]SKL!$R$30</f>
        <v>8482</v>
      </c>
      <c r="M116" s="145">
        <f>[14]SKL!$D$29+[14]SKL!$D$30</f>
        <v>72303</v>
      </c>
      <c r="N116" s="143">
        <f t="shared" si="34"/>
        <v>65653</v>
      </c>
      <c r="O116" s="144">
        <f>[15]SKL!$R$29+[15]SKL!$R$30</f>
        <v>8995</v>
      </c>
      <c r="P116" s="145">
        <f>[15]SKL!$D$29+[15]SKL!$D$30</f>
        <v>74648</v>
      </c>
    </row>
    <row r="117" spans="1:16">
      <c r="A117" s="146" t="s">
        <v>83</v>
      </c>
      <c r="B117" s="143">
        <f t="shared" si="30"/>
        <v>9974</v>
      </c>
      <c r="C117" s="144">
        <f>[16]SKL!$R$29+[16]SKL!$R$30</f>
        <v>620</v>
      </c>
      <c r="D117" s="145">
        <f>[16]SKL!$D$29+[16]SKL!$D$30</f>
        <v>10594</v>
      </c>
      <c r="E117" s="143">
        <f t="shared" si="31"/>
        <v>10010</v>
      </c>
      <c r="F117" s="144">
        <f>[17]SKL!$R$29+[17]SKL!$R$30</f>
        <v>784</v>
      </c>
      <c r="G117" s="145">
        <f>[17]SKL!$D$29+[17]SKL!$D$30</f>
        <v>10794</v>
      </c>
      <c r="H117" s="143">
        <f t="shared" si="32"/>
        <v>10131</v>
      </c>
      <c r="I117" s="144">
        <f>[18]SKL!$R$29+[18]SKL!$R$30</f>
        <v>1068</v>
      </c>
      <c r="J117" s="145">
        <f>[18]SKL!$D$29+[18]SKL!$D$30</f>
        <v>11199</v>
      </c>
      <c r="K117" s="143">
        <f t="shared" si="33"/>
        <v>10129</v>
      </c>
      <c r="L117" s="144">
        <f>[19]SKL!$R$29+[19]SKL!$R$30</f>
        <v>1352</v>
      </c>
      <c r="M117" s="145">
        <f>[19]SKL!$D$29+[19]SKL!$D$30</f>
        <v>11481</v>
      </c>
      <c r="N117" s="143">
        <f t="shared" si="34"/>
        <v>10746</v>
      </c>
      <c r="O117" s="144">
        <f>[20]SKL!$R$29+[20]SKL!$R$30</f>
        <v>1512</v>
      </c>
      <c r="P117" s="145">
        <f>[20]SKL!$D$29+[20]SKL!$D$30</f>
        <v>12258</v>
      </c>
    </row>
    <row r="118" spans="1:16">
      <c r="A118" s="146" t="s">
        <v>84</v>
      </c>
      <c r="B118" s="143">
        <f t="shared" si="30"/>
        <v>16291</v>
      </c>
      <c r="C118" s="144">
        <f>[21]SKL!$R$29+[21]SKL!$R$30</f>
        <v>389</v>
      </c>
      <c r="D118" s="145">
        <f>[21]SKL!$D$29+[21]SKL!$D$30</f>
        <v>16680</v>
      </c>
      <c r="E118" s="143">
        <f t="shared" si="31"/>
        <v>18280</v>
      </c>
      <c r="F118" s="144">
        <f>[22]SKL!$R$29+[22]SKL!$R$30</f>
        <v>460</v>
      </c>
      <c r="G118" s="145">
        <f>[22]SKL!$D$29+[22]SKL!$D$30</f>
        <v>18740</v>
      </c>
      <c r="H118" s="143">
        <f t="shared" si="32"/>
        <v>20200</v>
      </c>
      <c r="I118" s="144">
        <f>[23]SKL!$R$29+[23]SKL!$R$30</f>
        <v>599</v>
      </c>
      <c r="J118" s="145">
        <f>[23]SKL!$D$29+[23]SKL!$D$30</f>
        <v>20799</v>
      </c>
      <c r="K118" s="143">
        <f t="shared" si="33"/>
        <v>21795</v>
      </c>
      <c r="L118" s="144">
        <f>[24]SKL!$R$29+[24]SKL!$R$30</f>
        <v>1183</v>
      </c>
      <c r="M118" s="145">
        <f>[24]SKL!$D$29+[24]SKL!$D$30</f>
        <v>22978</v>
      </c>
      <c r="N118" s="143">
        <f t="shared" si="34"/>
        <v>23068</v>
      </c>
      <c r="O118" s="144">
        <f>[25]SKL!$R$29+[25]SKL!$R$30</f>
        <v>1363</v>
      </c>
      <c r="P118" s="145">
        <f>[25]SKL!$D$29+[25]SKL!$D$30</f>
        <v>24431</v>
      </c>
    </row>
    <row r="119" spans="1:16">
      <c r="A119" s="146" t="s">
        <v>85</v>
      </c>
      <c r="B119" s="143">
        <f t="shared" si="30"/>
        <v>41873</v>
      </c>
      <c r="C119" s="144">
        <f>[26]SKL!$R$29+[26]SKL!$R$30</f>
        <v>4757</v>
      </c>
      <c r="D119" s="145">
        <f>[26]SKL!$D$29+[26]SKL!$D$30</f>
        <v>46630</v>
      </c>
      <c r="E119" s="143">
        <f t="shared" si="31"/>
        <v>45176</v>
      </c>
      <c r="F119" s="144">
        <f>[27]SKL!$R$29+[27]SKL!$R$30</f>
        <v>5183</v>
      </c>
      <c r="G119" s="145">
        <f>[27]SKL!$D$29+[27]SKL!$D$30</f>
        <v>50359</v>
      </c>
      <c r="H119" s="143">
        <f t="shared" si="32"/>
        <v>45210</v>
      </c>
      <c r="I119" s="144">
        <f>[28]SKL!$R$29+[28]SKL!$R$30</f>
        <v>5126</v>
      </c>
      <c r="J119" s="145">
        <f>[28]SKL!$D$29+[28]SKL!$D$30</f>
        <v>50336</v>
      </c>
      <c r="K119" s="143">
        <f t="shared" si="33"/>
        <v>45426</v>
      </c>
      <c r="L119" s="144">
        <f>[29]SKL!$R$29+[29]SKL!$R$30</f>
        <v>4961</v>
      </c>
      <c r="M119" s="145">
        <f>[29]SKL!$D$29+[29]SKL!$D$30</f>
        <v>50387</v>
      </c>
      <c r="N119" s="143">
        <f t="shared" si="34"/>
        <v>45823</v>
      </c>
      <c r="O119" s="144">
        <f>[30]SKL!$R$29+[30]SKL!$R$30</f>
        <v>4937</v>
      </c>
      <c r="P119" s="145">
        <f>[30]SKL!$D$29+[30]SKL!$D$30</f>
        <v>50760</v>
      </c>
    </row>
    <row r="120" spans="1:16">
      <c r="A120" s="146" t="s">
        <v>86</v>
      </c>
      <c r="B120" s="143">
        <f t="shared" si="30"/>
        <v>67327</v>
      </c>
      <c r="C120" s="144">
        <f>[66]SKL!$R$29+[66]SKL!$R$30</f>
        <v>2515</v>
      </c>
      <c r="D120" s="145">
        <f>[66]SKL!$D$29+[66]SKL!$D$30</f>
        <v>69842</v>
      </c>
      <c r="E120" s="143">
        <f t="shared" si="31"/>
        <v>68368</v>
      </c>
      <c r="F120" s="144">
        <f>[67]SKL!$R$29+[67]SKL!$R$30</f>
        <v>2667</v>
      </c>
      <c r="G120" s="145">
        <f>[67]SKL!$D$29+[67]SKL!$D$30</f>
        <v>71035</v>
      </c>
      <c r="H120" s="143">
        <f t="shared" si="32"/>
        <v>67969</v>
      </c>
      <c r="I120" s="144">
        <f>[68]SKL!$R$29+[68]SKL!$R$30</f>
        <v>2813</v>
      </c>
      <c r="J120" s="145">
        <f>[68]SKL!$D$29+[68]SKL!$D$30</f>
        <v>70782</v>
      </c>
      <c r="K120" s="143">
        <f t="shared" si="33"/>
        <v>68171</v>
      </c>
      <c r="L120" s="144">
        <f>[69]SKL!$R$29+[69]SKL!$R$30</f>
        <v>2943</v>
      </c>
      <c r="M120" s="145">
        <f>[69]SKL!$D$29+[69]SKL!$D$30</f>
        <v>71114</v>
      </c>
      <c r="N120" s="143">
        <f t="shared" si="34"/>
        <v>69039</v>
      </c>
      <c r="O120" s="144">
        <f>[70]SKL!$R$29+[70]SKL!$R$30</f>
        <v>2948</v>
      </c>
      <c r="P120" s="145">
        <f>[70]SKL!$D$29+[70]SKL!$D$30</f>
        <v>71987</v>
      </c>
    </row>
    <row r="121" spans="1:16">
      <c r="A121" s="146" t="s">
        <v>87</v>
      </c>
      <c r="B121" s="143">
        <f t="shared" si="30"/>
        <v>3894</v>
      </c>
      <c r="C121" s="144">
        <f>[31]SKL!$R$29+[31]SKL!$R$30</f>
        <v>1564</v>
      </c>
      <c r="D121" s="145">
        <f>[31]SKL!$D$29+[31]SKL!$D$30</f>
        <v>5458</v>
      </c>
      <c r="E121" s="143">
        <f t="shared" si="31"/>
        <v>3819</v>
      </c>
      <c r="F121" s="144">
        <f>[32]SKL!$R$29+[32]SKL!$R$30</f>
        <v>1719</v>
      </c>
      <c r="G121" s="145">
        <f>[32]SKL!$D$29+[32]SKL!$D$30</f>
        <v>5538</v>
      </c>
      <c r="H121" s="143">
        <f t="shared" si="32"/>
        <v>3902</v>
      </c>
      <c r="I121" s="144">
        <f>[33]SKL!$R$29+[33]SKL!$R$30</f>
        <v>1867</v>
      </c>
      <c r="J121" s="145">
        <f>[33]SKL!$D$29+[33]SKL!$D$30</f>
        <v>5769</v>
      </c>
      <c r="K121" s="143">
        <f t="shared" si="33"/>
        <v>3933</v>
      </c>
      <c r="L121" s="144">
        <f>[34]SKL!$R$29+[34]SKL!$R$30</f>
        <v>1910</v>
      </c>
      <c r="M121" s="145">
        <f>[34]SKL!$D$29+[34]SKL!$D$30</f>
        <v>5843</v>
      </c>
      <c r="N121" s="143">
        <f t="shared" si="34"/>
        <v>4104</v>
      </c>
      <c r="O121" s="144">
        <f>[35]SKL!$R$29+[35]SKL!$R$30</f>
        <v>2137</v>
      </c>
      <c r="P121" s="145">
        <f>[35]SKL!$D$29+[35]SKL!$D$30</f>
        <v>6241</v>
      </c>
    </row>
    <row r="122" spans="1:16">
      <c r="A122" s="146" t="s">
        <v>88</v>
      </c>
      <c r="B122" s="143">
        <f t="shared" si="30"/>
        <v>40427</v>
      </c>
      <c r="C122" s="144">
        <f>[71]SKL!$R$29+[71]SKL!$R$30</f>
        <v>3295</v>
      </c>
      <c r="D122" s="145">
        <f>[71]SKL!$D$29+[71]SKL!$D$30</f>
        <v>43722</v>
      </c>
      <c r="E122" s="143">
        <f t="shared" si="31"/>
        <v>45851</v>
      </c>
      <c r="F122" s="144">
        <f>[72]SKL!$R$29+[72]SKL!$R$30</f>
        <v>3700</v>
      </c>
      <c r="G122" s="145">
        <f>[72]SKL!$D$29+[72]SKL!$D$30</f>
        <v>49551</v>
      </c>
      <c r="H122" s="143">
        <f t="shared" si="32"/>
        <v>52304</v>
      </c>
      <c r="I122" s="144">
        <f>[73]SKL!$R$29+[73]SKL!$R$30</f>
        <v>4002</v>
      </c>
      <c r="J122" s="145">
        <f>[73]SKL!$D$29+[73]SKL!$D$30</f>
        <v>56306</v>
      </c>
      <c r="K122" s="143">
        <f t="shared" si="33"/>
        <v>57456</v>
      </c>
      <c r="L122" s="144">
        <f>[74]SKL!$R$29+[74]SKL!$R$30</f>
        <v>4203</v>
      </c>
      <c r="M122" s="145">
        <f>[74]SKL!$D$29+[74]SKL!$D$30</f>
        <v>61659</v>
      </c>
      <c r="N122" s="143">
        <f t="shared" si="34"/>
        <v>61395</v>
      </c>
      <c r="O122" s="144">
        <f>[75]SKL!$R$29+[75]SKL!$R$30</f>
        <v>4146</v>
      </c>
      <c r="P122" s="145">
        <f>[75]SKL!$D$29+[75]SKL!$D$30</f>
        <v>65541</v>
      </c>
    </row>
    <row r="123" spans="1:16">
      <c r="A123" s="146" t="s">
        <v>89</v>
      </c>
      <c r="B123" s="143">
        <f t="shared" si="30"/>
        <v>188080</v>
      </c>
      <c r="C123" s="144">
        <f>[36]SKL!$R$29+[36]SKL!$R$30</f>
        <v>8574</v>
      </c>
      <c r="D123" s="145">
        <f>[36]SKL!$D$29+[36]SKL!$D$30</f>
        <v>196654</v>
      </c>
      <c r="E123" s="143">
        <f t="shared" si="31"/>
        <v>195359</v>
      </c>
      <c r="F123" s="144">
        <f>[37]SKL!$R$29+[37]SKL!$R$30</f>
        <v>8775</v>
      </c>
      <c r="G123" s="145">
        <f>[37]SKL!$D$29+[37]SKL!$D$30</f>
        <v>204134</v>
      </c>
      <c r="H123" s="143">
        <f t="shared" si="32"/>
        <v>205776</v>
      </c>
      <c r="I123" s="144">
        <f>[38]SKL!$R$29+[38]SKL!$R$30</f>
        <v>9564</v>
      </c>
      <c r="J123" s="145">
        <f>[38]SKL!$D$29+[38]SKL!$D$30</f>
        <v>215340</v>
      </c>
      <c r="K123" s="143">
        <f t="shared" si="33"/>
        <v>218138</v>
      </c>
      <c r="L123" s="144">
        <f>[39]SKL!$R$29+[39]SKL!$R$30</f>
        <v>10216</v>
      </c>
      <c r="M123" s="145">
        <f>[39]SKL!$D$29+[39]SKL!$D$30</f>
        <v>228354</v>
      </c>
      <c r="N123" s="143">
        <f t="shared" si="34"/>
        <v>233416</v>
      </c>
      <c r="O123" s="144">
        <f>[40]SKL!$R$29+[40]SKL!$R$30</f>
        <v>11095</v>
      </c>
      <c r="P123" s="145">
        <f>[40]SKL!$D$29+[40]SKL!$D$30</f>
        <v>244511</v>
      </c>
    </row>
    <row r="124" spans="1:16">
      <c r="A124" s="146" t="s">
        <v>90</v>
      </c>
      <c r="B124" s="143">
        <f t="shared" si="30"/>
        <v>32626</v>
      </c>
      <c r="C124" s="144">
        <f>[41]SKL!$R$29+[41]SKL!$R$30</f>
        <v>252</v>
      </c>
      <c r="D124" s="145">
        <f>[41]SKL!$D$29+[41]SKL!$D$30</f>
        <v>32878</v>
      </c>
      <c r="E124" s="143">
        <f t="shared" si="31"/>
        <v>33745</v>
      </c>
      <c r="F124" s="144">
        <f>[42]SKL!$R$29+[42]SKL!$R$30</f>
        <v>308</v>
      </c>
      <c r="G124" s="145">
        <f>[42]SKL!$D$29+[42]SKL!$D$30</f>
        <v>34053</v>
      </c>
      <c r="H124" s="143">
        <f t="shared" si="32"/>
        <v>34433</v>
      </c>
      <c r="I124" s="144">
        <f>[43]SKL!$R$29+[43]SKL!$R$30</f>
        <v>320</v>
      </c>
      <c r="J124" s="145">
        <f>[43]SKL!$D$29+[43]SKL!$D$30</f>
        <v>34753</v>
      </c>
      <c r="K124" s="143">
        <f t="shared" si="33"/>
        <v>35302</v>
      </c>
      <c r="L124" s="144">
        <f>[44]SKL!$R$29+[44]SKL!$R$30</f>
        <v>355</v>
      </c>
      <c r="M124" s="145">
        <f>[44]SKL!$D$29+[44]SKL!$D$30</f>
        <v>35657</v>
      </c>
      <c r="N124" s="143">
        <f t="shared" si="34"/>
        <v>35863</v>
      </c>
      <c r="O124" s="144">
        <f>[45]SKL!$R$29+[45]SKL!$R$30</f>
        <v>372</v>
      </c>
      <c r="P124" s="145">
        <f>[45]SKL!$D$29+[45]SKL!$D$30</f>
        <v>36235</v>
      </c>
    </row>
    <row r="125" spans="1:16">
      <c r="A125" s="146" t="s">
        <v>91</v>
      </c>
      <c r="B125" s="143">
        <f t="shared" si="30"/>
        <v>13645</v>
      </c>
      <c r="C125" s="144">
        <f>[46]SKL!$R$29+[46]SKL!$R$30</f>
        <v>137</v>
      </c>
      <c r="D125" s="145">
        <f>[46]SKL!$D$29+[46]SKL!$D$30</f>
        <v>13782</v>
      </c>
      <c r="E125" s="143">
        <f t="shared" si="31"/>
        <v>15748</v>
      </c>
      <c r="F125" s="144">
        <f>[47]SKL!$R$29+[47]SKL!$R$30</f>
        <v>145</v>
      </c>
      <c r="G125" s="145">
        <f>[47]SKL!$D$29+[47]SKL!$D$30</f>
        <v>15893</v>
      </c>
      <c r="H125" s="143">
        <f t="shared" si="32"/>
        <v>18096</v>
      </c>
      <c r="I125" s="144">
        <f>[48]SKL!$R$29+[48]SKL!$R$30</f>
        <v>187</v>
      </c>
      <c r="J125" s="145">
        <f>[48]SKL!$D$29+[48]SKL!$D$30</f>
        <v>18283</v>
      </c>
      <c r="K125" s="143">
        <f t="shared" si="33"/>
        <v>21346</v>
      </c>
      <c r="L125" s="144">
        <f>[49]SKL!$R$29+[49]SKL!$R$30</f>
        <v>245</v>
      </c>
      <c r="M125" s="145">
        <f>[49]SKL!$D$29+[49]SKL!$D$30</f>
        <v>21591</v>
      </c>
      <c r="N125" s="143">
        <f t="shared" si="34"/>
        <v>26369</v>
      </c>
      <c r="O125" s="144">
        <f>[50]SKL!$R$29+[50]SKL!$R$30</f>
        <v>1016</v>
      </c>
      <c r="P125" s="145">
        <f>[50]SKL!$D$29+[50]SKL!$D$30</f>
        <v>27385</v>
      </c>
    </row>
    <row r="126" spans="1:16">
      <c r="A126" s="146" t="s">
        <v>92</v>
      </c>
      <c r="B126" s="143">
        <f t="shared" si="30"/>
        <v>0</v>
      </c>
      <c r="C126" s="144">
        <f>[51]SKL!$R$29+[51]SKL!$R$30</f>
        <v>0</v>
      </c>
      <c r="D126" s="145">
        <f>[51]SKL!$D$29+[51]SKL!$D$30</f>
        <v>0</v>
      </c>
      <c r="E126" s="143">
        <f t="shared" si="31"/>
        <v>0</v>
      </c>
      <c r="F126" s="144">
        <f>[52]SKL!$R$29+[52]SKL!$R$30</f>
        <v>0</v>
      </c>
      <c r="G126" s="145">
        <f>[52]SKL!$D$29+[52]SKL!$D$30</f>
        <v>0</v>
      </c>
      <c r="H126" s="143">
        <f t="shared" si="32"/>
        <v>0</v>
      </c>
      <c r="I126" s="144">
        <f>[53]SKL!$R$29+[53]SKL!$R$30</f>
        <v>0</v>
      </c>
      <c r="J126" s="145">
        <f>[53]SKL!$D$29+[53]SKL!$D$30</f>
        <v>0</v>
      </c>
      <c r="K126" s="143">
        <f t="shared" si="33"/>
        <v>0</v>
      </c>
      <c r="L126" s="144">
        <f>[54]SKL!$R$29+[54]SKL!$R$30</f>
        <v>0</v>
      </c>
      <c r="M126" s="145">
        <f>[54]SKL!$D$29+[54]SKL!$D$30</f>
        <v>0</v>
      </c>
      <c r="N126" s="143">
        <f t="shared" si="34"/>
        <v>0</v>
      </c>
      <c r="O126" s="144">
        <f>[55]SKL!$R$29+[55]SKL!$R$30</f>
        <v>0</v>
      </c>
      <c r="P126" s="145">
        <f>[55]SKL!$D$29+[55]SKL!$D$30</f>
        <v>0</v>
      </c>
    </row>
    <row r="127" spans="1:16">
      <c r="A127" s="146" t="s">
        <v>93</v>
      </c>
      <c r="B127" s="143">
        <f t="shared" si="30"/>
        <v>2074</v>
      </c>
      <c r="C127" s="144">
        <f>[76]SKL!$R$29+[76]SKL!$R$30</f>
        <v>889</v>
      </c>
      <c r="D127" s="145">
        <f>[76]SKL!$D$29+[76]SKL!$D$30</f>
        <v>2963</v>
      </c>
      <c r="E127" s="143">
        <f t="shared" si="31"/>
        <v>2427</v>
      </c>
      <c r="F127" s="144">
        <f>[77]SKL!$R$29+[77]SKL!$R$30</f>
        <v>1185</v>
      </c>
      <c r="G127" s="145">
        <f>[77]SKL!$D$29+[77]SKL!$D$30</f>
        <v>3612</v>
      </c>
      <c r="H127" s="143">
        <f t="shared" si="32"/>
        <v>3208</v>
      </c>
      <c r="I127" s="144">
        <f>[78]SKL!$R$29+[78]SKL!$R$30</f>
        <v>1494</v>
      </c>
      <c r="J127" s="145">
        <f>[78]SKL!$D$29+[78]SKL!$D$30</f>
        <v>4702</v>
      </c>
      <c r="K127" s="143">
        <f t="shared" si="33"/>
        <v>4772</v>
      </c>
      <c r="L127" s="144">
        <f>[79]SKL!$R$29+[79]SKL!$R$30</f>
        <v>1782</v>
      </c>
      <c r="M127" s="145">
        <f>[79]SKL!$D$29+[79]SKL!$D$30</f>
        <v>6554</v>
      </c>
      <c r="N127" s="143">
        <f t="shared" si="34"/>
        <v>6714</v>
      </c>
      <c r="O127" s="144">
        <f>[80]SKL!$R$29+[80]SKL!$R$30</f>
        <v>2176</v>
      </c>
      <c r="P127" s="145">
        <f>[80]SKL!$D$29+[80]SKL!$D$30</f>
        <v>8890</v>
      </c>
    </row>
    <row r="128" spans="1:16">
      <c r="A128" s="146" t="s">
        <v>94</v>
      </c>
      <c r="B128" s="143">
        <f t="shared" si="30"/>
        <v>62175</v>
      </c>
      <c r="C128" s="144">
        <f>[56]SKL!$R$29+[56]SKL!$R$30</f>
        <v>3253</v>
      </c>
      <c r="D128" s="145">
        <f>[56]SKL!$D$29+[56]SKL!$D$30</f>
        <v>65428</v>
      </c>
      <c r="E128" s="143">
        <f t="shared" si="31"/>
        <v>71061</v>
      </c>
      <c r="F128" s="144">
        <f>[57]SKL!$R$29+[57]SKL!$R$30</f>
        <v>3270</v>
      </c>
      <c r="G128" s="145">
        <f>[57]SKL!$D$29+[57]SKL!$D$30</f>
        <v>74331</v>
      </c>
      <c r="H128" s="143">
        <f t="shared" si="32"/>
        <v>77269</v>
      </c>
      <c r="I128" s="144">
        <f>[58]SKL!$R$29+[58]SKL!$R$30</f>
        <v>3564</v>
      </c>
      <c r="J128" s="145">
        <f>[58]SKL!$D$29+[58]SKL!$D$30</f>
        <v>80833</v>
      </c>
      <c r="K128" s="143">
        <f t="shared" si="33"/>
        <v>80351</v>
      </c>
      <c r="L128" s="144">
        <f>[59]SKL!$R$29+[59]SKL!$R$30</f>
        <v>3638</v>
      </c>
      <c r="M128" s="145">
        <f>[59]SKL!$D$29+[59]SKL!$D$30</f>
        <v>83989</v>
      </c>
      <c r="N128" s="143">
        <f t="shared" si="34"/>
        <v>83007</v>
      </c>
      <c r="O128" s="144">
        <f>[60]SKL!$R$29+[60]SKL!$R$30</f>
        <v>3881</v>
      </c>
      <c r="P128" s="145">
        <f>[60]SKL!$D$29+[60]SKL!$D$30</f>
        <v>86888</v>
      </c>
    </row>
    <row r="129" spans="1:16">
      <c r="A129" s="146" t="s">
        <v>95</v>
      </c>
      <c r="B129" s="143">
        <f t="shared" si="30"/>
        <v>5269</v>
      </c>
      <c r="C129" s="144">
        <f>[61]SKL!$R$29+[61]SKL!$R$30</f>
        <v>1418</v>
      </c>
      <c r="D129" s="145">
        <f>[61]SKL!$D$29+[61]SKL!$D$30</f>
        <v>6687</v>
      </c>
      <c r="E129" s="143">
        <f t="shared" si="31"/>
        <v>7176</v>
      </c>
      <c r="F129" s="144">
        <f>[62]SKL!$R$29+[62]SKL!$R$30</f>
        <v>1818</v>
      </c>
      <c r="G129" s="145">
        <f>[62]SKL!$D$29+[62]SKL!$D$30</f>
        <v>8994</v>
      </c>
      <c r="H129" s="143">
        <f t="shared" si="32"/>
        <v>9011</v>
      </c>
      <c r="I129" s="144">
        <f>[63]SKL!$R$29+[63]SKL!$R$30</f>
        <v>2548</v>
      </c>
      <c r="J129" s="145">
        <f>[63]SKL!$D$29+[63]SKL!$D$30</f>
        <v>11559</v>
      </c>
      <c r="K129" s="143">
        <f t="shared" si="33"/>
        <v>11151</v>
      </c>
      <c r="L129" s="144">
        <f>[64]SKL!$R$29+[64]SKL!$R$30</f>
        <v>2955</v>
      </c>
      <c r="M129" s="145">
        <f>[64]SKL!$D$29+[64]SKL!$D$30</f>
        <v>14106</v>
      </c>
      <c r="N129" s="143">
        <f t="shared" si="34"/>
        <v>14311</v>
      </c>
      <c r="O129" s="144">
        <f>[65]SKL!$R$29+[65]SKL!$R$30</f>
        <v>3542</v>
      </c>
      <c r="P129" s="145">
        <f>[65]SKL!$D$29+[65]SKL!$D$30</f>
        <v>17853</v>
      </c>
    </row>
    <row r="130" spans="1:16">
      <c r="A130" s="146" t="s">
        <v>96</v>
      </c>
      <c r="B130" s="132">
        <f>SUM(B114:B129)</f>
        <v>554830</v>
      </c>
      <c r="C130" s="141">
        <f>SUM(C114:C129)-C122-C120-C127</f>
        <v>27602</v>
      </c>
      <c r="D130" s="137">
        <f>SUM(B130:C130)</f>
        <v>582432</v>
      </c>
      <c r="E130" s="132">
        <f>SUM(E114:E129)</f>
        <v>615100</v>
      </c>
      <c r="F130" s="141">
        <f>SUM(F114:F129)-F122-F120-F127</f>
        <v>30112</v>
      </c>
      <c r="G130" s="137">
        <f>SUM(E130:F130)</f>
        <v>645212</v>
      </c>
      <c r="H130" s="132">
        <f>SUM(H114:H129)</f>
        <v>673362</v>
      </c>
      <c r="I130" s="141">
        <f>SUM(I114:I129)-I122-I120-I127</f>
        <v>33496</v>
      </c>
      <c r="J130" s="137">
        <f>SUM(H130:I130)</f>
        <v>706858</v>
      </c>
      <c r="K130" s="132">
        <f>SUM(K114:K129)</f>
        <v>726410</v>
      </c>
      <c r="L130" s="141">
        <f>SUM(L114:L129)-L122-L120-L127</f>
        <v>36412</v>
      </c>
      <c r="M130" s="137">
        <f>SUM(K130:L130)</f>
        <v>762822</v>
      </c>
      <c r="N130" s="132">
        <f>SUM(N114:N129)</f>
        <v>783632</v>
      </c>
      <c r="O130" s="141">
        <f>SUM(O114:O129)-O122-O120-O127</f>
        <v>40537</v>
      </c>
      <c r="P130" s="137">
        <f>SUM(N130:O130)</f>
        <v>824169</v>
      </c>
    </row>
    <row r="131" spans="1:16" s="281" customFormat="1" ht="30" customHeight="1">
      <c r="A131" s="431" t="s">
        <v>241</v>
      </c>
      <c r="B131" s="432"/>
      <c r="C131" s="432"/>
      <c r="D131" s="432"/>
      <c r="E131" s="432"/>
      <c r="F131" s="432"/>
      <c r="G131" s="432"/>
      <c r="H131" s="432"/>
      <c r="I131" s="432"/>
      <c r="J131" s="432"/>
      <c r="K131" s="432"/>
      <c r="L131" s="432"/>
      <c r="M131" s="432"/>
      <c r="N131" s="432"/>
      <c r="O131" s="432"/>
      <c r="P131" s="432"/>
    </row>
    <row r="132" spans="1:16" s="281" customFormat="1">
      <c r="A132" s="146" t="s">
        <v>80</v>
      </c>
      <c r="B132" s="143">
        <f>D132-C132</f>
        <v>6497</v>
      </c>
      <c r="C132" s="144">
        <f>[1]SKL!$R$29</f>
        <v>44</v>
      </c>
      <c r="D132" s="145">
        <f>[1]SKL!$D$29</f>
        <v>6541</v>
      </c>
      <c r="E132" s="143">
        <f>G132-F132</f>
        <v>20239</v>
      </c>
      <c r="F132" s="144">
        <f>[2]SKL!$R$29</f>
        <v>235</v>
      </c>
      <c r="G132" s="145">
        <f>[2]SKL!$D$29</f>
        <v>20474</v>
      </c>
      <c r="H132" s="143">
        <f>J132-I132</f>
        <v>35312</v>
      </c>
      <c r="I132" s="144">
        <f>[3]SKL!$R$29</f>
        <v>459</v>
      </c>
      <c r="J132" s="145">
        <f>[3]SKL!$D$29</f>
        <v>35771</v>
      </c>
      <c r="K132" s="143">
        <f>M132-L132</f>
        <v>44217</v>
      </c>
      <c r="L132" s="144">
        <f>[4]SKL!$R$29</f>
        <v>605</v>
      </c>
      <c r="M132" s="145">
        <f>[4]SKL!$D$29</f>
        <v>44822</v>
      </c>
      <c r="N132" s="143">
        <f>P132-O132</f>
        <v>48513</v>
      </c>
      <c r="O132" s="144">
        <f>[5]SKL!$R$29</f>
        <v>831</v>
      </c>
      <c r="P132" s="145">
        <f>[5]SKL!$D$29</f>
        <v>49344</v>
      </c>
    </row>
    <row r="133" spans="1:16" s="281" customFormat="1">
      <c r="A133" s="146" t="s">
        <v>81</v>
      </c>
      <c r="B133" s="143">
        <f t="shared" ref="B133:B147" si="35">D133-C133</f>
        <v>0</v>
      </c>
      <c r="C133" s="144">
        <f>[6]SKL!$R$29</f>
        <v>0</v>
      </c>
      <c r="D133" s="145">
        <f>[6]SKL!$D$29</f>
        <v>0</v>
      </c>
      <c r="E133" s="143">
        <f t="shared" ref="E133:E147" si="36">G133-F133</f>
        <v>0</v>
      </c>
      <c r="F133" s="144">
        <f>[7]SKL!$R$29</f>
        <v>0</v>
      </c>
      <c r="G133" s="145">
        <f>[7]SKL!$D$29</f>
        <v>0</v>
      </c>
      <c r="H133" s="143">
        <f t="shared" ref="H133:H147" si="37">J133-I133</f>
        <v>0</v>
      </c>
      <c r="I133" s="144">
        <f>[8]SKL!$R$29</f>
        <v>0</v>
      </c>
      <c r="J133" s="145">
        <f>[8]SKL!$D$29</f>
        <v>0</v>
      </c>
      <c r="K133" s="143">
        <f t="shared" ref="K133:K147" si="38">M133-L133</f>
        <v>0</v>
      </c>
      <c r="L133" s="144">
        <f>[9]SKL!$R$29</f>
        <v>0</v>
      </c>
      <c r="M133" s="145">
        <f>[9]SKL!$D$29</f>
        <v>0</v>
      </c>
      <c r="N133" s="143">
        <f t="shared" ref="N133:N147" si="39">P133-O133</f>
        <v>0</v>
      </c>
      <c r="O133" s="144">
        <f>[10]SKL!$R$29</f>
        <v>0</v>
      </c>
      <c r="P133" s="145">
        <f>[10]SKL!$D$29</f>
        <v>0</v>
      </c>
    </row>
    <row r="134" spans="1:16" s="281" customFormat="1">
      <c r="A134" s="146" t="s">
        <v>82</v>
      </c>
      <c r="B134" s="143">
        <f t="shared" si="35"/>
        <v>4123</v>
      </c>
      <c r="C134" s="144">
        <f>[11]SKL!$R$29</f>
        <v>2227</v>
      </c>
      <c r="D134" s="145">
        <f>[11]SKL!$D$29</f>
        <v>6350</v>
      </c>
      <c r="E134" s="143">
        <f t="shared" si="36"/>
        <v>4030</v>
      </c>
      <c r="F134" s="144">
        <f>[12]SKL!$R$29</f>
        <v>2279</v>
      </c>
      <c r="G134" s="145">
        <f>[12]SKL!$D$29</f>
        <v>6309</v>
      </c>
      <c r="H134" s="143">
        <f t="shared" si="37"/>
        <v>4286</v>
      </c>
      <c r="I134" s="144">
        <f>[13]SKL!$R$29</f>
        <v>2304</v>
      </c>
      <c r="J134" s="145">
        <f>[13]SKL!$D$29</f>
        <v>6590</v>
      </c>
      <c r="K134" s="143">
        <f t="shared" si="38"/>
        <v>4948</v>
      </c>
      <c r="L134" s="144">
        <f>[14]SKL!$R$29</f>
        <v>2602</v>
      </c>
      <c r="M134" s="145">
        <f>[14]SKL!$D$29</f>
        <v>7550</v>
      </c>
      <c r="N134" s="143">
        <f t="shared" si="39"/>
        <v>5341</v>
      </c>
      <c r="O134" s="144">
        <f>[15]SKL!$R$29</f>
        <v>2735</v>
      </c>
      <c r="P134" s="145">
        <f>[15]SKL!$D$29</f>
        <v>8076</v>
      </c>
    </row>
    <row r="135" spans="1:16" s="281" customFormat="1">
      <c r="A135" s="146" t="s">
        <v>83</v>
      </c>
      <c r="B135" s="143">
        <f t="shared" si="35"/>
        <v>235</v>
      </c>
      <c r="C135" s="144">
        <f>[16]SKL!$R$29</f>
        <v>0</v>
      </c>
      <c r="D135" s="145">
        <f>[16]SKL!$D$29</f>
        <v>235</v>
      </c>
      <c r="E135" s="143">
        <f t="shared" si="36"/>
        <v>240</v>
      </c>
      <c r="F135" s="144">
        <f>[17]SKL!$R$29</f>
        <v>0</v>
      </c>
      <c r="G135" s="145">
        <f>[17]SKL!$D$29</f>
        <v>240</v>
      </c>
      <c r="H135" s="143">
        <f t="shared" si="37"/>
        <v>260</v>
      </c>
      <c r="I135" s="144">
        <f>[18]SKL!$R$29</f>
        <v>0</v>
      </c>
      <c r="J135" s="145">
        <f>[18]SKL!$D$29</f>
        <v>260</v>
      </c>
      <c r="K135" s="143">
        <f t="shared" si="38"/>
        <v>266</v>
      </c>
      <c r="L135" s="144">
        <f>[19]SKL!$R$29</f>
        <v>7</v>
      </c>
      <c r="M135" s="145">
        <f>[19]SKL!$D$29</f>
        <v>273</v>
      </c>
      <c r="N135" s="143">
        <f t="shared" si="39"/>
        <v>447</v>
      </c>
      <c r="O135" s="144">
        <f>[20]SKL!$R$29</f>
        <v>0</v>
      </c>
      <c r="P135" s="145">
        <f>[20]SKL!$D$29</f>
        <v>447</v>
      </c>
    </row>
    <row r="136" spans="1:16" s="281" customFormat="1">
      <c r="A136" s="146" t="s">
        <v>84</v>
      </c>
      <c r="B136" s="143">
        <f t="shared" si="35"/>
        <v>0</v>
      </c>
      <c r="C136" s="144">
        <f>[21]SKL!$R$29</f>
        <v>0</v>
      </c>
      <c r="D136" s="145">
        <f>[21]SKL!$D$29</f>
        <v>0</v>
      </c>
      <c r="E136" s="143">
        <f t="shared" si="36"/>
        <v>0</v>
      </c>
      <c r="F136" s="144">
        <f>[22]SKL!$R$29</f>
        <v>0</v>
      </c>
      <c r="G136" s="145">
        <f>[22]SKL!$D$29</f>
        <v>0</v>
      </c>
      <c r="H136" s="143">
        <f t="shared" si="37"/>
        <v>0</v>
      </c>
      <c r="I136" s="144">
        <f>[23]SKL!$R$29</f>
        <v>0</v>
      </c>
      <c r="J136" s="145">
        <f>[23]SKL!$D$29</f>
        <v>0</v>
      </c>
      <c r="K136" s="143">
        <f t="shared" si="38"/>
        <v>0</v>
      </c>
      <c r="L136" s="144">
        <f>[24]SKL!$R$29</f>
        <v>0</v>
      </c>
      <c r="M136" s="145">
        <f>[24]SKL!$D$29</f>
        <v>0</v>
      </c>
      <c r="N136" s="143">
        <f t="shared" si="39"/>
        <v>0</v>
      </c>
      <c r="O136" s="144">
        <f>[25]SKL!$R$29</f>
        <v>0</v>
      </c>
      <c r="P136" s="145">
        <f>[25]SKL!$D$29</f>
        <v>0</v>
      </c>
    </row>
    <row r="137" spans="1:16" s="281" customFormat="1">
      <c r="A137" s="146" t="s">
        <v>85</v>
      </c>
      <c r="B137" s="143">
        <f t="shared" si="35"/>
        <v>2733</v>
      </c>
      <c r="C137" s="144">
        <f>[26]SKL!$R$29</f>
        <v>1454</v>
      </c>
      <c r="D137" s="145">
        <f>[26]SKL!$D$29</f>
        <v>4187</v>
      </c>
      <c r="E137" s="143">
        <f t="shared" si="36"/>
        <v>3115</v>
      </c>
      <c r="F137" s="144">
        <f>[27]SKL!$R$29</f>
        <v>1341</v>
      </c>
      <c r="G137" s="145">
        <f>[27]SKL!$D$29</f>
        <v>4456</v>
      </c>
      <c r="H137" s="143">
        <f t="shared" si="37"/>
        <v>3103</v>
      </c>
      <c r="I137" s="144">
        <f>[28]SKL!$R$29</f>
        <v>1287</v>
      </c>
      <c r="J137" s="145">
        <f>[28]SKL!$D$29</f>
        <v>4390</v>
      </c>
      <c r="K137" s="143">
        <f t="shared" si="38"/>
        <v>3111</v>
      </c>
      <c r="L137" s="144">
        <f>[29]SKL!$R$29</f>
        <v>1276</v>
      </c>
      <c r="M137" s="145">
        <f>[29]SKL!$D$29</f>
        <v>4387</v>
      </c>
      <c r="N137" s="143">
        <f t="shared" si="39"/>
        <v>3134</v>
      </c>
      <c r="O137" s="144">
        <f>[30]SKL!$R$29</f>
        <v>1283</v>
      </c>
      <c r="P137" s="145">
        <f>[30]SKL!$D$29</f>
        <v>4417</v>
      </c>
    </row>
    <row r="138" spans="1:16" s="281" customFormat="1">
      <c r="A138" s="146" t="s">
        <v>86</v>
      </c>
      <c r="B138" s="143">
        <f t="shared" si="35"/>
        <v>2214</v>
      </c>
      <c r="C138" s="144">
        <f>[66]SKL!$R$29</f>
        <v>1051</v>
      </c>
      <c r="D138" s="145">
        <f>[66]SKL!$D$29</f>
        <v>3265</v>
      </c>
      <c r="E138" s="143">
        <f t="shared" si="36"/>
        <v>2199</v>
      </c>
      <c r="F138" s="144">
        <f>[67]SKL!$R$29</f>
        <v>1135</v>
      </c>
      <c r="G138" s="145">
        <f>[67]SKL!$D$29</f>
        <v>3334</v>
      </c>
      <c r="H138" s="143">
        <f t="shared" si="37"/>
        <v>2396</v>
      </c>
      <c r="I138" s="144">
        <f>[68]SKL!$R$29</f>
        <v>1145</v>
      </c>
      <c r="J138" s="145">
        <f>[68]SKL!$D$29</f>
        <v>3541</v>
      </c>
      <c r="K138" s="143">
        <f t="shared" si="38"/>
        <v>2561</v>
      </c>
      <c r="L138" s="144">
        <f>[69]SKL!$R$29</f>
        <v>1206</v>
      </c>
      <c r="M138" s="145">
        <f>[69]SKL!$D$29</f>
        <v>3767</v>
      </c>
      <c r="N138" s="143">
        <f t="shared" si="39"/>
        <v>2880</v>
      </c>
      <c r="O138" s="144">
        <f>[70]SKL!$R$29</f>
        <v>1163</v>
      </c>
      <c r="P138" s="145">
        <f>[70]SKL!$D$29</f>
        <v>4043</v>
      </c>
    </row>
    <row r="139" spans="1:16" s="281" customFormat="1">
      <c r="A139" s="146" t="s">
        <v>87</v>
      </c>
      <c r="B139" s="143">
        <f t="shared" si="35"/>
        <v>0</v>
      </c>
      <c r="C139" s="144">
        <f>[31]SKL!$R$29</f>
        <v>0</v>
      </c>
      <c r="D139" s="145">
        <f>[31]SKL!$D$29</f>
        <v>0</v>
      </c>
      <c r="E139" s="143">
        <f t="shared" si="36"/>
        <v>0</v>
      </c>
      <c r="F139" s="144">
        <f>[32]SKL!$R$29</f>
        <v>0</v>
      </c>
      <c r="G139" s="145">
        <f>[32]SKL!$D$29</f>
        <v>0</v>
      </c>
      <c r="H139" s="143">
        <f t="shared" si="37"/>
        <v>0</v>
      </c>
      <c r="I139" s="144">
        <f>[33]SKL!$R$29</f>
        <v>0</v>
      </c>
      <c r="J139" s="145">
        <f>[33]SKL!$D$29</f>
        <v>0</v>
      </c>
      <c r="K139" s="143">
        <f t="shared" si="38"/>
        <v>0</v>
      </c>
      <c r="L139" s="144">
        <f>[34]SKL!$R$29</f>
        <v>0</v>
      </c>
      <c r="M139" s="145">
        <f>[34]SKL!$D$29</f>
        <v>0</v>
      </c>
      <c r="N139" s="143">
        <f t="shared" si="39"/>
        <v>0</v>
      </c>
      <c r="O139" s="144">
        <f>[35]SKL!$R$29</f>
        <v>0</v>
      </c>
      <c r="P139" s="145">
        <f>[35]SKL!$D$29</f>
        <v>0</v>
      </c>
    </row>
    <row r="140" spans="1:16" s="281" customFormat="1">
      <c r="A140" s="146" t="s">
        <v>88</v>
      </c>
      <c r="B140" s="143">
        <f t="shared" si="35"/>
        <v>436</v>
      </c>
      <c r="C140" s="144">
        <f>[71]SKL!$R$29</f>
        <v>740</v>
      </c>
      <c r="D140" s="145">
        <f>[71]SKL!$D$29</f>
        <v>1176</v>
      </c>
      <c r="E140" s="143">
        <f t="shared" si="36"/>
        <v>415</v>
      </c>
      <c r="F140" s="144">
        <f>[72]SKL!$R$29</f>
        <v>740</v>
      </c>
      <c r="G140" s="145">
        <f>[72]SKL!$D$29</f>
        <v>1155</v>
      </c>
      <c r="H140" s="143">
        <f t="shared" si="37"/>
        <v>394</v>
      </c>
      <c r="I140" s="144">
        <f>[73]SKL!$R$29</f>
        <v>694</v>
      </c>
      <c r="J140" s="145">
        <f>[73]SKL!$D$29</f>
        <v>1088</v>
      </c>
      <c r="K140" s="143">
        <f t="shared" si="38"/>
        <v>395</v>
      </c>
      <c r="L140" s="144">
        <f>[74]SKL!$R$29</f>
        <v>692</v>
      </c>
      <c r="M140" s="145">
        <f>[74]SKL!$D$29</f>
        <v>1087</v>
      </c>
      <c r="N140" s="143">
        <f t="shared" si="39"/>
        <v>363</v>
      </c>
      <c r="O140" s="144">
        <f>[75]SKL!$R$29</f>
        <v>710</v>
      </c>
      <c r="P140" s="145">
        <f>[75]SKL!$D$29</f>
        <v>1073</v>
      </c>
    </row>
    <row r="141" spans="1:16" s="281" customFormat="1">
      <c r="A141" s="146" t="s">
        <v>89</v>
      </c>
      <c r="B141" s="143">
        <f t="shared" si="35"/>
        <v>0</v>
      </c>
      <c r="C141" s="144">
        <f>[36]SKL!$R$29</f>
        <v>0</v>
      </c>
      <c r="D141" s="145">
        <f>[36]SKL!$D$29</f>
        <v>0</v>
      </c>
      <c r="E141" s="143">
        <f t="shared" si="36"/>
        <v>68</v>
      </c>
      <c r="F141" s="144">
        <f>[37]SKL!$R$29</f>
        <v>0</v>
      </c>
      <c r="G141" s="145">
        <f>[37]SKL!$D$29</f>
        <v>68</v>
      </c>
      <c r="H141" s="143">
        <f t="shared" si="37"/>
        <v>364</v>
      </c>
      <c r="I141" s="144">
        <f>[38]SKL!$R$29</f>
        <v>0</v>
      </c>
      <c r="J141" s="145">
        <f>[38]SKL!$D$29</f>
        <v>364</v>
      </c>
      <c r="K141" s="143">
        <f t="shared" si="38"/>
        <v>665</v>
      </c>
      <c r="L141" s="144">
        <f>[39]SKL!$R$29</f>
        <v>0</v>
      </c>
      <c r="M141" s="145">
        <f>[39]SKL!$D$29</f>
        <v>665</v>
      </c>
      <c r="N141" s="143">
        <f t="shared" si="39"/>
        <v>969</v>
      </c>
      <c r="O141" s="144">
        <f>[40]SKL!$R$29</f>
        <v>0</v>
      </c>
      <c r="P141" s="145">
        <f>[40]SKL!$D$29</f>
        <v>969</v>
      </c>
    </row>
    <row r="142" spans="1:16" s="281" customFormat="1">
      <c r="A142" s="146" t="s">
        <v>90</v>
      </c>
      <c r="B142" s="143">
        <f t="shared" si="35"/>
        <v>0</v>
      </c>
      <c r="C142" s="144">
        <f>[41]SKL!$R$29</f>
        <v>0</v>
      </c>
      <c r="D142" s="145">
        <f>[41]SKL!$D$29</f>
        <v>0</v>
      </c>
      <c r="E142" s="143">
        <f t="shared" si="36"/>
        <v>0</v>
      </c>
      <c r="F142" s="144">
        <f>[42]SKL!$R$29</f>
        <v>0</v>
      </c>
      <c r="G142" s="145">
        <f>[42]SKL!$D$29</f>
        <v>0</v>
      </c>
      <c r="H142" s="143">
        <f t="shared" si="37"/>
        <v>0</v>
      </c>
      <c r="I142" s="144">
        <f>[43]SKL!$R$29</f>
        <v>0</v>
      </c>
      <c r="J142" s="145">
        <f>[43]SKL!$D$29</f>
        <v>0</v>
      </c>
      <c r="K142" s="143">
        <f t="shared" si="38"/>
        <v>0</v>
      </c>
      <c r="L142" s="144">
        <f>[44]SKL!$R$29</f>
        <v>0</v>
      </c>
      <c r="M142" s="145">
        <f>[44]SKL!$D$29</f>
        <v>0</v>
      </c>
      <c r="N142" s="143">
        <f t="shared" si="39"/>
        <v>0</v>
      </c>
      <c r="O142" s="144">
        <f>[45]SKL!$R$29</f>
        <v>0</v>
      </c>
      <c r="P142" s="145">
        <f>[45]SKL!$D$29</f>
        <v>0</v>
      </c>
    </row>
    <row r="143" spans="1:16" s="281" customFormat="1">
      <c r="A143" s="146" t="s">
        <v>91</v>
      </c>
      <c r="B143" s="143">
        <f t="shared" si="35"/>
        <v>0</v>
      </c>
      <c r="C143" s="144">
        <f>[46]SKL!$R$29</f>
        <v>0</v>
      </c>
      <c r="D143" s="145">
        <f>[46]SKL!$D$29</f>
        <v>0</v>
      </c>
      <c r="E143" s="143">
        <f t="shared" si="36"/>
        <v>0</v>
      </c>
      <c r="F143" s="144">
        <f>[47]SKL!$R$29</f>
        <v>0</v>
      </c>
      <c r="G143" s="145">
        <f>[47]SKL!$D$29</f>
        <v>0</v>
      </c>
      <c r="H143" s="143">
        <f t="shared" si="37"/>
        <v>0</v>
      </c>
      <c r="I143" s="144">
        <f>[48]SKL!$R$29</f>
        <v>0</v>
      </c>
      <c r="J143" s="145">
        <f>[48]SKL!$D$29</f>
        <v>0</v>
      </c>
      <c r="K143" s="143">
        <f t="shared" si="38"/>
        <v>0</v>
      </c>
      <c r="L143" s="144">
        <f>[49]SKL!$R$29</f>
        <v>0</v>
      </c>
      <c r="M143" s="145">
        <f>[49]SKL!$D$29</f>
        <v>0</v>
      </c>
      <c r="N143" s="143">
        <f t="shared" si="39"/>
        <v>0</v>
      </c>
      <c r="O143" s="144">
        <f>[50]SKL!$R$29</f>
        <v>0</v>
      </c>
      <c r="P143" s="145">
        <f>[50]SKL!$D$29</f>
        <v>0</v>
      </c>
    </row>
    <row r="144" spans="1:16" s="281" customFormat="1">
      <c r="A144" s="146" t="s">
        <v>92</v>
      </c>
      <c r="B144" s="143">
        <f t="shared" si="35"/>
        <v>0</v>
      </c>
      <c r="C144" s="144">
        <f>[51]SKL!$R$29</f>
        <v>0</v>
      </c>
      <c r="D144" s="145">
        <f>[51]SKL!$D$29</f>
        <v>0</v>
      </c>
      <c r="E144" s="143">
        <f t="shared" si="36"/>
        <v>0</v>
      </c>
      <c r="F144" s="144">
        <f>[52]SKL!$R$29</f>
        <v>0</v>
      </c>
      <c r="G144" s="145">
        <f>[52]SKL!$D$29</f>
        <v>0</v>
      </c>
      <c r="H144" s="143">
        <f t="shared" si="37"/>
        <v>0</v>
      </c>
      <c r="I144" s="144">
        <f>[53]SKL!$R$29</f>
        <v>0</v>
      </c>
      <c r="J144" s="145">
        <f>[53]SKL!$D$29</f>
        <v>0</v>
      </c>
      <c r="K144" s="143">
        <f t="shared" si="38"/>
        <v>0</v>
      </c>
      <c r="L144" s="144">
        <f>[54]SKL!$R$29</f>
        <v>0</v>
      </c>
      <c r="M144" s="145">
        <f>[54]SKL!$D$29</f>
        <v>0</v>
      </c>
      <c r="N144" s="143">
        <f t="shared" si="39"/>
        <v>0</v>
      </c>
      <c r="O144" s="144">
        <f>[55]SKL!$R$29</f>
        <v>0</v>
      </c>
      <c r="P144" s="145">
        <f>[55]SKL!$D$29</f>
        <v>0</v>
      </c>
    </row>
    <row r="145" spans="1:16" s="281" customFormat="1">
      <c r="A145" s="146" t="s">
        <v>93</v>
      </c>
      <c r="B145" s="143">
        <f t="shared" si="35"/>
        <v>0</v>
      </c>
      <c r="C145" s="144">
        <f>[76]SKL!$R$29</f>
        <v>0</v>
      </c>
      <c r="D145" s="145">
        <f>[76]SKL!$D$29</f>
        <v>0</v>
      </c>
      <c r="E145" s="143">
        <f t="shared" si="36"/>
        <v>0</v>
      </c>
      <c r="F145" s="144">
        <f>[77]SKL!$R$29</f>
        <v>0</v>
      </c>
      <c r="G145" s="145">
        <f>[77]SKL!$D$29</f>
        <v>0</v>
      </c>
      <c r="H145" s="143">
        <f t="shared" si="37"/>
        <v>0</v>
      </c>
      <c r="I145" s="144">
        <f>[78]SKL!$R$29</f>
        <v>0</v>
      </c>
      <c r="J145" s="145">
        <f>[78]SKL!$D$29</f>
        <v>0</v>
      </c>
      <c r="K145" s="143">
        <f t="shared" si="38"/>
        <v>0</v>
      </c>
      <c r="L145" s="144">
        <f>[79]SKL!$R$29</f>
        <v>0</v>
      </c>
      <c r="M145" s="145">
        <f>[79]SKL!$D$29</f>
        <v>0</v>
      </c>
      <c r="N145" s="143">
        <f t="shared" si="39"/>
        <v>0</v>
      </c>
      <c r="O145" s="144">
        <f>[80]SKL!$R$29</f>
        <v>0</v>
      </c>
      <c r="P145" s="145">
        <f>[80]SKL!$D$29</f>
        <v>0</v>
      </c>
    </row>
    <row r="146" spans="1:16" s="281" customFormat="1">
      <c r="A146" s="146" t="s">
        <v>94</v>
      </c>
      <c r="B146" s="143">
        <f t="shared" si="35"/>
        <v>0</v>
      </c>
      <c r="C146" s="144">
        <f>[56]SKL!$R$29</f>
        <v>0</v>
      </c>
      <c r="D146" s="145">
        <f>[56]SKL!$D$29</f>
        <v>0</v>
      </c>
      <c r="E146" s="143">
        <f t="shared" si="36"/>
        <v>0</v>
      </c>
      <c r="F146" s="144">
        <f>[57]SKL!$R$29</f>
        <v>0</v>
      </c>
      <c r="G146" s="145">
        <f>[57]SKL!$D$29</f>
        <v>0</v>
      </c>
      <c r="H146" s="143">
        <f t="shared" si="37"/>
        <v>0</v>
      </c>
      <c r="I146" s="144">
        <f>[58]SKL!$R$29</f>
        <v>0</v>
      </c>
      <c r="J146" s="145">
        <f>[58]SKL!$D$29</f>
        <v>0</v>
      </c>
      <c r="K146" s="143">
        <f t="shared" si="38"/>
        <v>0</v>
      </c>
      <c r="L146" s="144">
        <f>[59]SKL!$R$29</f>
        <v>0</v>
      </c>
      <c r="M146" s="145">
        <f>[59]SKL!$D$29</f>
        <v>0</v>
      </c>
      <c r="N146" s="143">
        <f t="shared" si="39"/>
        <v>0</v>
      </c>
      <c r="O146" s="144">
        <f>[60]SKL!$R$29</f>
        <v>0</v>
      </c>
      <c r="P146" s="145">
        <f>[60]SKL!$D$29</f>
        <v>0</v>
      </c>
    </row>
    <row r="147" spans="1:16" s="281" customFormat="1">
      <c r="A147" s="146" t="s">
        <v>95</v>
      </c>
      <c r="B147" s="143">
        <f t="shared" si="35"/>
        <v>1224</v>
      </c>
      <c r="C147" s="144">
        <f>[61]SKL!$R$29</f>
        <v>686</v>
      </c>
      <c r="D147" s="145">
        <f>[61]SKL!$D$29</f>
        <v>1910</v>
      </c>
      <c r="E147" s="143">
        <f t="shared" si="36"/>
        <v>1419</v>
      </c>
      <c r="F147" s="144">
        <f>[62]SKL!$R$29</f>
        <v>879</v>
      </c>
      <c r="G147" s="145">
        <f>[62]SKL!$D$29</f>
        <v>2298</v>
      </c>
      <c r="H147" s="143">
        <f t="shared" si="37"/>
        <v>1694</v>
      </c>
      <c r="I147" s="144">
        <f>[63]SKL!$R$29</f>
        <v>1174</v>
      </c>
      <c r="J147" s="145">
        <f>[63]SKL!$D$29</f>
        <v>2868</v>
      </c>
      <c r="K147" s="143">
        <f t="shared" si="38"/>
        <v>2200</v>
      </c>
      <c r="L147" s="144">
        <f>[64]SKL!$R$29</f>
        <v>1298</v>
      </c>
      <c r="M147" s="145">
        <f>[64]SKL!$D$29</f>
        <v>3498</v>
      </c>
      <c r="N147" s="143">
        <f t="shared" si="39"/>
        <v>3047</v>
      </c>
      <c r="O147" s="144">
        <f>[65]SKL!$R$29</f>
        <v>1503</v>
      </c>
      <c r="P147" s="145">
        <f>[65]SKL!$D$29</f>
        <v>4550</v>
      </c>
    </row>
    <row r="148" spans="1:16" s="281" customFormat="1">
      <c r="A148" s="146" t="s">
        <v>96</v>
      </c>
      <c r="B148" s="132">
        <f>SUM(B132:B147)</f>
        <v>17462</v>
      </c>
      <c r="C148" s="141">
        <f>SUM(C132:C147)-C140-C138-C145</f>
        <v>4411</v>
      </c>
      <c r="D148" s="137">
        <f>SUM(B148:C148)</f>
        <v>21873</v>
      </c>
      <c r="E148" s="132">
        <f>SUM(E132:E147)</f>
        <v>31725</v>
      </c>
      <c r="F148" s="141">
        <f>SUM(F132:F147)-F140-F138-F145</f>
        <v>4734</v>
      </c>
      <c r="G148" s="137">
        <f>SUM(E148:F148)</f>
        <v>36459</v>
      </c>
      <c r="H148" s="132">
        <f>SUM(H132:H147)</f>
        <v>47809</v>
      </c>
      <c r="I148" s="141">
        <f>SUM(I132:I147)-I140-I138-I145</f>
        <v>5224</v>
      </c>
      <c r="J148" s="137">
        <f>SUM(H148:I148)</f>
        <v>53033</v>
      </c>
      <c r="K148" s="132">
        <f>SUM(K132:K147)</f>
        <v>58363</v>
      </c>
      <c r="L148" s="141">
        <f>SUM(L132:L147)-L140-L138-L145</f>
        <v>5788</v>
      </c>
      <c r="M148" s="137">
        <f>SUM(K148:L148)</f>
        <v>64151</v>
      </c>
      <c r="N148" s="132">
        <f>SUM(N132:N147)</f>
        <v>64694</v>
      </c>
      <c r="O148" s="141">
        <f>SUM(O132:O147)-O140-O138-O145</f>
        <v>6352</v>
      </c>
      <c r="P148" s="137">
        <f>SUM(N148:O148)</f>
        <v>71046</v>
      </c>
    </row>
    <row r="149" spans="1:16">
      <c r="A149" s="429" t="s">
        <v>75</v>
      </c>
      <c r="B149" s="430"/>
      <c r="C149" s="430"/>
      <c r="D149" s="430"/>
      <c r="E149" s="430"/>
      <c r="F149" s="430"/>
      <c r="G149" s="430"/>
      <c r="H149" s="430"/>
      <c r="I149" s="430"/>
      <c r="J149" s="430"/>
      <c r="K149" s="430"/>
      <c r="L149" s="430"/>
      <c r="M149" s="430"/>
      <c r="N149" s="430"/>
      <c r="O149" s="430"/>
      <c r="P149" s="430"/>
    </row>
    <row r="150" spans="1:16">
      <c r="A150" s="146" t="s">
        <v>80</v>
      </c>
      <c r="B150" s="143">
        <f>D150-C150</f>
        <v>0</v>
      </c>
      <c r="C150" s="144">
        <f>[1]SKL!$R$35+[1]SKL!$R$36</f>
        <v>19003</v>
      </c>
      <c r="D150" s="145">
        <f>[1]SKL!$D$35+[1]SKL!$D$36</f>
        <v>19003</v>
      </c>
      <c r="E150" s="143">
        <f>G150-F150</f>
        <v>0</v>
      </c>
      <c r="F150" s="144">
        <f>[2]SKL!$R$35+[2]SKL!$R$36</f>
        <v>18862</v>
      </c>
      <c r="G150" s="145">
        <f>[2]SKL!$D$35+[2]SKL!$D$36</f>
        <v>18862</v>
      </c>
      <c r="H150" s="143">
        <f>J150-I150</f>
        <v>0</v>
      </c>
      <c r="I150" s="144">
        <f>[3]SKL!$R$35+[3]SKL!$R$36</f>
        <v>18703</v>
      </c>
      <c r="J150" s="145">
        <f>[3]SKL!$D$35+[3]SKL!$D$36</f>
        <v>18703</v>
      </c>
      <c r="K150" s="143">
        <f>M150-L150</f>
        <v>0</v>
      </c>
      <c r="L150" s="144">
        <f>[4]SKL!$R$35+[4]SKL!$R$36</f>
        <v>18566</v>
      </c>
      <c r="M150" s="145">
        <f>[4]SKL!$D$35+[4]SKL!$D$36</f>
        <v>18566</v>
      </c>
      <c r="N150" s="143">
        <f>P150-O150</f>
        <v>0</v>
      </c>
      <c r="O150" s="144">
        <f>[5]SKL!$R$35+[5]SKL!$R$36</f>
        <v>18569</v>
      </c>
      <c r="P150" s="145">
        <f>[5]SKL!$D$35+[5]SKL!$D$36</f>
        <v>18569</v>
      </c>
    </row>
    <row r="151" spans="1:16">
      <c r="A151" s="146" t="s">
        <v>81</v>
      </c>
      <c r="B151" s="143">
        <f t="shared" ref="B151:B165" si="40">D151-C151</f>
        <v>0</v>
      </c>
      <c r="C151" s="144">
        <f>[6]SKL!$R$35+[6]SKL!$R$36</f>
        <v>6658</v>
      </c>
      <c r="D151" s="145">
        <f>[6]SKL!$D$35+[6]SKL!$D$36</f>
        <v>6658</v>
      </c>
      <c r="E151" s="143">
        <f t="shared" ref="E151:E165" si="41">G151-F151</f>
        <v>0</v>
      </c>
      <c r="F151" s="144">
        <f>[7]SKL!$R$35+[7]SKL!$R$36</f>
        <v>6640</v>
      </c>
      <c r="G151" s="145">
        <f>[7]SKL!$D$35+[7]SKL!$D$36</f>
        <v>6640</v>
      </c>
      <c r="H151" s="143">
        <f t="shared" ref="H151:H165" si="42">J151-I151</f>
        <v>0</v>
      </c>
      <c r="I151" s="144">
        <f>[8]SKL!$R$35+[8]SKL!$R$36</f>
        <v>6773</v>
      </c>
      <c r="J151" s="145">
        <f>[8]SKL!$D$35+[8]SKL!$D$36</f>
        <v>6773</v>
      </c>
      <c r="K151" s="143">
        <f t="shared" ref="K151:K165" si="43">M151-L151</f>
        <v>0</v>
      </c>
      <c r="L151" s="144">
        <f>[9]SKL!$R$35+[9]SKL!$R$36</f>
        <v>6819</v>
      </c>
      <c r="M151" s="145">
        <f>[9]SKL!$D$35+[9]SKL!$D$36</f>
        <v>6819</v>
      </c>
      <c r="N151" s="143">
        <f t="shared" ref="N151:N165" si="44">P151-O151</f>
        <v>0</v>
      </c>
      <c r="O151" s="144">
        <f>[10]SKL!$R$35+[10]SKL!$R$36</f>
        <v>6925</v>
      </c>
      <c r="P151" s="145">
        <f>[10]SKL!$D$35+[10]SKL!$D$36</f>
        <v>6925</v>
      </c>
    </row>
    <row r="152" spans="1:16">
      <c r="A152" s="146" t="s">
        <v>82</v>
      </c>
      <c r="B152" s="143">
        <f t="shared" si="40"/>
        <v>0</v>
      </c>
      <c r="C152" s="144">
        <f>[11]SKL!$R$35+[11]SKL!$R$36</f>
        <v>3477</v>
      </c>
      <c r="D152" s="145">
        <f>[11]SKL!$D$35+[11]SKL!$D$36</f>
        <v>3477</v>
      </c>
      <c r="E152" s="143">
        <f t="shared" si="41"/>
        <v>0</v>
      </c>
      <c r="F152" s="144">
        <f>[12]SKL!$R$35+[12]SKL!$R$36</f>
        <v>3393</v>
      </c>
      <c r="G152" s="145">
        <f>[12]SKL!$D$35+[12]SKL!$D$36</f>
        <v>3393</v>
      </c>
      <c r="H152" s="143">
        <f t="shared" si="42"/>
        <v>0</v>
      </c>
      <c r="I152" s="144">
        <f>[13]SKL!$R$35+[13]SKL!$R$36</f>
        <v>3516</v>
      </c>
      <c r="J152" s="145">
        <f>[13]SKL!$D$35+[13]SKL!$D$36</f>
        <v>3516</v>
      </c>
      <c r="K152" s="143">
        <f t="shared" si="43"/>
        <v>0</v>
      </c>
      <c r="L152" s="144">
        <f>[14]SKL!$R$35+[14]SKL!$R$36</f>
        <v>3588</v>
      </c>
      <c r="M152" s="145">
        <f>[14]SKL!$D$35+[14]SKL!$D$36</f>
        <v>3588</v>
      </c>
      <c r="N152" s="143">
        <f t="shared" si="44"/>
        <v>0</v>
      </c>
      <c r="O152" s="144">
        <f>[15]SKL!$R$35+[15]SKL!$R$36</f>
        <v>3807</v>
      </c>
      <c r="P152" s="145">
        <f>[15]SKL!$D$35+[15]SKL!$D$36</f>
        <v>3807</v>
      </c>
    </row>
    <row r="153" spans="1:16">
      <c r="A153" s="146" t="s">
        <v>83</v>
      </c>
      <c r="B153" s="143">
        <f t="shared" si="40"/>
        <v>0</v>
      </c>
      <c r="C153" s="144">
        <f>[16]SKL!$R$35+[16]SKL!$R$36</f>
        <v>1176</v>
      </c>
      <c r="D153" s="145">
        <f>[16]SKL!$D$35+[16]SKL!$D$36</f>
        <v>1176</v>
      </c>
      <c r="E153" s="143">
        <f t="shared" si="41"/>
        <v>0</v>
      </c>
      <c r="F153" s="144">
        <f>[17]SKL!$R$35+[17]SKL!$R$36</f>
        <v>1162</v>
      </c>
      <c r="G153" s="145">
        <f>[17]SKL!$D$35+[17]SKL!$D$36</f>
        <v>1162</v>
      </c>
      <c r="H153" s="143">
        <f t="shared" si="42"/>
        <v>0</v>
      </c>
      <c r="I153" s="144">
        <f>[18]SKL!$R$35+[18]SKL!$R$36</f>
        <v>1189</v>
      </c>
      <c r="J153" s="145">
        <f>[18]SKL!$D$35+[18]SKL!$D$36</f>
        <v>1189</v>
      </c>
      <c r="K153" s="143">
        <f t="shared" si="43"/>
        <v>0</v>
      </c>
      <c r="L153" s="144">
        <f>[19]SKL!$R$35+[19]SKL!$R$36</f>
        <v>1245</v>
      </c>
      <c r="M153" s="145">
        <f>[19]SKL!$D$35+[19]SKL!$D$36</f>
        <v>1245</v>
      </c>
      <c r="N153" s="143">
        <f t="shared" si="44"/>
        <v>0</v>
      </c>
      <c r="O153" s="144">
        <f>[20]SKL!$R$35+[20]SKL!$R$36</f>
        <v>1259</v>
      </c>
      <c r="P153" s="145">
        <f>[20]SKL!$D$35+[20]SKL!$D$36</f>
        <v>1259</v>
      </c>
    </row>
    <row r="154" spans="1:16">
      <c r="A154" s="146" t="s">
        <v>84</v>
      </c>
      <c r="B154" s="143">
        <f t="shared" si="40"/>
        <v>0</v>
      </c>
      <c r="C154" s="144">
        <f>[21]SKL!$R$35+[21]SKL!$R$36</f>
        <v>806</v>
      </c>
      <c r="D154" s="145">
        <f>[21]SKL!$D$35+[21]SKL!$D$36</f>
        <v>806</v>
      </c>
      <c r="E154" s="143">
        <f t="shared" si="41"/>
        <v>0</v>
      </c>
      <c r="F154" s="144">
        <f>[22]SKL!$R$35+[22]SKL!$R$36</f>
        <v>827</v>
      </c>
      <c r="G154" s="145">
        <f>[22]SKL!$D$35+[22]SKL!$D$36</f>
        <v>827</v>
      </c>
      <c r="H154" s="143">
        <f t="shared" si="42"/>
        <v>0</v>
      </c>
      <c r="I154" s="144">
        <f>[23]SKL!$R$35+[23]SKL!$R$36</f>
        <v>871</v>
      </c>
      <c r="J154" s="145">
        <f>[23]SKL!$D$35+[23]SKL!$D$36</f>
        <v>871</v>
      </c>
      <c r="K154" s="143">
        <f t="shared" si="43"/>
        <v>0</v>
      </c>
      <c r="L154" s="144">
        <f>[24]SKL!$R$35+[24]SKL!$R$36</f>
        <v>870</v>
      </c>
      <c r="M154" s="145">
        <f>[24]SKL!$D$35+[24]SKL!$D$36</f>
        <v>870</v>
      </c>
      <c r="N154" s="143">
        <f t="shared" si="44"/>
        <v>0</v>
      </c>
      <c r="O154" s="144">
        <f>[25]SKL!$R$35+[25]SKL!$R$36</f>
        <v>870</v>
      </c>
      <c r="P154" s="145">
        <f>[25]SKL!$D$35+[25]SKL!$D$36</f>
        <v>870</v>
      </c>
    </row>
    <row r="155" spans="1:16">
      <c r="A155" s="146" t="s">
        <v>85</v>
      </c>
      <c r="B155" s="143">
        <f t="shared" si="40"/>
        <v>0</v>
      </c>
      <c r="C155" s="144">
        <f>[26]SKL!$R$35+[26]SKL!$R$36</f>
        <v>2445</v>
      </c>
      <c r="D155" s="145">
        <f>[26]SKL!$D$35+[26]SKL!$D$36</f>
        <v>2445</v>
      </c>
      <c r="E155" s="143">
        <f t="shared" si="41"/>
        <v>0</v>
      </c>
      <c r="F155" s="144">
        <f>[27]SKL!$R$35+[27]SKL!$R$36</f>
        <v>2435</v>
      </c>
      <c r="G155" s="145">
        <f>[27]SKL!$D$35+[27]SKL!$D$36</f>
        <v>2435</v>
      </c>
      <c r="H155" s="143">
        <f t="shared" si="42"/>
        <v>0</v>
      </c>
      <c r="I155" s="144">
        <f>[28]SKL!$R$35+[28]SKL!$R$36</f>
        <v>2434</v>
      </c>
      <c r="J155" s="145">
        <f>[28]SKL!$D$35+[28]SKL!$D$36</f>
        <v>2434</v>
      </c>
      <c r="K155" s="143">
        <f t="shared" si="43"/>
        <v>0</v>
      </c>
      <c r="L155" s="144">
        <f>[29]SKL!$R$35+[29]SKL!$R$36</f>
        <v>2652</v>
      </c>
      <c r="M155" s="145">
        <f>[29]SKL!$D$35+[29]SKL!$D$36</f>
        <v>2652</v>
      </c>
      <c r="N155" s="143">
        <f t="shared" si="44"/>
        <v>0</v>
      </c>
      <c r="O155" s="144">
        <f>[30]SKL!$R$35+[30]SKL!$R$36</f>
        <v>2692</v>
      </c>
      <c r="P155" s="145">
        <f>[30]SKL!$D$35+[30]SKL!$D$36</f>
        <v>2692</v>
      </c>
    </row>
    <row r="156" spans="1:16">
      <c r="A156" s="146" t="s">
        <v>86</v>
      </c>
      <c r="B156" s="143">
        <f t="shared" si="40"/>
        <v>0</v>
      </c>
      <c r="C156" s="144">
        <f>[66]SKL!$R$35+[66]SKL!$R$36</f>
        <v>4263</v>
      </c>
      <c r="D156" s="145">
        <f>[66]SKL!$D$35+[66]SKL!$D$36</f>
        <v>4263</v>
      </c>
      <c r="E156" s="143">
        <f t="shared" si="41"/>
        <v>0</v>
      </c>
      <c r="F156" s="144">
        <f>[67]SKL!$R$35+[67]SKL!$R$36</f>
        <v>4212</v>
      </c>
      <c r="G156" s="145">
        <f>[67]SKL!$D$35+[67]SKL!$D$36</f>
        <v>4212</v>
      </c>
      <c r="H156" s="143">
        <f t="shared" si="42"/>
        <v>0</v>
      </c>
      <c r="I156" s="144">
        <f>[68]SKL!$R$35+[68]SKL!$R$36</f>
        <v>4200</v>
      </c>
      <c r="J156" s="145">
        <f>[68]SKL!$D$35+[68]SKL!$D$36</f>
        <v>4200</v>
      </c>
      <c r="K156" s="143">
        <f t="shared" si="43"/>
        <v>0</v>
      </c>
      <c r="L156" s="144">
        <f>[69]SKL!$R$35+[69]SKL!$R$36</f>
        <v>4204</v>
      </c>
      <c r="M156" s="145">
        <f>[69]SKL!$D$35+[69]SKL!$D$36</f>
        <v>4204</v>
      </c>
      <c r="N156" s="143">
        <f t="shared" si="44"/>
        <v>0</v>
      </c>
      <c r="O156" s="144">
        <f>[70]SKL!$R$35+[70]SKL!$R$36</f>
        <v>4157</v>
      </c>
      <c r="P156" s="145">
        <f>[70]SKL!$D$35+[70]SKL!$D$36</f>
        <v>4157</v>
      </c>
    </row>
    <row r="157" spans="1:16">
      <c r="A157" s="146" t="s">
        <v>87</v>
      </c>
      <c r="B157" s="143">
        <f t="shared" si="40"/>
        <v>0</v>
      </c>
      <c r="C157" s="144">
        <f>[31]SKL!$R$35+[31]SKL!$R$36</f>
        <v>740</v>
      </c>
      <c r="D157" s="145">
        <f>[31]SKL!$D$35+[31]SKL!$D$36</f>
        <v>740</v>
      </c>
      <c r="E157" s="143">
        <f t="shared" si="41"/>
        <v>0</v>
      </c>
      <c r="F157" s="144">
        <f>[32]SKL!$R$35+[32]SKL!$R$36</f>
        <v>755</v>
      </c>
      <c r="G157" s="145">
        <f>[32]SKL!$D$35+[32]SKL!$D$36</f>
        <v>755</v>
      </c>
      <c r="H157" s="143">
        <f t="shared" si="42"/>
        <v>0</v>
      </c>
      <c r="I157" s="144">
        <f>[33]SKL!$R$35+[33]SKL!$R$36</f>
        <v>736</v>
      </c>
      <c r="J157" s="145">
        <f>[33]SKL!$D$35+[33]SKL!$D$36</f>
        <v>736</v>
      </c>
      <c r="K157" s="143">
        <f t="shared" si="43"/>
        <v>0</v>
      </c>
      <c r="L157" s="144">
        <f>[34]SKL!$R$35+[34]SKL!$R$36</f>
        <v>789</v>
      </c>
      <c r="M157" s="145">
        <f>[34]SKL!$D$35+[34]SKL!$D$36</f>
        <v>789</v>
      </c>
      <c r="N157" s="143">
        <f t="shared" si="44"/>
        <v>0</v>
      </c>
      <c r="O157" s="144">
        <f>[35]SKL!$R$35+[35]SKL!$R$36</f>
        <v>818</v>
      </c>
      <c r="P157" s="145">
        <f>[35]SKL!$D$35+[35]SKL!$D$36</f>
        <v>818</v>
      </c>
    </row>
    <row r="158" spans="1:16">
      <c r="A158" s="146" t="s">
        <v>88</v>
      </c>
      <c r="B158" s="143">
        <f t="shared" si="40"/>
        <v>0</v>
      </c>
      <c r="C158" s="144">
        <f>[71]SKL!$R$35+[71]SKL!$R$36</f>
        <v>5756</v>
      </c>
      <c r="D158" s="145">
        <f>[71]SKL!$D$35+[71]SKL!$D$36</f>
        <v>5756</v>
      </c>
      <c r="E158" s="143">
        <f t="shared" si="41"/>
        <v>0</v>
      </c>
      <c r="F158" s="144">
        <f>[72]SKL!$R$35+[72]SKL!$R$36</f>
        <v>5866</v>
      </c>
      <c r="G158" s="145">
        <f>[72]SKL!$D$35+[72]SKL!$D$36</f>
        <v>5866</v>
      </c>
      <c r="H158" s="143">
        <f t="shared" si="42"/>
        <v>0</v>
      </c>
      <c r="I158" s="144">
        <f>[73]SKL!$R$35+[73]SKL!$R$36</f>
        <v>5748</v>
      </c>
      <c r="J158" s="145">
        <f>[73]SKL!$D$35+[73]SKL!$D$36</f>
        <v>5748</v>
      </c>
      <c r="K158" s="143">
        <f t="shared" si="43"/>
        <v>0</v>
      </c>
      <c r="L158" s="144">
        <f>[74]SKL!$R$35+[74]SKL!$R$36</f>
        <v>5692</v>
      </c>
      <c r="M158" s="145">
        <f>[74]SKL!$D$35+[74]SKL!$D$36</f>
        <v>5692</v>
      </c>
      <c r="N158" s="143">
        <f t="shared" si="44"/>
        <v>0</v>
      </c>
      <c r="O158" s="144">
        <f>[75]SKL!$R$35+[75]SKL!$R$36</f>
        <v>5722</v>
      </c>
      <c r="P158" s="145">
        <f>[75]SKL!$D$35+[75]SKL!$D$36</f>
        <v>5722</v>
      </c>
    </row>
    <row r="159" spans="1:16">
      <c r="A159" s="146" t="s">
        <v>89</v>
      </c>
      <c r="B159" s="143">
        <f t="shared" si="40"/>
        <v>0</v>
      </c>
      <c r="C159" s="144">
        <f>[36]SKL!$R$35+[36]SKL!$R$36</f>
        <v>13005</v>
      </c>
      <c r="D159" s="145">
        <f>[36]SKL!$D$35+[36]SKL!$D$36</f>
        <v>13005</v>
      </c>
      <c r="E159" s="143">
        <f t="shared" si="41"/>
        <v>0</v>
      </c>
      <c r="F159" s="144">
        <f>[37]SKL!$R$35+[37]SKL!$R$36</f>
        <v>12807</v>
      </c>
      <c r="G159" s="145">
        <f>[37]SKL!$D$35+[37]SKL!$D$36</f>
        <v>12807</v>
      </c>
      <c r="H159" s="143">
        <f t="shared" si="42"/>
        <v>0</v>
      </c>
      <c r="I159" s="144">
        <f>[38]SKL!$R$35+[38]SKL!$R$36</f>
        <v>12667</v>
      </c>
      <c r="J159" s="145">
        <f>[38]SKL!$D$35+[38]SKL!$D$36</f>
        <v>12667</v>
      </c>
      <c r="K159" s="143">
        <f t="shared" si="43"/>
        <v>0</v>
      </c>
      <c r="L159" s="144">
        <f>[39]SKL!$R$35+[39]SKL!$R$36</f>
        <v>13004</v>
      </c>
      <c r="M159" s="145">
        <f>[39]SKL!$D$35+[39]SKL!$D$36</f>
        <v>13004</v>
      </c>
      <c r="N159" s="143">
        <f t="shared" si="44"/>
        <v>0</v>
      </c>
      <c r="O159" s="144">
        <f>[40]SKL!$R$35+[40]SKL!$R$36</f>
        <v>13032</v>
      </c>
      <c r="P159" s="145">
        <f>[40]SKL!$D$35+[40]SKL!$D$36</f>
        <v>13032</v>
      </c>
    </row>
    <row r="160" spans="1:16">
      <c r="A160" s="146" t="s">
        <v>90</v>
      </c>
      <c r="B160" s="143">
        <f t="shared" si="40"/>
        <v>0</v>
      </c>
      <c r="C160" s="144">
        <f>[41]SKL!$R$35+[41]SKL!$R$36</f>
        <v>2026</v>
      </c>
      <c r="D160" s="145">
        <f>[41]SKL!$D$35+[41]SKL!$D$36</f>
        <v>2026</v>
      </c>
      <c r="E160" s="143">
        <f t="shared" si="41"/>
        <v>0</v>
      </c>
      <c r="F160" s="144">
        <f>[42]SKL!$R$35+[42]SKL!$R$36</f>
        <v>2039</v>
      </c>
      <c r="G160" s="145">
        <f>[42]SKL!$D$35+[42]SKL!$D$36</f>
        <v>2039</v>
      </c>
      <c r="H160" s="143">
        <f t="shared" si="42"/>
        <v>0</v>
      </c>
      <c r="I160" s="144">
        <f>[43]SKL!$R$35+[43]SKL!$R$36</f>
        <v>1985</v>
      </c>
      <c r="J160" s="145">
        <f>[43]SKL!$D$35+[43]SKL!$D$36</f>
        <v>1985</v>
      </c>
      <c r="K160" s="143">
        <f t="shared" si="43"/>
        <v>0</v>
      </c>
      <c r="L160" s="144">
        <f>[44]SKL!$R$35+[44]SKL!$R$36</f>
        <v>1964</v>
      </c>
      <c r="M160" s="145">
        <f>[44]SKL!$D$35+[44]SKL!$D$36</f>
        <v>1964</v>
      </c>
      <c r="N160" s="143">
        <f t="shared" si="44"/>
        <v>0</v>
      </c>
      <c r="O160" s="144">
        <f>[45]SKL!$R$35+[45]SKL!$R$36</f>
        <v>2000</v>
      </c>
      <c r="P160" s="145">
        <f>[45]SKL!$D$35+[45]SKL!$D$36</f>
        <v>2000</v>
      </c>
    </row>
    <row r="161" spans="1:16">
      <c r="A161" s="146" t="s">
        <v>91</v>
      </c>
      <c r="B161" s="143">
        <f t="shared" si="40"/>
        <v>0</v>
      </c>
      <c r="C161" s="144">
        <f>[46]SKL!$R$35+[46]SKL!$R$36</f>
        <v>1043</v>
      </c>
      <c r="D161" s="145">
        <f>[46]SKL!$D$35+[46]SKL!$D$36</f>
        <v>1043</v>
      </c>
      <c r="E161" s="143">
        <f t="shared" si="41"/>
        <v>0</v>
      </c>
      <c r="F161" s="144">
        <f>[47]SKL!$R$35+[47]SKL!$R$36</f>
        <v>1013</v>
      </c>
      <c r="G161" s="145">
        <f>[47]SKL!$D$35+[47]SKL!$D$36</f>
        <v>1013</v>
      </c>
      <c r="H161" s="143">
        <f t="shared" si="42"/>
        <v>0</v>
      </c>
      <c r="I161" s="144">
        <f>[48]SKL!$R$35+[48]SKL!$R$36</f>
        <v>1023</v>
      </c>
      <c r="J161" s="145">
        <f>[48]SKL!$D$35+[48]SKL!$D$36</f>
        <v>1023</v>
      </c>
      <c r="K161" s="143">
        <f t="shared" si="43"/>
        <v>0</v>
      </c>
      <c r="L161" s="144">
        <f>[49]SKL!$R$35+[49]SKL!$R$36</f>
        <v>1015</v>
      </c>
      <c r="M161" s="145">
        <f>[49]SKL!$D$35+[49]SKL!$D$36</f>
        <v>1015</v>
      </c>
      <c r="N161" s="143">
        <f t="shared" si="44"/>
        <v>0</v>
      </c>
      <c r="O161" s="144">
        <f>[50]SKL!$R$35+[50]SKL!$R$36</f>
        <v>974</v>
      </c>
      <c r="P161" s="145">
        <f>[50]SKL!$D$35+[50]SKL!$D$36</f>
        <v>974</v>
      </c>
    </row>
    <row r="162" spans="1:16">
      <c r="A162" s="146" t="s">
        <v>92</v>
      </c>
      <c r="B162" s="143">
        <f t="shared" si="40"/>
        <v>0</v>
      </c>
      <c r="C162" s="144">
        <f>[51]SKL!$R$35+[51]SKL!$R$36</f>
        <v>1247</v>
      </c>
      <c r="D162" s="145">
        <f>[51]SKL!$D$35+[51]SKL!$D$36</f>
        <v>1247</v>
      </c>
      <c r="E162" s="143">
        <f t="shared" si="41"/>
        <v>0</v>
      </c>
      <c r="F162" s="144">
        <f>[52]SKL!$R$35+[52]SKL!$R$36</f>
        <v>1293</v>
      </c>
      <c r="G162" s="145">
        <f>[52]SKL!$D$35+[52]SKL!$D$36</f>
        <v>1293</v>
      </c>
      <c r="H162" s="143">
        <f t="shared" si="42"/>
        <v>0</v>
      </c>
      <c r="I162" s="144">
        <f>[53]SKL!$R$35+[53]SKL!$R$36</f>
        <v>1388</v>
      </c>
      <c r="J162" s="145">
        <f>[53]SKL!$D$35+[53]SKL!$D$36</f>
        <v>1388</v>
      </c>
      <c r="K162" s="143">
        <f t="shared" si="43"/>
        <v>0</v>
      </c>
      <c r="L162" s="144">
        <f>[54]SKL!$R$35+[54]SKL!$R$36</f>
        <v>1501</v>
      </c>
      <c r="M162" s="145">
        <f>[54]SKL!$D$35+[54]SKL!$D$36</f>
        <v>1501</v>
      </c>
      <c r="N162" s="143">
        <f t="shared" si="44"/>
        <v>0</v>
      </c>
      <c r="O162" s="144">
        <f>[55]SKL!$R$35+[55]SKL!$R$36</f>
        <v>1605</v>
      </c>
      <c r="P162" s="145">
        <f>[55]SKL!$D$35+[55]SKL!$D$36</f>
        <v>1605</v>
      </c>
    </row>
    <row r="163" spans="1:16">
      <c r="A163" s="146" t="s">
        <v>93</v>
      </c>
      <c r="B163" s="143">
        <f t="shared" si="40"/>
        <v>0</v>
      </c>
      <c r="C163" s="144">
        <f>[76]SKL!$R$35+[76]SKL!$R$36</f>
        <v>695</v>
      </c>
      <c r="D163" s="145">
        <f>[76]SKL!$D$35+[76]SKL!$D$36</f>
        <v>695</v>
      </c>
      <c r="E163" s="143">
        <f t="shared" si="41"/>
        <v>0</v>
      </c>
      <c r="F163" s="144">
        <f>[77]SKL!$R$35+[77]SKL!$R$36</f>
        <v>749</v>
      </c>
      <c r="G163" s="145">
        <f>[77]SKL!$D$35+[77]SKL!$D$36</f>
        <v>749</v>
      </c>
      <c r="H163" s="143">
        <f t="shared" si="42"/>
        <v>0</v>
      </c>
      <c r="I163" s="144">
        <f>[78]SKL!$R$35+[78]SKL!$R$36</f>
        <v>798</v>
      </c>
      <c r="J163" s="145">
        <f>[78]SKL!$D$35+[78]SKL!$D$36</f>
        <v>798</v>
      </c>
      <c r="K163" s="143">
        <f t="shared" si="43"/>
        <v>0</v>
      </c>
      <c r="L163" s="144">
        <f>[79]SKL!$R$35+[79]SKL!$R$36</f>
        <v>833</v>
      </c>
      <c r="M163" s="145">
        <f>[79]SKL!$D$35+[79]SKL!$D$36</f>
        <v>833</v>
      </c>
      <c r="N163" s="143">
        <f t="shared" si="44"/>
        <v>0</v>
      </c>
      <c r="O163" s="144">
        <f>[80]SKL!$R$35+[80]SKL!$R$36</f>
        <v>860</v>
      </c>
      <c r="P163" s="145">
        <f>[80]SKL!$D$35+[80]SKL!$D$36</f>
        <v>860</v>
      </c>
    </row>
    <row r="164" spans="1:16">
      <c r="A164" s="146" t="s">
        <v>94</v>
      </c>
      <c r="B164" s="143">
        <f t="shared" si="40"/>
        <v>0</v>
      </c>
      <c r="C164" s="144">
        <f>[56]SKL!$R$35+[56]SKL!$R$36</f>
        <v>3951</v>
      </c>
      <c r="D164" s="145">
        <f>[56]SKL!$D$35+[56]SKL!$D$36</f>
        <v>3951</v>
      </c>
      <c r="E164" s="143">
        <f t="shared" si="41"/>
        <v>0</v>
      </c>
      <c r="F164" s="144">
        <f>[57]SKL!$R$35+[57]SKL!$R$36</f>
        <v>3867</v>
      </c>
      <c r="G164" s="145">
        <f>[57]SKL!$D$35+[57]SKL!$D$36</f>
        <v>3867</v>
      </c>
      <c r="H164" s="143">
        <f t="shared" si="42"/>
        <v>0</v>
      </c>
      <c r="I164" s="144">
        <f>[58]SKL!$R$35+[58]SKL!$R$36</f>
        <v>3828</v>
      </c>
      <c r="J164" s="145">
        <f>[58]SKL!$D$35+[58]SKL!$D$36</f>
        <v>3828</v>
      </c>
      <c r="K164" s="143">
        <f t="shared" si="43"/>
        <v>0</v>
      </c>
      <c r="L164" s="144">
        <f>[59]SKL!$R$35+[59]SKL!$R$36</f>
        <v>3815</v>
      </c>
      <c r="M164" s="145">
        <f>[59]SKL!$D$35+[59]SKL!$D$36</f>
        <v>3815</v>
      </c>
      <c r="N164" s="143">
        <f t="shared" si="44"/>
        <v>0</v>
      </c>
      <c r="O164" s="144">
        <f>[60]SKL!$R$35+[60]SKL!$R$36</f>
        <v>3918</v>
      </c>
      <c r="P164" s="145">
        <f>[60]SKL!$D$35+[60]SKL!$D$36</f>
        <v>3918</v>
      </c>
    </row>
    <row r="165" spans="1:16">
      <c r="A165" s="146" t="s">
        <v>95</v>
      </c>
      <c r="B165" s="143">
        <f t="shared" si="40"/>
        <v>0</v>
      </c>
      <c r="C165" s="144">
        <f>[61]SKL!$R$35+[61]SKL!$R$36</f>
        <v>1140</v>
      </c>
      <c r="D165" s="145">
        <f>[61]SKL!$D$35+[61]SKL!$D$36</f>
        <v>1140</v>
      </c>
      <c r="E165" s="143">
        <f t="shared" si="41"/>
        <v>0</v>
      </c>
      <c r="F165" s="144">
        <f>[62]SKL!$R$35+[62]SKL!$R$36</f>
        <v>1164</v>
      </c>
      <c r="G165" s="145">
        <f>[62]SKL!$D$35+[62]SKL!$D$36</f>
        <v>1164</v>
      </c>
      <c r="H165" s="143">
        <f t="shared" si="42"/>
        <v>0</v>
      </c>
      <c r="I165" s="144">
        <f>[63]SKL!$R$35+[63]SKL!$R$36</f>
        <v>1200</v>
      </c>
      <c r="J165" s="145">
        <f>[63]SKL!$D$35+[63]SKL!$D$36</f>
        <v>1200</v>
      </c>
      <c r="K165" s="143">
        <f t="shared" si="43"/>
        <v>0</v>
      </c>
      <c r="L165" s="144">
        <f>[64]SKL!$R$35+[64]SKL!$R$36</f>
        <v>1227</v>
      </c>
      <c r="M165" s="145">
        <f>[64]SKL!$D$35+[64]SKL!$D$36</f>
        <v>1227</v>
      </c>
      <c r="N165" s="143">
        <f t="shared" si="44"/>
        <v>0</v>
      </c>
      <c r="O165" s="144">
        <f>[65]SKL!$R$35+[65]SKL!$R$36</f>
        <v>1236</v>
      </c>
      <c r="P165" s="145">
        <f>[65]SKL!$D$35+[65]SKL!$D$36</f>
        <v>1236</v>
      </c>
    </row>
    <row r="166" spans="1:16">
      <c r="A166" s="146" t="s">
        <v>96</v>
      </c>
      <c r="B166" s="132">
        <f>SUM(B150:B165)</f>
        <v>0</v>
      </c>
      <c r="C166" s="141">
        <f>SUM(C150:C165)-C158-C156-C163</f>
        <v>56717</v>
      </c>
      <c r="D166" s="137">
        <f>SUM(B166:C166)</f>
        <v>56717</v>
      </c>
      <c r="E166" s="132">
        <f>SUM(E150:E165)</f>
        <v>0</v>
      </c>
      <c r="F166" s="141">
        <f>SUM(F150:F165)-F158-F156-F163</f>
        <v>56257</v>
      </c>
      <c r="G166" s="137">
        <f>SUM(E166:F166)</f>
        <v>56257</v>
      </c>
      <c r="H166" s="132">
        <f>SUM(H150:H165)</f>
        <v>0</v>
      </c>
      <c r="I166" s="141">
        <f>SUM(I150:I165)-I158-I156-I163</f>
        <v>56313</v>
      </c>
      <c r="J166" s="137">
        <f>SUM(H166:I166)</f>
        <v>56313</v>
      </c>
      <c r="K166" s="132">
        <f>SUM(K150:K165)</f>
        <v>0</v>
      </c>
      <c r="L166" s="141">
        <f>SUM(L150:L165)-L158-L156-L163</f>
        <v>57055</v>
      </c>
      <c r="M166" s="137">
        <f>SUM(K166:L166)</f>
        <v>57055</v>
      </c>
      <c r="N166" s="132">
        <f>SUM(N150:N165)</f>
        <v>0</v>
      </c>
      <c r="O166" s="141">
        <f>SUM(O150:O165)-O158-O156-O163</f>
        <v>57705</v>
      </c>
      <c r="P166" s="137">
        <f>SUM(N166:O166)</f>
        <v>57705</v>
      </c>
    </row>
    <row r="167" spans="1:16" s="281" customFormat="1" ht="27" customHeight="1">
      <c r="A167" s="431" t="s">
        <v>242</v>
      </c>
      <c r="B167" s="432"/>
      <c r="C167" s="432"/>
      <c r="D167" s="432"/>
      <c r="E167" s="432"/>
      <c r="F167" s="432"/>
      <c r="G167" s="432"/>
      <c r="H167" s="432"/>
      <c r="I167" s="432"/>
      <c r="J167" s="432"/>
      <c r="K167" s="432"/>
      <c r="L167" s="432"/>
      <c r="M167" s="432"/>
      <c r="N167" s="432"/>
      <c r="O167" s="432"/>
      <c r="P167" s="432"/>
    </row>
    <row r="168" spans="1:16" s="281" customFormat="1">
      <c r="A168" s="146" t="s">
        <v>80</v>
      </c>
      <c r="B168" s="143">
        <f>D168-C168</f>
        <v>0</v>
      </c>
      <c r="C168" s="144">
        <f>[1]SKL!$R$35</f>
        <v>7056</v>
      </c>
      <c r="D168" s="145">
        <f>[1]SKL!$D$35</f>
        <v>7056</v>
      </c>
      <c r="E168" s="143">
        <f>G168-F168</f>
        <v>0</v>
      </c>
      <c r="F168" s="144">
        <f>[2]SKL!$R$35</f>
        <v>6991</v>
      </c>
      <c r="G168" s="145">
        <f>[2]SKL!$D$35</f>
        <v>6991</v>
      </c>
      <c r="H168" s="143">
        <f>J168-I168</f>
        <v>0</v>
      </c>
      <c r="I168" s="144">
        <f>[3]SKL!$R$35</f>
        <v>6966</v>
      </c>
      <c r="J168" s="145">
        <f>[3]SKL!$D$35</f>
        <v>6966</v>
      </c>
      <c r="K168" s="143">
        <f>M168-L168</f>
        <v>0</v>
      </c>
      <c r="L168" s="144">
        <f>[4]SKL!$R$35</f>
        <v>7040</v>
      </c>
      <c r="M168" s="145">
        <f>[4]SKL!$D$35</f>
        <v>7040</v>
      </c>
      <c r="N168" s="143">
        <f>P168-O168</f>
        <v>0</v>
      </c>
      <c r="O168" s="144">
        <f>[5]SKL!$R$35</f>
        <v>7195</v>
      </c>
      <c r="P168" s="145">
        <f>[5]SKL!$D$35</f>
        <v>7195</v>
      </c>
    </row>
    <row r="169" spans="1:16" s="281" customFormat="1">
      <c r="A169" s="146" t="s">
        <v>81</v>
      </c>
      <c r="B169" s="143">
        <f t="shared" ref="B169:B183" si="45">D169-C169</f>
        <v>0</v>
      </c>
      <c r="C169" s="144">
        <f>[6]SKL!$R$35</f>
        <v>2527</v>
      </c>
      <c r="D169" s="145">
        <f>[6]SKL!$D$35</f>
        <v>2527</v>
      </c>
      <c r="E169" s="143">
        <f t="shared" ref="E169:E183" si="46">G169-F169</f>
        <v>0</v>
      </c>
      <c r="F169" s="144">
        <f>[7]SKL!$R$35</f>
        <v>2494</v>
      </c>
      <c r="G169" s="145">
        <f>[7]SKL!$D$35</f>
        <v>2494</v>
      </c>
      <c r="H169" s="143">
        <f t="shared" ref="H169:H183" si="47">J169-I169</f>
        <v>0</v>
      </c>
      <c r="I169" s="144">
        <f>[8]SKL!$R$35</f>
        <v>2556</v>
      </c>
      <c r="J169" s="145">
        <f>[8]SKL!$D$35</f>
        <v>2556</v>
      </c>
      <c r="K169" s="143">
        <f t="shared" ref="K169:K183" si="48">M169-L169</f>
        <v>0</v>
      </c>
      <c r="L169" s="144">
        <f>[9]SKL!$R$35</f>
        <v>2574</v>
      </c>
      <c r="M169" s="145">
        <f>[9]SKL!$D$35</f>
        <v>2574</v>
      </c>
      <c r="N169" s="143">
        <f t="shared" ref="N169:N183" si="49">P169-O169</f>
        <v>0</v>
      </c>
      <c r="O169" s="144">
        <f>[10]SKL!$R$35</f>
        <v>2781</v>
      </c>
      <c r="P169" s="145">
        <f>[10]SKL!$D$35</f>
        <v>2781</v>
      </c>
    </row>
    <row r="170" spans="1:16" s="281" customFormat="1">
      <c r="A170" s="146" t="s">
        <v>82</v>
      </c>
      <c r="B170" s="143">
        <f t="shared" si="45"/>
        <v>0</v>
      </c>
      <c r="C170" s="144">
        <f>[11]SKL!$R$35</f>
        <v>1543</v>
      </c>
      <c r="D170" s="145">
        <f>[11]SKL!$D$35</f>
        <v>1543</v>
      </c>
      <c r="E170" s="143">
        <f t="shared" si="46"/>
        <v>0</v>
      </c>
      <c r="F170" s="144">
        <f>[12]SKL!$R$35</f>
        <v>1497</v>
      </c>
      <c r="G170" s="145">
        <f>[12]SKL!$D$35</f>
        <v>1497</v>
      </c>
      <c r="H170" s="143">
        <f t="shared" si="47"/>
        <v>0</v>
      </c>
      <c r="I170" s="144">
        <f>[13]SKL!$R$35</f>
        <v>1563</v>
      </c>
      <c r="J170" s="145">
        <f>[13]SKL!$D$35</f>
        <v>1563</v>
      </c>
      <c r="K170" s="143">
        <f t="shared" si="48"/>
        <v>0</v>
      </c>
      <c r="L170" s="144">
        <f>[14]SKL!$R$35</f>
        <v>1580</v>
      </c>
      <c r="M170" s="145">
        <f>[14]SKL!$D$35</f>
        <v>1580</v>
      </c>
      <c r="N170" s="143">
        <f t="shared" si="49"/>
        <v>0</v>
      </c>
      <c r="O170" s="144">
        <f>[15]SKL!$R$35</f>
        <v>1670</v>
      </c>
      <c r="P170" s="145">
        <f>[15]SKL!$D$35</f>
        <v>1670</v>
      </c>
    </row>
    <row r="171" spans="1:16" s="281" customFormat="1">
      <c r="A171" s="146" t="s">
        <v>83</v>
      </c>
      <c r="B171" s="143">
        <f t="shared" si="45"/>
        <v>0</v>
      </c>
      <c r="C171" s="144">
        <f>[16]SKL!$R$35</f>
        <v>476</v>
      </c>
      <c r="D171" s="145">
        <f>[16]SKL!$D$35</f>
        <v>476</v>
      </c>
      <c r="E171" s="143">
        <f t="shared" si="46"/>
        <v>0</v>
      </c>
      <c r="F171" s="144">
        <f>[17]SKL!$R$35</f>
        <v>448</v>
      </c>
      <c r="G171" s="145">
        <f>[17]SKL!$D$35</f>
        <v>448</v>
      </c>
      <c r="H171" s="143">
        <f t="shared" si="47"/>
        <v>0</v>
      </c>
      <c r="I171" s="144">
        <f>[18]SKL!$R$35</f>
        <v>451</v>
      </c>
      <c r="J171" s="145">
        <f>[18]SKL!$D$35</f>
        <v>451</v>
      </c>
      <c r="K171" s="143">
        <f t="shared" si="48"/>
        <v>0</v>
      </c>
      <c r="L171" s="144">
        <f>[19]SKL!$R$35</f>
        <v>503</v>
      </c>
      <c r="M171" s="145">
        <f>[19]SKL!$D$35</f>
        <v>503</v>
      </c>
      <c r="N171" s="143">
        <f t="shared" si="49"/>
        <v>0</v>
      </c>
      <c r="O171" s="144">
        <f>[20]SKL!$R$35</f>
        <v>504</v>
      </c>
      <c r="P171" s="145">
        <f>[20]SKL!$D$35</f>
        <v>504</v>
      </c>
    </row>
    <row r="172" spans="1:16" s="281" customFormat="1">
      <c r="A172" s="146" t="s">
        <v>84</v>
      </c>
      <c r="B172" s="143">
        <f t="shared" si="45"/>
        <v>0</v>
      </c>
      <c r="C172" s="144">
        <f>[21]SKL!$R$35</f>
        <v>316</v>
      </c>
      <c r="D172" s="145">
        <f>[21]SKL!$D$35</f>
        <v>316</v>
      </c>
      <c r="E172" s="143">
        <f t="shared" si="46"/>
        <v>0</v>
      </c>
      <c r="F172" s="144">
        <f>[22]SKL!$R$35</f>
        <v>314</v>
      </c>
      <c r="G172" s="145">
        <f>[22]SKL!$D$35</f>
        <v>314</v>
      </c>
      <c r="H172" s="143">
        <f t="shared" si="47"/>
        <v>0</v>
      </c>
      <c r="I172" s="144">
        <f>[23]SKL!$R$35</f>
        <v>321</v>
      </c>
      <c r="J172" s="145">
        <f>[23]SKL!$D$35</f>
        <v>321</v>
      </c>
      <c r="K172" s="143">
        <f t="shared" si="48"/>
        <v>0</v>
      </c>
      <c r="L172" s="144">
        <f>[24]SKL!$R$35</f>
        <v>319</v>
      </c>
      <c r="M172" s="145">
        <f>[24]SKL!$D$35</f>
        <v>319</v>
      </c>
      <c r="N172" s="143">
        <f t="shared" si="49"/>
        <v>0</v>
      </c>
      <c r="O172" s="144">
        <f>[25]SKL!$R$35</f>
        <v>328</v>
      </c>
      <c r="P172" s="145">
        <f>[25]SKL!$D$35</f>
        <v>328</v>
      </c>
    </row>
    <row r="173" spans="1:16" s="281" customFormat="1">
      <c r="A173" s="146" t="s">
        <v>85</v>
      </c>
      <c r="B173" s="143">
        <f t="shared" si="45"/>
        <v>0</v>
      </c>
      <c r="C173" s="144">
        <f>[26]SKL!$R$35</f>
        <v>952</v>
      </c>
      <c r="D173" s="145">
        <f>[26]SKL!$D$35</f>
        <v>952</v>
      </c>
      <c r="E173" s="143">
        <f t="shared" si="46"/>
        <v>0</v>
      </c>
      <c r="F173" s="144">
        <f>[27]SKL!$R$35</f>
        <v>958</v>
      </c>
      <c r="G173" s="145">
        <f>[27]SKL!$D$35</f>
        <v>958</v>
      </c>
      <c r="H173" s="143">
        <f t="shared" si="47"/>
        <v>0</v>
      </c>
      <c r="I173" s="144">
        <f>[28]SKL!$R$35</f>
        <v>965</v>
      </c>
      <c r="J173" s="145">
        <f>[28]SKL!$D$35</f>
        <v>965</v>
      </c>
      <c r="K173" s="143">
        <f t="shared" si="48"/>
        <v>0</v>
      </c>
      <c r="L173" s="144">
        <f>[29]SKL!$R$35</f>
        <v>1088</v>
      </c>
      <c r="M173" s="145">
        <f>[29]SKL!$D$35</f>
        <v>1088</v>
      </c>
      <c r="N173" s="143">
        <f t="shared" si="49"/>
        <v>0</v>
      </c>
      <c r="O173" s="144">
        <f>[30]SKL!$R$35</f>
        <v>1087</v>
      </c>
      <c r="P173" s="145">
        <f>[30]SKL!$D$35</f>
        <v>1087</v>
      </c>
    </row>
    <row r="174" spans="1:16" s="281" customFormat="1">
      <c r="A174" s="146" t="s">
        <v>86</v>
      </c>
      <c r="B174" s="143">
        <f t="shared" si="45"/>
        <v>0</v>
      </c>
      <c r="C174" s="144">
        <f>[66]SKL!$R$35</f>
        <v>1518</v>
      </c>
      <c r="D174" s="145">
        <f>[66]SKL!$D$35</f>
        <v>1518</v>
      </c>
      <c r="E174" s="143">
        <f t="shared" si="46"/>
        <v>0</v>
      </c>
      <c r="F174" s="144">
        <f>[67]SKL!$R$35</f>
        <v>1488</v>
      </c>
      <c r="G174" s="145">
        <f>[67]SKL!$D$35</f>
        <v>1488</v>
      </c>
      <c r="H174" s="143">
        <f t="shared" si="47"/>
        <v>0</v>
      </c>
      <c r="I174" s="144">
        <f>[68]SKL!$R$35</f>
        <v>1487</v>
      </c>
      <c r="J174" s="145">
        <f>[68]SKL!$D$35</f>
        <v>1487</v>
      </c>
      <c r="K174" s="143">
        <f t="shared" si="48"/>
        <v>0</v>
      </c>
      <c r="L174" s="144">
        <f>[69]SKL!$R$35</f>
        <v>1468</v>
      </c>
      <c r="M174" s="145">
        <f>[69]SKL!$D$35</f>
        <v>1468</v>
      </c>
      <c r="N174" s="143">
        <f t="shared" si="49"/>
        <v>0</v>
      </c>
      <c r="O174" s="144">
        <f>[70]SKL!$R$35</f>
        <v>1457</v>
      </c>
      <c r="P174" s="145">
        <f>[70]SKL!$D$35</f>
        <v>1457</v>
      </c>
    </row>
    <row r="175" spans="1:16" s="281" customFormat="1">
      <c r="A175" s="146" t="s">
        <v>87</v>
      </c>
      <c r="B175" s="143">
        <f t="shared" si="45"/>
        <v>0</v>
      </c>
      <c r="C175" s="144">
        <f>[31]SKL!$R$35</f>
        <v>280</v>
      </c>
      <c r="D175" s="145">
        <f>[31]SKL!$D$35</f>
        <v>280</v>
      </c>
      <c r="E175" s="143">
        <f t="shared" si="46"/>
        <v>0</v>
      </c>
      <c r="F175" s="144">
        <f>[32]SKL!$R$35</f>
        <v>285</v>
      </c>
      <c r="G175" s="145">
        <f>[32]SKL!$D$35</f>
        <v>285</v>
      </c>
      <c r="H175" s="143">
        <f t="shared" si="47"/>
        <v>0</v>
      </c>
      <c r="I175" s="144">
        <f>[33]SKL!$R$35</f>
        <v>273</v>
      </c>
      <c r="J175" s="145">
        <f>[33]SKL!$D$35</f>
        <v>273</v>
      </c>
      <c r="K175" s="143">
        <f t="shared" si="48"/>
        <v>0</v>
      </c>
      <c r="L175" s="144">
        <f>[34]SKL!$R$35</f>
        <v>305</v>
      </c>
      <c r="M175" s="145">
        <f>[34]SKL!$D$35</f>
        <v>305</v>
      </c>
      <c r="N175" s="143">
        <f t="shared" si="49"/>
        <v>0</v>
      </c>
      <c r="O175" s="144">
        <f>[35]SKL!$R$35</f>
        <v>325</v>
      </c>
      <c r="P175" s="145">
        <f>[35]SKL!$D$35</f>
        <v>325</v>
      </c>
    </row>
    <row r="176" spans="1:16" s="281" customFormat="1">
      <c r="A176" s="146" t="s">
        <v>88</v>
      </c>
      <c r="B176" s="143">
        <f t="shared" si="45"/>
        <v>0</v>
      </c>
      <c r="C176" s="144">
        <f>[71]SKL!$R$35</f>
        <v>2173</v>
      </c>
      <c r="D176" s="145">
        <f>[71]SKL!$D$35</f>
        <v>2173</v>
      </c>
      <c r="E176" s="143">
        <f t="shared" si="46"/>
        <v>0</v>
      </c>
      <c r="F176" s="144">
        <f>[72]SKL!$R$35</f>
        <v>2217</v>
      </c>
      <c r="G176" s="145">
        <f>[72]SKL!$D$35</f>
        <v>2217</v>
      </c>
      <c r="H176" s="143">
        <f t="shared" si="47"/>
        <v>0</v>
      </c>
      <c r="I176" s="144">
        <f>[73]SKL!$R$35</f>
        <v>2172</v>
      </c>
      <c r="J176" s="145">
        <f>[73]SKL!$D$35</f>
        <v>2172</v>
      </c>
      <c r="K176" s="143">
        <f t="shared" si="48"/>
        <v>0</v>
      </c>
      <c r="L176" s="144">
        <f>[74]SKL!$R$35</f>
        <v>2194</v>
      </c>
      <c r="M176" s="145">
        <f>[74]SKL!$D$35</f>
        <v>2194</v>
      </c>
      <c r="N176" s="143">
        <f t="shared" si="49"/>
        <v>0</v>
      </c>
      <c r="O176" s="144">
        <f>[75]SKL!$R$35</f>
        <v>2225</v>
      </c>
      <c r="P176" s="145">
        <f>[75]SKL!$D$35</f>
        <v>2225</v>
      </c>
    </row>
    <row r="177" spans="1:16" s="281" customFormat="1">
      <c r="A177" s="146" t="s">
        <v>89</v>
      </c>
      <c r="B177" s="143">
        <f t="shared" si="45"/>
        <v>0</v>
      </c>
      <c r="C177" s="144">
        <f>[36]SKL!$R$35</f>
        <v>4872</v>
      </c>
      <c r="D177" s="145">
        <f>[36]SKL!$D$35</f>
        <v>4872</v>
      </c>
      <c r="E177" s="143">
        <f t="shared" si="46"/>
        <v>0</v>
      </c>
      <c r="F177" s="144">
        <f>[37]SKL!$R$35</f>
        <v>4813</v>
      </c>
      <c r="G177" s="145">
        <f>[37]SKL!$D$35</f>
        <v>4813</v>
      </c>
      <c r="H177" s="143">
        <f t="shared" si="47"/>
        <v>0</v>
      </c>
      <c r="I177" s="144">
        <f>[38]SKL!$R$35</f>
        <v>4844</v>
      </c>
      <c r="J177" s="145">
        <f>[38]SKL!$D$35</f>
        <v>4844</v>
      </c>
      <c r="K177" s="143">
        <f t="shared" si="48"/>
        <v>0</v>
      </c>
      <c r="L177" s="144">
        <f>[39]SKL!$R$35</f>
        <v>4918</v>
      </c>
      <c r="M177" s="145">
        <f>[39]SKL!$D$35</f>
        <v>4918</v>
      </c>
      <c r="N177" s="143">
        <f t="shared" si="49"/>
        <v>0</v>
      </c>
      <c r="O177" s="144">
        <f>[40]SKL!$R$35</f>
        <v>5033</v>
      </c>
      <c r="P177" s="145">
        <f>[40]SKL!$D$35</f>
        <v>5033</v>
      </c>
    </row>
    <row r="178" spans="1:16" s="281" customFormat="1">
      <c r="A178" s="146" t="s">
        <v>90</v>
      </c>
      <c r="B178" s="143">
        <f t="shared" si="45"/>
        <v>0</v>
      </c>
      <c r="C178" s="144">
        <f>[41]SKL!$R$35</f>
        <v>768</v>
      </c>
      <c r="D178" s="145">
        <f>[41]SKL!$D$35</f>
        <v>768</v>
      </c>
      <c r="E178" s="143">
        <f t="shared" si="46"/>
        <v>0</v>
      </c>
      <c r="F178" s="144">
        <f>[42]SKL!$R$35</f>
        <v>779</v>
      </c>
      <c r="G178" s="145">
        <f>[42]SKL!$D$35</f>
        <v>779</v>
      </c>
      <c r="H178" s="143">
        <f t="shared" si="47"/>
        <v>0</v>
      </c>
      <c r="I178" s="144">
        <f>[43]SKL!$R$35</f>
        <v>771</v>
      </c>
      <c r="J178" s="145">
        <f>[43]SKL!$D$35</f>
        <v>771</v>
      </c>
      <c r="K178" s="143">
        <f t="shared" si="48"/>
        <v>0</v>
      </c>
      <c r="L178" s="144">
        <f>[44]SKL!$R$35</f>
        <v>762</v>
      </c>
      <c r="M178" s="145">
        <f>[44]SKL!$D$35</f>
        <v>762</v>
      </c>
      <c r="N178" s="143">
        <f t="shared" si="49"/>
        <v>0</v>
      </c>
      <c r="O178" s="144">
        <f>[45]SKL!$R$35</f>
        <v>806</v>
      </c>
      <c r="P178" s="145">
        <f>[45]SKL!$D$35</f>
        <v>806</v>
      </c>
    </row>
    <row r="179" spans="1:16" s="281" customFormat="1">
      <c r="A179" s="146" t="s">
        <v>91</v>
      </c>
      <c r="B179" s="143">
        <f t="shared" si="45"/>
        <v>0</v>
      </c>
      <c r="C179" s="144">
        <f>[46]SKL!$R$35</f>
        <v>387</v>
      </c>
      <c r="D179" s="145">
        <f>[46]SKL!$D$35</f>
        <v>387</v>
      </c>
      <c r="E179" s="143">
        <f t="shared" si="46"/>
        <v>0</v>
      </c>
      <c r="F179" s="144">
        <f>[47]SKL!$R$35</f>
        <v>386</v>
      </c>
      <c r="G179" s="145">
        <f>[47]SKL!$D$35</f>
        <v>386</v>
      </c>
      <c r="H179" s="143">
        <f t="shared" si="47"/>
        <v>0</v>
      </c>
      <c r="I179" s="144">
        <f>[48]SKL!$R$35</f>
        <v>383</v>
      </c>
      <c r="J179" s="145">
        <f>[48]SKL!$D$35</f>
        <v>383</v>
      </c>
      <c r="K179" s="143">
        <f t="shared" si="48"/>
        <v>0</v>
      </c>
      <c r="L179" s="144">
        <f>[49]SKL!$R$35</f>
        <v>396</v>
      </c>
      <c r="M179" s="145">
        <f>[49]SKL!$D$35</f>
        <v>396</v>
      </c>
      <c r="N179" s="143">
        <f t="shared" si="49"/>
        <v>0</v>
      </c>
      <c r="O179" s="144">
        <f>[50]SKL!$R$35</f>
        <v>373</v>
      </c>
      <c r="P179" s="145">
        <f>[50]SKL!$D$35</f>
        <v>373</v>
      </c>
    </row>
    <row r="180" spans="1:16" s="281" customFormat="1">
      <c r="A180" s="146" t="s">
        <v>92</v>
      </c>
      <c r="B180" s="143">
        <f t="shared" si="45"/>
        <v>0</v>
      </c>
      <c r="C180" s="144">
        <f>[51]SKL!$R$35</f>
        <v>535</v>
      </c>
      <c r="D180" s="145">
        <f>[51]SKL!$D$35</f>
        <v>535</v>
      </c>
      <c r="E180" s="143">
        <f t="shared" si="46"/>
        <v>0</v>
      </c>
      <c r="F180" s="144">
        <f>[52]SKL!$R$35</f>
        <v>585</v>
      </c>
      <c r="G180" s="145">
        <f>[52]SKL!$D$35</f>
        <v>585</v>
      </c>
      <c r="H180" s="143">
        <f t="shared" si="47"/>
        <v>0</v>
      </c>
      <c r="I180" s="144">
        <f>[53]SKL!$R$35</f>
        <v>651</v>
      </c>
      <c r="J180" s="145">
        <f>[53]SKL!$D$35</f>
        <v>651</v>
      </c>
      <c r="K180" s="143">
        <f t="shared" si="48"/>
        <v>0</v>
      </c>
      <c r="L180" s="144">
        <f>[54]SKL!$R$35</f>
        <v>708</v>
      </c>
      <c r="M180" s="145">
        <f>[54]SKL!$D$35</f>
        <v>708</v>
      </c>
      <c r="N180" s="143">
        <f t="shared" si="49"/>
        <v>0</v>
      </c>
      <c r="O180" s="144">
        <f>[55]SKL!$R$35</f>
        <v>775</v>
      </c>
      <c r="P180" s="145">
        <f>[55]SKL!$D$35</f>
        <v>775</v>
      </c>
    </row>
    <row r="181" spans="1:16" s="281" customFormat="1">
      <c r="A181" s="146" t="s">
        <v>93</v>
      </c>
      <c r="B181" s="143">
        <f t="shared" si="45"/>
        <v>0</v>
      </c>
      <c r="C181" s="144">
        <f>[76]SKL!$R$35</f>
        <v>240</v>
      </c>
      <c r="D181" s="145">
        <f>[76]SKL!$D$35</f>
        <v>240</v>
      </c>
      <c r="E181" s="143">
        <f t="shared" si="46"/>
        <v>0</v>
      </c>
      <c r="F181" s="144">
        <f>[77]SKL!$R$35</f>
        <v>258</v>
      </c>
      <c r="G181" s="145">
        <f>[77]SKL!$D$35</f>
        <v>258</v>
      </c>
      <c r="H181" s="143">
        <f t="shared" si="47"/>
        <v>0</v>
      </c>
      <c r="I181" s="144">
        <f>[78]SKL!$R$35</f>
        <v>268</v>
      </c>
      <c r="J181" s="145">
        <f>[78]SKL!$D$35</f>
        <v>268</v>
      </c>
      <c r="K181" s="143">
        <f t="shared" si="48"/>
        <v>0</v>
      </c>
      <c r="L181" s="144">
        <f>[79]SKL!$R$35</f>
        <v>298</v>
      </c>
      <c r="M181" s="145">
        <f>[79]SKL!$D$35</f>
        <v>298</v>
      </c>
      <c r="N181" s="143">
        <f t="shared" si="49"/>
        <v>0</v>
      </c>
      <c r="O181" s="144">
        <f>[80]SKL!$R$35</f>
        <v>324</v>
      </c>
      <c r="P181" s="145">
        <f>[80]SKL!$D$35</f>
        <v>324</v>
      </c>
    </row>
    <row r="182" spans="1:16" s="281" customFormat="1">
      <c r="A182" s="146" t="s">
        <v>94</v>
      </c>
      <c r="B182" s="143">
        <f t="shared" si="45"/>
        <v>0</v>
      </c>
      <c r="C182" s="144">
        <f>[56]SKL!$R$35</f>
        <v>1492</v>
      </c>
      <c r="D182" s="145">
        <f>[56]SKL!$D$35</f>
        <v>1492</v>
      </c>
      <c r="E182" s="143">
        <f t="shared" si="46"/>
        <v>0</v>
      </c>
      <c r="F182" s="144">
        <f>[57]SKL!$R$35</f>
        <v>1451</v>
      </c>
      <c r="G182" s="145">
        <f>[57]SKL!$D$35</f>
        <v>1451</v>
      </c>
      <c r="H182" s="143">
        <f t="shared" si="47"/>
        <v>0</v>
      </c>
      <c r="I182" s="144">
        <f>[58]SKL!$R$35</f>
        <v>1478</v>
      </c>
      <c r="J182" s="145">
        <f>[58]SKL!$D$35</f>
        <v>1478</v>
      </c>
      <c r="K182" s="143">
        <f t="shared" si="48"/>
        <v>0</v>
      </c>
      <c r="L182" s="144">
        <f>[59]SKL!$R$35</f>
        <v>1477</v>
      </c>
      <c r="M182" s="145">
        <f>[59]SKL!$D$35</f>
        <v>1477</v>
      </c>
      <c r="N182" s="143">
        <f t="shared" si="49"/>
        <v>0</v>
      </c>
      <c r="O182" s="144">
        <f>[60]SKL!$R$35</f>
        <v>1571</v>
      </c>
      <c r="P182" s="145">
        <f>[60]SKL!$D$35</f>
        <v>1571</v>
      </c>
    </row>
    <row r="183" spans="1:16" s="281" customFormat="1">
      <c r="A183" s="146" t="s">
        <v>95</v>
      </c>
      <c r="B183" s="143">
        <f t="shared" si="45"/>
        <v>0</v>
      </c>
      <c r="C183" s="144">
        <f>[61]SKL!$R$35</f>
        <v>442</v>
      </c>
      <c r="D183" s="145">
        <f>[61]SKL!$D$35</f>
        <v>442</v>
      </c>
      <c r="E183" s="143">
        <f t="shared" si="46"/>
        <v>0</v>
      </c>
      <c r="F183" s="144">
        <f>[62]SKL!$R$35</f>
        <v>431</v>
      </c>
      <c r="G183" s="145">
        <f>[62]SKL!$D$35</f>
        <v>431</v>
      </c>
      <c r="H183" s="143">
        <f t="shared" si="47"/>
        <v>0</v>
      </c>
      <c r="I183" s="144">
        <f>[63]SKL!$R$35</f>
        <v>471</v>
      </c>
      <c r="J183" s="145">
        <f>[63]SKL!$D$35</f>
        <v>471</v>
      </c>
      <c r="K183" s="143">
        <f t="shared" si="48"/>
        <v>0</v>
      </c>
      <c r="L183" s="144">
        <f>[64]SKL!$R$35</f>
        <v>483</v>
      </c>
      <c r="M183" s="145">
        <f>[64]SKL!$D$35</f>
        <v>483</v>
      </c>
      <c r="N183" s="143">
        <f t="shared" si="49"/>
        <v>0</v>
      </c>
      <c r="O183" s="144">
        <f>[65]SKL!$R$35</f>
        <v>513</v>
      </c>
      <c r="P183" s="145">
        <f>[65]SKL!$D$35</f>
        <v>513</v>
      </c>
    </row>
    <row r="184" spans="1:16" s="281" customFormat="1">
      <c r="A184" s="146" t="s">
        <v>96</v>
      </c>
      <c r="B184" s="132">
        <f>SUM(B168:B183)</f>
        <v>0</v>
      </c>
      <c r="C184" s="141">
        <f>SUM(C168:C183)-C176-C174-C181</f>
        <v>21646</v>
      </c>
      <c r="D184" s="137">
        <f>SUM(B184:C184)</f>
        <v>21646</v>
      </c>
      <c r="E184" s="132">
        <f>SUM(E168:E183)</f>
        <v>0</v>
      </c>
      <c r="F184" s="141">
        <f>SUM(F168:F183)-F176-F174-F181</f>
        <v>21432</v>
      </c>
      <c r="G184" s="137">
        <f>SUM(E184:F184)</f>
        <v>21432</v>
      </c>
      <c r="H184" s="132">
        <f>SUM(H168:H183)</f>
        <v>0</v>
      </c>
      <c r="I184" s="141">
        <f>SUM(I168:I183)-I176-I174-I181</f>
        <v>21693</v>
      </c>
      <c r="J184" s="137">
        <f>SUM(H184:I184)</f>
        <v>21693</v>
      </c>
      <c r="K184" s="132">
        <f>SUM(K168:K183)</f>
        <v>0</v>
      </c>
      <c r="L184" s="141">
        <f>SUM(L168:L183)-L176-L174-L181</f>
        <v>22153</v>
      </c>
      <c r="M184" s="137">
        <f>SUM(K184:L184)</f>
        <v>22153</v>
      </c>
      <c r="N184" s="132">
        <f>SUM(N168:N183)</f>
        <v>0</v>
      </c>
      <c r="O184" s="141">
        <f>SUM(O168:O183)-O176-O174-O181</f>
        <v>22961</v>
      </c>
      <c r="P184" s="137">
        <f>SUM(N184:O184)</f>
        <v>22961</v>
      </c>
    </row>
    <row r="185" spans="1:16">
      <c r="A185" s="429" t="s">
        <v>150</v>
      </c>
      <c r="B185" s="430"/>
      <c r="C185" s="430"/>
      <c r="D185" s="430"/>
      <c r="E185" s="430"/>
      <c r="F185" s="430"/>
      <c r="G185" s="430"/>
      <c r="H185" s="430"/>
      <c r="I185" s="430"/>
      <c r="J185" s="430"/>
      <c r="K185" s="430"/>
      <c r="L185" s="430"/>
      <c r="M185" s="430"/>
      <c r="N185" s="430"/>
      <c r="O185" s="430"/>
      <c r="P185" s="430"/>
    </row>
    <row r="186" spans="1:16">
      <c r="A186" s="146" t="s">
        <v>80</v>
      </c>
      <c r="B186" s="143">
        <v>36856</v>
      </c>
      <c r="C186" s="144">
        <v>15269</v>
      </c>
      <c r="D186" s="145">
        <v>52125</v>
      </c>
      <c r="E186" s="143">
        <f t="shared" ref="E186" si="50">G186-F186</f>
        <v>36610</v>
      </c>
      <c r="F186" s="144">
        <f>[2]SKL!$R$40</f>
        <v>15566</v>
      </c>
      <c r="G186" s="145">
        <f>[2]SKL!$D$40</f>
        <v>52176</v>
      </c>
      <c r="H186" s="143">
        <f t="shared" ref="H186" si="51">J186-I186</f>
        <v>36744</v>
      </c>
      <c r="I186" s="144">
        <f>[3]SKL!$R$40</f>
        <v>15748</v>
      </c>
      <c r="J186" s="145">
        <f>[3]SKL!$D$40</f>
        <v>52492</v>
      </c>
      <c r="K186" s="143">
        <f t="shared" ref="K186:K201" si="52">M186-L186</f>
        <v>33293</v>
      </c>
      <c r="L186" s="144">
        <f>[4]SKL!$R$40</f>
        <v>15882</v>
      </c>
      <c r="M186" s="145">
        <f>[4]SKL!$D$40</f>
        <v>49175</v>
      </c>
      <c r="N186" s="143">
        <f t="shared" ref="N186:N201" si="53">P186-O186</f>
        <v>34352</v>
      </c>
      <c r="O186" s="144">
        <f>[5]SKL!$R$40</f>
        <v>14987</v>
      </c>
      <c r="P186" s="145">
        <f>[5]SKL!$D$40</f>
        <v>49339</v>
      </c>
    </row>
    <row r="187" spans="1:16">
      <c r="A187" s="146" t="s">
        <v>81</v>
      </c>
      <c r="B187" s="143">
        <f t="shared" ref="B187:B201" si="54">D187-C187</f>
        <v>29603</v>
      </c>
      <c r="C187" s="144">
        <f>[6]SKL!$R$40</f>
        <v>25639</v>
      </c>
      <c r="D187" s="145">
        <f>[6]SKL!$D$40</f>
        <v>55242</v>
      </c>
      <c r="E187" s="143">
        <f t="shared" ref="E187:E201" si="55">G187-F187</f>
        <v>29179</v>
      </c>
      <c r="F187" s="144">
        <f>[7]SKL!$R$40</f>
        <v>25194</v>
      </c>
      <c r="G187" s="145">
        <f>[7]SKL!$D$40</f>
        <v>54373</v>
      </c>
      <c r="H187" s="143">
        <f t="shared" ref="H187:H201" si="56">J187-I187</f>
        <v>29194</v>
      </c>
      <c r="I187" s="144">
        <f>[8]SKL!$R$40</f>
        <v>25041</v>
      </c>
      <c r="J187" s="145">
        <f>[8]SKL!$D$40</f>
        <v>54235</v>
      </c>
      <c r="K187" s="143">
        <f t="shared" si="52"/>
        <v>29025</v>
      </c>
      <c r="L187" s="144">
        <f>[9]SKL!$R$40</f>
        <v>25054</v>
      </c>
      <c r="M187" s="145">
        <f>[9]SKL!$D$40</f>
        <v>54079</v>
      </c>
      <c r="N187" s="143">
        <f t="shared" si="53"/>
        <v>30245</v>
      </c>
      <c r="O187" s="144">
        <f>[10]SKL!$R$40</f>
        <v>24234</v>
      </c>
      <c r="P187" s="145">
        <f>[10]SKL!$D$40</f>
        <v>54479</v>
      </c>
    </row>
    <row r="188" spans="1:16">
      <c r="A188" s="146" t="s">
        <v>82</v>
      </c>
      <c r="B188" s="143">
        <f t="shared" si="54"/>
        <v>9498</v>
      </c>
      <c r="C188" s="144">
        <f>[11]SKL!$R$40</f>
        <v>767</v>
      </c>
      <c r="D188" s="145">
        <f>[11]SKL!$D$40</f>
        <v>10265</v>
      </c>
      <c r="E188" s="143">
        <f t="shared" si="55"/>
        <v>8725</v>
      </c>
      <c r="F188" s="144">
        <f>[12]SKL!$R$40</f>
        <v>710</v>
      </c>
      <c r="G188" s="145">
        <f>[12]SKL!$D$40</f>
        <v>9435</v>
      </c>
      <c r="H188" s="143">
        <f t="shared" si="56"/>
        <v>8268</v>
      </c>
      <c r="I188" s="144">
        <f>[13]SKL!$R$40</f>
        <v>725</v>
      </c>
      <c r="J188" s="145">
        <f>[13]SKL!$D$40</f>
        <v>8993</v>
      </c>
      <c r="K188" s="143">
        <f t="shared" si="52"/>
        <v>7791</v>
      </c>
      <c r="L188" s="144">
        <f>[14]SKL!$R$40</f>
        <v>716</v>
      </c>
      <c r="M188" s="145">
        <f>[14]SKL!$D$40</f>
        <v>8507</v>
      </c>
      <c r="N188" s="143">
        <f t="shared" si="53"/>
        <v>7662</v>
      </c>
      <c r="O188" s="144">
        <f>[15]SKL!$R$40</f>
        <v>537</v>
      </c>
      <c r="P188" s="145">
        <f>[15]SKL!$D$40</f>
        <v>8199</v>
      </c>
    </row>
    <row r="189" spans="1:16">
      <c r="A189" s="146" t="s">
        <v>83</v>
      </c>
      <c r="B189" s="143">
        <f t="shared" si="54"/>
        <v>8341</v>
      </c>
      <c r="C189" s="144">
        <f>[16]SKL!$R$40</f>
        <v>1046</v>
      </c>
      <c r="D189" s="145">
        <f>[16]SKL!$D$40</f>
        <v>9387</v>
      </c>
      <c r="E189" s="143">
        <f t="shared" si="55"/>
        <v>7960</v>
      </c>
      <c r="F189" s="144">
        <f>[17]SKL!$R$40</f>
        <v>1124</v>
      </c>
      <c r="G189" s="145">
        <f>[17]SKL!$D$40</f>
        <v>9084</v>
      </c>
      <c r="H189" s="143">
        <f t="shared" si="56"/>
        <v>7596</v>
      </c>
      <c r="I189" s="144">
        <f>[18]SKL!$R$40</f>
        <v>1171</v>
      </c>
      <c r="J189" s="145">
        <f>[18]SKL!$D$40</f>
        <v>8767</v>
      </c>
      <c r="K189" s="143">
        <f t="shared" si="52"/>
        <v>7430</v>
      </c>
      <c r="L189" s="144">
        <f>[19]SKL!$R$40</f>
        <v>1164</v>
      </c>
      <c r="M189" s="145">
        <f>[19]SKL!$D$40</f>
        <v>8594</v>
      </c>
      <c r="N189" s="143">
        <f t="shared" si="53"/>
        <v>7413</v>
      </c>
      <c r="O189" s="144">
        <f>[20]SKL!$R$40</f>
        <v>1174</v>
      </c>
      <c r="P189" s="145">
        <f>[20]SKL!$D$40</f>
        <v>8587</v>
      </c>
    </row>
    <row r="190" spans="1:16">
      <c r="A190" s="146" t="s">
        <v>84</v>
      </c>
      <c r="B190" s="143">
        <f t="shared" si="54"/>
        <v>1102</v>
      </c>
      <c r="C190" s="144">
        <f>[21]SKL!$R$40</f>
        <v>126</v>
      </c>
      <c r="D190" s="145">
        <f>[21]SKL!$D$40</f>
        <v>1228</v>
      </c>
      <c r="E190" s="143">
        <f t="shared" si="55"/>
        <v>874</v>
      </c>
      <c r="F190" s="144">
        <f>[22]SKL!$R$40</f>
        <v>126</v>
      </c>
      <c r="G190" s="145">
        <f>[22]SKL!$D$40</f>
        <v>1000</v>
      </c>
      <c r="H190" s="143">
        <f t="shared" si="56"/>
        <v>665</v>
      </c>
      <c r="I190" s="144">
        <f>[23]SKL!$R$40</f>
        <v>131</v>
      </c>
      <c r="J190" s="145">
        <f>[23]SKL!$D$40</f>
        <v>796</v>
      </c>
      <c r="K190" s="143">
        <f t="shared" si="52"/>
        <v>490</v>
      </c>
      <c r="L190" s="144">
        <f>[24]SKL!$R$40</f>
        <v>121</v>
      </c>
      <c r="M190" s="145">
        <f>[24]SKL!$D$40</f>
        <v>611</v>
      </c>
      <c r="N190" s="143">
        <f t="shared" si="53"/>
        <v>557</v>
      </c>
      <c r="O190" s="144">
        <f>[25]SKL!$R$40</f>
        <v>128</v>
      </c>
      <c r="P190" s="145">
        <f>[25]SKL!$D$40</f>
        <v>685</v>
      </c>
    </row>
    <row r="191" spans="1:16">
      <c r="A191" s="146" t="s">
        <v>85</v>
      </c>
      <c r="B191" s="143">
        <f t="shared" si="54"/>
        <v>4929</v>
      </c>
      <c r="C191" s="144">
        <f>[26]SKL!$R$40</f>
        <v>604</v>
      </c>
      <c r="D191" s="145">
        <f>[26]SKL!$D$40</f>
        <v>5533</v>
      </c>
      <c r="E191" s="143">
        <f t="shared" si="55"/>
        <v>4646</v>
      </c>
      <c r="F191" s="144">
        <f>[27]SKL!$R$40</f>
        <v>584</v>
      </c>
      <c r="G191" s="145">
        <f>[27]SKL!$D$40</f>
        <v>5230</v>
      </c>
      <c r="H191" s="143">
        <f t="shared" si="56"/>
        <v>4353</v>
      </c>
      <c r="I191" s="144">
        <f>[28]SKL!$R$40</f>
        <v>604</v>
      </c>
      <c r="J191" s="145">
        <f>[28]SKL!$D$40</f>
        <v>4957</v>
      </c>
      <c r="K191" s="143">
        <f t="shared" si="52"/>
        <v>4164</v>
      </c>
      <c r="L191" s="144">
        <f>[29]SKL!$R$40</f>
        <v>591</v>
      </c>
      <c r="M191" s="145">
        <f>[29]SKL!$D$40</f>
        <v>4755</v>
      </c>
      <c r="N191" s="143">
        <f t="shared" si="53"/>
        <v>4058</v>
      </c>
      <c r="O191" s="144">
        <f>[30]SKL!$R$40</f>
        <v>591</v>
      </c>
      <c r="P191" s="145">
        <f>[30]SKL!$D$40</f>
        <v>4649</v>
      </c>
    </row>
    <row r="192" spans="1:16">
      <c r="A192" s="146" t="s">
        <v>86</v>
      </c>
      <c r="B192" s="143">
        <f t="shared" si="54"/>
        <v>20681</v>
      </c>
      <c r="C192" s="144">
        <f>[66]SKL!$R$40</f>
        <v>4015</v>
      </c>
      <c r="D192" s="145">
        <f>[66]SKL!$D$40</f>
        <v>24696</v>
      </c>
      <c r="E192" s="143">
        <f t="shared" si="55"/>
        <v>20405</v>
      </c>
      <c r="F192" s="144">
        <f>[67]SKL!$R$40</f>
        <v>4014</v>
      </c>
      <c r="G192" s="145">
        <f>[67]SKL!$D$40</f>
        <v>24419</v>
      </c>
      <c r="H192" s="143">
        <f t="shared" si="56"/>
        <v>19901</v>
      </c>
      <c r="I192" s="144">
        <f>[68]SKL!$R$40</f>
        <v>4114</v>
      </c>
      <c r="J192" s="145">
        <f>[68]SKL!$D$40</f>
        <v>24015</v>
      </c>
      <c r="K192" s="143">
        <f t="shared" si="52"/>
        <v>19236</v>
      </c>
      <c r="L192" s="144">
        <f>[69]SKL!$R$40</f>
        <v>4018</v>
      </c>
      <c r="M192" s="145">
        <f>[69]SKL!$D$40</f>
        <v>23254</v>
      </c>
      <c r="N192" s="143">
        <f t="shared" si="53"/>
        <v>18491</v>
      </c>
      <c r="O192" s="144">
        <f>[70]SKL!$R$40</f>
        <v>3901</v>
      </c>
      <c r="P192" s="145">
        <f>[70]SKL!$D$40</f>
        <v>22392</v>
      </c>
    </row>
    <row r="193" spans="1:16">
      <c r="A193" s="146" t="s">
        <v>87</v>
      </c>
      <c r="B193" s="143">
        <f t="shared" si="54"/>
        <v>7993</v>
      </c>
      <c r="C193" s="144">
        <f>[31]SKL!$R$40</f>
        <v>662</v>
      </c>
      <c r="D193" s="145">
        <f>[31]SKL!$D$40</f>
        <v>8655</v>
      </c>
      <c r="E193" s="143">
        <f t="shared" si="55"/>
        <v>7554</v>
      </c>
      <c r="F193" s="144">
        <f>[32]SKL!$R$40</f>
        <v>693</v>
      </c>
      <c r="G193" s="145">
        <f>[32]SKL!$D$40</f>
        <v>8247</v>
      </c>
      <c r="H193" s="143">
        <f t="shared" si="56"/>
        <v>7767</v>
      </c>
      <c r="I193" s="144">
        <f>[33]SKL!$R$40</f>
        <v>736</v>
      </c>
      <c r="J193" s="145">
        <f>[33]SKL!$D$40</f>
        <v>8503</v>
      </c>
      <c r="K193" s="143">
        <f t="shared" si="52"/>
        <v>7467</v>
      </c>
      <c r="L193" s="144">
        <f>[34]SKL!$R$40</f>
        <v>765</v>
      </c>
      <c r="M193" s="145">
        <f>[34]SKL!$D$40</f>
        <v>8232</v>
      </c>
      <c r="N193" s="143">
        <f t="shared" si="53"/>
        <v>7382</v>
      </c>
      <c r="O193" s="144">
        <f>[35]SKL!$R$40</f>
        <v>789</v>
      </c>
      <c r="P193" s="145">
        <f>[35]SKL!$D$40</f>
        <v>8171</v>
      </c>
    </row>
    <row r="194" spans="1:16">
      <c r="A194" s="146" t="s">
        <v>88</v>
      </c>
      <c r="B194" s="143">
        <f t="shared" si="54"/>
        <v>28227</v>
      </c>
      <c r="C194" s="144">
        <f>[71]SKL!$R$40</f>
        <v>5067</v>
      </c>
      <c r="D194" s="145">
        <f>[71]SKL!$D$40</f>
        <v>33294</v>
      </c>
      <c r="E194" s="143">
        <f t="shared" si="55"/>
        <v>26262</v>
      </c>
      <c r="F194" s="144">
        <f>[72]SKL!$R$40</f>
        <v>5042</v>
      </c>
      <c r="G194" s="145">
        <f>[72]SKL!$D$40</f>
        <v>31304</v>
      </c>
      <c r="H194" s="143">
        <f t="shared" si="56"/>
        <v>24184</v>
      </c>
      <c r="I194" s="144">
        <f>[73]SKL!$R$40</f>
        <v>5073</v>
      </c>
      <c r="J194" s="145">
        <f>[73]SKL!$D$40</f>
        <v>29257</v>
      </c>
      <c r="K194" s="143">
        <f t="shared" si="52"/>
        <v>21923</v>
      </c>
      <c r="L194" s="144">
        <f>[74]SKL!$R$40</f>
        <v>5045</v>
      </c>
      <c r="M194" s="145">
        <f>[74]SKL!$D$40</f>
        <v>26968</v>
      </c>
      <c r="N194" s="143">
        <f t="shared" si="53"/>
        <v>20257</v>
      </c>
      <c r="O194" s="144">
        <f>[75]SKL!$R$40</f>
        <v>5060</v>
      </c>
      <c r="P194" s="145">
        <f>[75]SKL!$D$40</f>
        <v>25317</v>
      </c>
    </row>
    <row r="195" spans="1:16">
      <c r="A195" s="146" t="s">
        <v>89</v>
      </c>
      <c r="B195" s="143">
        <f t="shared" si="54"/>
        <v>80193</v>
      </c>
      <c r="C195" s="144">
        <f>[36]SKL!$R$40</f>
        <v>10018</v>
      </c>
      <c r="D195" s="145">
        <f>[36]SKL!$D$40</f>
        <v>90211</v>
      </c>
      <c r="E195" s="143">
        <f t="shared" si="55"/>
        <v>76073</v>
      </c>
      <c r="F195" s="144">
        <f>[37]SKL!$R$40</f>
        <v>10104</v>
      </c>
      <c r="G195" s="145">
        <f>[37]SKL!$D$40</f>
        <v>86177</v>
      </c>
      <c r="H195" s="143">
        <f t="shared" si="56"/>
        <v>72065</v>
      </c>
      <c r="I195" s="144">
        <f>[38]SKL!$R$40</f>
        <v>10208</v>
      </c>
      <c r="J195" s="145">
        <f>[38]SKL!$D$40</f>
        <v>82273</v>
      </c>
      <c r="K195" s="143">
        <f t="shared" si="52"/>
        <v>68298</v>
      </c>
      <c r="L195" s="144">
        <f>[39]SKL!$R$40</f>
        <v>10121</v>
      </c>
      <c r="M195" s="145">
        <f>[39]SKL!$D$40</f>
        <v>78419</v>
      </c>
      <c r="N195" s="143">
        <f t="shared" si="53"/>
        <v>67167</v>
      </c>
      <c r="O195" s="144">
        <f>[40]SKL!$R$40</f>
        <v>10071</v>
      </c>
      <c r="P195" s="145">
        <f>[40]SKL!$D$40</f>
        <v>77238</v>
      </c>
    </row>
    <row r="196" spans="1:16">
      <c r="A196" s="146" t="s">
        <v>90</v>
      </c>
      <c r="B196" s="143">
        <f t="shared" si="54"/>
        <v>12142</v>
      </c>
      <c r="C196" s="144">
        <f>[41]SKL!$R$40</f>
        <v>2635</v>
      </c>
      <c r="D196" s="145">
        <f>[41]SKL!$D$40</f>
        <v>14777</v>
      </c>
      <c r="E196" s="143">
        <f t="shared" si="55"/>
        <v>11987</v>
      </c>
      <c r="F196" s="144">
        <f>[42]SKL!$R$40</f>
        <v>2639</v>
      </c>
      <c r="G196" s="145">
        <f>[42]SKL!$D$40</f>
        <v>14626</v>
      </c>
      <c r="H196" s="143">
        <f t="shared" si="56"/>
        <v>11919</v>
      </c>
      <c r="I196" s="144">
        <f>[43]SKL!$R$40</f>
        <v>2695</v>
      </c>
      <c r="J196" s="145">
        <f>[43]SKL!$D$40</f>
        <v>14614</v>
      </c>
      <c r="K196" s="143">
        <f t="shared" si="52"/>
        <v>11841</v>
      </c>
      <c r="L196" s="144">
        <f>[44]SKL!$R$40</f>
        <v>2737</v>
      </c>
      <c r="M196" s="145">
        <f>[44]SKL!$D$40</f>
        <v>14578</v>
      </c>
      <c r="N196" s="143">
        <f t="shared" si="53"/>
        <v>11783</v>
      </c>
      <c r="O196" s="144">
        <f>[45]SKL!$R$40</f>
        <v>2764</v>
      </c>
      <c r="P196" s="145">
        <f>[45]SKL!$D$40</f>
        <v>14547</v>
      </c>
    </row>
    <row r="197" spans="1:16">
      <c r="A197" s="146" t="s">
        <v>91</v>
      </c>
      <c r="B197" s="143">
        <f t="shared" si="54"/>
        <v>3364</v>
      </c>
      <c r="C197" s="144">
        <f>[46]SKL!$R$40</f>
        <v>350</v>
      </c>
      <c r="D197" s="145">
        <f>[46]SKL!$D$40</f>
        <v>3714</v>
      </c>
      <c r="E197" s="143">
        <f t="shared" si="55"/>
        <v>3244</v>
      </c>
      <c r="F197" s="144">
        <f>[47]SKL!$R$40</f>
        <v>337</v>
      </c>
      <c r="G197" s="145">
        <f>[47]SKL!$D$40</f>
        <v>3581</v>
      </c>
      <c r="H197" s="143">
        <f t="shared" si="56"/>
        <v>3183</v>
      </c>
      <c r="I197" s="144">
        <f>[48]SKL!$R$40</f>
        <v>342</v>
      </c>
      <c r="J197" s="145">
        <f>[48]SKL!$D$40</f>
        <v>3525</v>
      </c>
      <c r="K197" s="143">
        <f t="shared" si="52"/>
        <v>3172</v>
      </c>
      <c r="L197" s="144">
        <f>[49]SKL!$R$40</f>
        <v>326</v>
      </c>
      <c r="M197" s="145">
        <f>[49]SKL!$D$40</f>
        <v>3498</v>
      </c>
      <c r="N197" s="143">
        <f t="shared" si="53"/>
        <v>3041</v>
      </c>
      <c r="O197" s="144">
        <f>[50]SKL!$R$40</f>
        <v>318</v>
      </c>
      <c r="P197" s="145">
        <f>[50]SKL!$D$40</f>
        <v>3359</v>
      </c>
    </row>
    <row r="198" spans="1:16">
      <c r="A198" s="146" t="s">
        <v>92</v>
      </c>
      <c r="B198" s="143">
        <f t="shared" si="54"/>
        <v>17778</v>
      </c>
      <c r="C198" s="144">
        <f>[51]SKL!$R$40</f>
        <v>1170</v>
      </c>
      <c r="D198" s="145">
        <f>[51]SKL!$D$40</f>
        <v>18948</v>
      </c>
      <c r="E198" s="143">
        <f t="shared" si="55"/>
        <v>17351</v>
      </c>
      <c r="F198" s="144">
        <f>[52]SKL!$R$40</f>
        <v>1200</v>
      </c>
      <c r="G198" s="145">
        <f>[52]SKL!$D$40</f>
        <v>18551</v>
      </c>
      <c r="H198" s="143">
        <f t="shared" si="56"/>
        <v>17443</v>
      </c>
      <c r="I198" s="144">
        <f>[53]SKL!$R$40</f>
        <v>1264</v>
      </c>
      <c r="J198" s="145">
        <f>[53]SKL!$D$40</f>
        <v>18707</v>
      </c>
      <c r="K198" s="143">
        <f t="shared" si="52"/>
        <v>17482</v>
      </c>
      <c r="L198" s="144">
        <f>[54]SKL!$R$40</f>
        <v>1263</v>
      </c>
      <c r="M198" s="145">
        <f>[54]SKL!$D$40</f>
        <v>18745</v>
      </c>
      <c r="N198" s="143">
        <f t="shared" si="53"/>
        <v>17399</v>
      </c>
      <c r="O198" s="144">
        <f>[55]SKL!$R$40</f>
        <v>1279</v>
      </c>
      <c r="P198" s="145">
        <f>[55]SKL!$D$40</f>
        <v>18678</v>
      </c>
    </row>
    <row r="199" spans="1:16">
      <c r="A199" s="146" t="s">
        <v>93</v>
      </c>
      <c r="B199" s="143">
        <f t="shared" si="54"/>
        <v>11268</v>
      </c>
      <c r="C199" s="144">
        <f>[76]SKL!$R$40</f>
        <v>395</v>
      </c>
      <c r="D199" s="145">
        <f>[76]SKL!$D$40</f>
        <v>11663</v>
      </c>
      <c r="E199" s="143">
        <f t="shared" si="55"/>
        <v>10735</v>
      </c>
      <c r="F199" s="144">
        <f>[77]SKL!$R$40</f>
        <v>411</v>
      </c>
      <c r="G199" s="145">
        <f>[77]SKL!$D$40</f>
        <v>11146</v>
      </c>
      <c r="H199" s="143">
        <f t="shared" si="56"/>
        <v>10174</v>
      </c>
      <c r="I199" s="144">
        <f>[78]SKL!$R$40</f>
        <v>445</v>
      </c>
      <c r="J199" s="145">
        <f>[78]SKL!$D$40</f>
        <v>10619</v>
      </c>
      <c r="K199" s="143">
        <f t="shared" si="52"/>
        <v>9893</v>
      </c>
      <c r="L199" s="144">
        <f>[79]SKL!$R$40</f>
        <v>508</v>
      </c>
      <c r="M199" s="145">
        <f>[79]SKL!$D$40</f>
        <v>10401</v>
      </c>
      <c r="N199" s="143">
        <f t="shared" si="53"/>
        <v>9645</v>
      </c>
      <c r="O199" s="144">
        <f>[80]SKL!$R$40</f>
        <v>503</v>
      </c>
      <c r="P199" s="145">
        <f>[80]SKL!$D$40</f>
        <v>10148</v>
      </c>
    </row>
    <row r="200" spans="1:16">
      <c r="A200" s="146" t="s">
        <v>94</v>
      </c>
      <c r="B200" s="143">
        <f t="shared" si="54"/>
        <v>6376</v>
      </c>
      <c r="C200" s="144">
        <f>[56]SKL!$R$40</f>
        <v>605</v>
      </c>
      <c r="D200" s="145">
        <f>[56]SKL!$D$40</f>
        <v>6981</v>
      </c>
      <c r="E200" s="143">
        <f t="shared" si="55"/>
        <v>5807</v>
      </c>
      <c r="F200" s="144">
        <f>[57]SKL!$R$40</f>
        <v>588</v>
      </c>
      <c r="G200" s="145">
        <f>[57]SKL!$D$40</f>
        <v>6395</v>
      </c>
      <c r="H200" s="143">
        <f t="shared" si="56"/>
        <v>5376</v>
      </c>
      <c r="I200" s="144">
        <f>[58]SKL!$R$40</f>
        <v>556</v>
      </c>
      <c r="J200" s="145">
        <f>[58]SKL!$D$40</f>
        <v>5932</v>
      </c>
      <c r="K200" s="143">
        <f t="shared" si="52"/>
        <v>5094</v>
      </c>
      <c r="L200" s="144">
        <f>[59]SKL!$R$40</f>
        <v>546</v>
      </c>
      <c r="M200" s="145">
        <f>[59]SKL!$D$40</f>
        <v>5640</v>
      </c>
      <c r="N200" s="143">
        <f t="shared" si="53"/>
        <v>4951</v>
      </c>
      <c r="O200" s="144">
        <f>[60]SKL!$R$40</f>
        <v>492</v>
      </c>
      <c r="P200" s="145">
        <f>[60]SKL!$D$40</f>
        <v>5443</v>
      </c>
    </row>
    <row r="201" spans="1:16">
      <c r="A201" s="146" t="s">
        <v>95</v>
      </c>
      <c r="B201" s="143">
        <f t="shared" si="54"/>
        <v>5847</v>
      </c>
      <c r="C201" s="144">
        <f>[61]SKL!$R$40</f>
        <v>2223</v>
      </c>
      <c r="D201" s="145">
        <f>[61]SKL!$D$40</f>
        <v>8070</v>
      </c>
      <c r="E201" s="143">
        <f t="shared" si="55"/>
        <v>5371</v>
      </c>
      <c r="F201" s="144">
        <f>[62]SKL!$R$40</f>
        <v>2228</v>
      </c>
      <c r="G201" s="145">
        <f>[62]SKL!$D$40</f>
        <v>7599</v>
      </c>
      <c r="H201" s="143">
        <f t="shared" si="56"/>
        <v>5082</v>
      </c>
      <c r="I201" s="144">
        <f>[63]SKL!$R$40</f>
        <v>2227</v>
      </c>
      <c r="J201" s="145">
        <f>[63]SKL!$D$40</f>
        <v>7309</v>
      </c>
      <c r="K201" s="143">
        <f t="shared" si="52"/>
        <v>4804</v>
      </c>
      <c r="L201" s="144">
        <f>[64]SKL!$R$40</f>
        <v>2258</v>
      </c>
      <c r="M201" s="145">
        <f>[64]SKL!$D$40</f>
        <v>7062</v>
      </c>
      <c r="N201" s="143">
        <f t="shared" si="53"/>
        <v>4533</v>
      </c>
      <c r="O201" s="144">
        <f>[65]SKL!$R$40</f>
        <v>2221</v>
      </c>
      <c r="P201" s="145">
        <f>[65]SKL!$D$40</f>
        <v>6754</v>
      </c>
    </row>
    <row r="202" spans="1:16" ht="13.5" thickBot="1">
      <c r="A202" s="147" t="s">
        <v>96</v>
      </c>
      <c r="B202" s="132">
        <f>SUM(B186:B201)</f>
        <v>284198</v>
      </c>
      <c r="C202" s="141">
        <f>SUM(C186:C201)-C194-C192-C199</f>
        <v>61114</v>
      </c>
      <c r="D202" s="137">
        <f>SUM(B202:C202)</f>
        <v>345312</v>
      </c>
      <c r="E202" s="132">
        <f>SUM(E186:E201)</f>
        <v>272783</v>
      </c>
      <c r="F202" s="141">
        <f>SUM(F186:F201)-F194-F192-F199</f>
        <v>61093</v>
      </c>
      <c r="G202" s="137">
        <f>SUM(E202:F202)</f>
        <v>333876</v>
      </c>
      <c r="H202" s="132">
        <f>SUM(H186:H201)</f>
        <v>263914</v>
      </c>
      <c r="I202" s="141">
        <f>SUM(I186:I201)-I194-I192-I199</f>
        <v>61448</v>
      </c>
      <c r="J202" s="137">
        <f>SUM(H202:I202)</f>
        <v>325362</v>
      </c>
      <c r="K202" s="132">
        <f>SUM(K186:K201)</f>
        <v>251403</v>
      </c>
      <c r="L202" s="141">
        <f>SUM(L186:L201)-L194-L192-L199</f>
        <v>61544</v>
      </c>
      <c r="M202" s="137">
        <f>SUM(K202:L202)</f>
        <v>312947</v>
      </c>
      <c r="N202" s="132">
        <f>SUM(N186:N201)</f>
        <v>248936</v>
      </c>
      <c r="O202" s="141">
        <f>SUM(O186:O201)-O194-O192-O199</f>
        <v>59585</v>
      </c>
      <c r="P202" s="137">
        <f>SUM(N202:O202)</f>
        <v>308521</v>
      </c>
    </row>
    <row r="203" spans="1:16" ht="13.5" thickTop="1">
      <c r="A203" s="429" t="s">
        <v>157</v>
      </c>
      <c r="B203" s="430"/>
      <c r="C203" s="430"/>
      <c r="D203" s="430"/>
      <c r="E203" s="430"/>
      <c r="F203" s="430"/>
      <c r="G203" s="430"/>
      <c r="H203" s="430"/>
      <c r="I203" s="430"/>
      <c r="J203" s="430"/>
      <c r="K203" s="430"/>
      <c r="L203" s="430"/>
      <c r="M203" s="430"/>
      <c r="N203" s="430"/>
      <c r="O203" s="430"/>
      <c r="P203" s="430"/>
    </row>
    <row r="204" spans="1:16">
      <c r="A204" s="146" t="s">
        <v>80</v>
      </c>
      <c r="B204" s="143">
        <f t="shared" ref="B204:D213" si="57">SUM(B6,B24,B42,B60,B78,B96,B114,B150,B186)</f>
        <v>959210</v>
      </c>
      <c r="C204" s="144">
        <f t="shared" si="57"/>
        <v>84828</v>
      </c>
      <c r="D204" s="145">
        <f t="shared" si="57"/>
        <v>1044038</v>
      </c>
      <c r="E204" s="143">
        <f t="shared" ref="E204:G204" si="58">SUM(E6,E24,E42,E60,E78,E96,E114,E150,E186)</f>
        <v>939824</v>
      </c>
      <c r="F204" s="144">
        <f t="shared" si="58"/>
        <v>85366</v>
      </c>
      <c r="G204" s="145">
        <f t="shared" si="58"/>
        <v>1025190</v>
      </c>
      <c r="H204" s="143">
        <f t="shared" ref="H204:J204" si="59">SUM(H6,H24,H42,H60,H78,H96,H114,H150,H186)</f>
        <v>927506</v>
      </c>
      <c r="I204" s="144">
        <f t="shared" si="59"/>
        <v>85561</v>
      </c>
      <c r="J204" s="145">
        <f t="shared" si="59"/>
        <v>1013067</v>
      </c>
      <c r="K204" s="143">
        <f t="shared" ref="K204:M204" si="60">SUM(K6,K24,K42,K60,K78,K96,K114,K150,K186)</f>
        <v>916498</v>
      </c>
      <c r="L204" s="144">
        <f t="shared" si="60"/>
        <v>86280</v>
      </c>
      <c r="M204" s="145">
        <f t="shared" si="60"/>
        <v>1002778</v>
      </c>
      <c r="N204" s="143">
        <f t="shared" ref="N204:P204" si="61">SUM(N6,N24,N42,N60,N78,N96,N114,N150,N186)</f>
        <v>916128</v>
      </c>
      <c r="O204" s="144">
        <f t="shared" si="61"/>
        <v>86129</v>
      </c>
      <c r="P204" s="145">
        <f t="shared" si="61"/>
        <v>1002257</v>
      </c>
    </row>
    <row r="205" spans="1:16">
      <c r="A205" s="146" t="s">
        <v>81</v>
      </c>
      <c r="B205" s="143">
        <f t="shared" si="57"/>
        <v>1051955</v>
      </c>
      <c r="C205" s="144">
        <f t="shared" si="57"/>
        <v>136867</v>
      </c>
      <c r="D205" s="145">
        <f t="shared" si="57"/>
        <v>1188822</v>
      </c>
      <c r="E205" s="143">
        <f t="shared" ref="E205:G205" si="62">SUM(E7,E25,E43,E61,E79,E97,E115,E151,E187)</f>
        <v>1035263</v>
      </c>
      <c r="F205" s="144">
        <f t="shared" si="62"/>
        <v>134476</v>
      </c>
      <c r="G205" s="145">
        <f t="shared" si="62"/>
        <v>1169739</v>
      </c>
      <c r="H205" s="143">
        <f t="shared" ref="H205:J205" si="63">SUM(H7,H25,H43,H61,H79,H97,H115,H151,H187)</f>
        <v>1023445</v>
      </c>
      <c r="I205" s="144">
        <f t="shared" si="63"/>
        <v>131832</v>
      </c>
      <c r="J205" s="145">
        <f t="shared" si="63"/>
        <v>1155277</v>
      </c>
      <c r="K205" s="143">
        <f t="shared" ref="K205:M205" si="64">SUM(K7,K25,K43,K61,K79,K97,K115,K151,K187)</f>
        <v>1016026</v>
      </c>
      <c r="L205" s="144">
        <f t="shared" si="64"/>
        <v>130365</v>
      </c>
      <c r="M205" s="145">
        <f t="shared" si="64"/>
        <v>1146391</v>
      </c>
      <c r="N205" s="143">
        <f t="shared" ref="N205:P205" si="65">SUM(N7,N25,N43,N61,N79,N97,N115,N151,N187)</f>
        <v>1014321</v>
      </c>
      <c r="O205" s="144">
        <f t="shared" si="65"/>
        <v>128183</v>
      </c>
      <c r="P205" s="145">
        <f t="shared" si="65"/>
        <v>1142504</v>
      </c>
    </row>
    <row r="206" spans="1:16">
      <c r="A206" s="146" t="s">
        <v>82</v>
      </c>
      <c r="B206" s="143">
        <f t="shared" si="57"/>
        <v>249462</v>
      </c>
      <c r="C206" s="144">
        <f t="shared" si="57"/>
        <v>26008</v>
      </c>
      <c r="D206" s="145">
        <f t="shared" si="57"/>
        <v>275470</v>
      </c>
      <c r="E206" s="143">
        <f t="shared" ref="E206:G206" si="66">SUM(E8,E26,E44,E62,E80,E98,E116,E152,E188)</f>
        <v>251525</v>
      </c>
      <c r="F206" s="144">
        <f t="shared" si="66"/>
        <v>26986</v>
      </c>
      <c r="G206" s="145">
        <f t="shared" si="66"/>
        <v>278511</v>
      </c>
      <c r="H206" s="143">
        <f t="shared" ref="H206:J206" si="67">SUM(H8,H26,H44,H62,H80,H98,H116,H152,H188)</f>
        <v>253289</v>
      </c>
      <c r="I206" s="144">
        <f t="shared" si="67"/>
        <v>28173</v>
      </c>
      <c r="J206" s="145">
        <f t="shared" si="67"/>
        <v>281462</v>
      </c>
      <c r="K206" s="143">
        <f t="shared" ref="K206:M206" si="68">SUM(K8,K26,K44,K62,K80,K98,K116,K152,K188)</f>
        <v>256612</v>
      </c>
      <c r="L206" s="144">
        <f t="shared" si="68"/>
        <v>28910</v>
      </c>
      <c r="M206" s="145">
        <f t="shared" si="68"/>
        <v>285522</v>
      </c>
      <c r="N206" s="143">
        <f t="shared" ref="N206:P206" si="69">SUM(N8,N26,N44,N62,N80,N98,N116,N152,N188)</f>
        <v>266372</v>
      </c>
      <c r="O206" s="144">
        <f t="shared" si="69"/>
        <v>29717</v>
      </c>
      <c r="P206" s="145">
        <f t="shared" si="69"/>
        <v>296089</v>
      </c>
    </row>
    <row r="207" spans="1:16">
      <c r="A207" s="146" t="s">
        <v>83</v>
      </c>
      <c r="B207" s="143">
        <f t="shared" si="57"/>
        <v>176038</v>
      </c>
      <c r="C207" s="144">
        <f t="shared" si="57"/>
        <v>17303</v>
      </c>
      <c r="D207" s="145">
        <f t="shared" si="57"/>
        <v>193341</v>
      </c>
      <c r="E207" s="143">
        <f t="shared" ref="E207:G207" si="70">SUM(E9,E27,E45,E63,E81,E99,E117,E153,E189)</f>
        <v>176964</v>
      </c>
      <c r="F207" s="144">
        <f t="shared" si="70"/>
        <v>18248</v>
      </c>
      <c r="G207" s="145">
        <f t="shared" si="70"/>
        <v>195212</v>
      </c>
      <c r="H207" s="143">
        <f t="shared" ref="H207:J207" si="71">SUM(H9,H27,H45,H63,H81,H99,H117,H153,H189)</f>
        <v>178123</v>
      </c>
      <c r="I207" s="144">
        <f t="shared" si="71"/>
        <v>18944</v>
      </c>
      <c r="J207" s="145">
        <f t="shared" si="71"/>
        <v>197067</v>
      </c>
      <c r="K207" s="143">
        <f t="shared" ref="K207:M207" si="72">SUM(K9,K27,K45,K63,K81,K99,K117,K153,K189)</f>
        <v>179888</v>
      </c>
      <c r="L207" s="144">
        <f t="shared" si="72"/>
        <v>19578</v>
      </c>
      <c r="M207" s="145">
        <f t="shared" si="72"/>
        <v>199466</v>
      </c>
      <c r="N207" s="143">
        <f t="shared" ref="N207:P207" si="73">SUM(N9,N27,N45,N63,N81,N99,N117,N153,N189)</f>
        <v>184889</v>
      </c>
      <c r="O207" s="144">
        <f t="shared" si="73"/>
        <v>20129</v>
      </c>
      <c r="P207" s="145">
        <f t="shared" si="73"/>
        <v>205018</v>
      </c>
    </row>
    <row r="208" spans="1:16">
      <c r="A208" s="146" t="s">
        <v>84</v>
      </c>
      <c r="B208" s="143">
        <f t="shared" si="57"/>
        <v>48702</v>
      </c>
      <c r="C208" s="144">
        <f t="shared" si="57"/>
        <v>5748</v>
      </c>
      <c r="D208" s="145">
        <f t="shared" si="57"/>
        <v>54450</v>
      </c>
      <c r="E208" s="143">
        <f t="shared" ref="E208:G208" si="74">SUM(E10,E28,E46,E64,E82,E100,E118,E154,E190)</f>
        <v>48039</v>
      </c>
      <c r="F208" s="144">
        <f t="shared" si="74"/>
        <v>5688</v>
      </c>
      <c r="G208" s="145">
        <f t="shared" si="74"/>
        <v>53727</v>
      </c>
      <c r="H208" s="143">
        <f t="shared" ref="H208:J208" si="75">SUM(H10,H28,H46,H64,H82,H100,H118,H154,H190)</f>
        <v>48118</v>
      </c>
      <c r="I208" s="144">
        <f t="shared" si="75"/>
        <v>5616</v>
      </c>
      <c r="J208" s="145">
        <f t="shared" si="75"/>
        <v>53734</v>
      </c>
      <c r="K208" s="143">
        <f t="shared" ref="K208:M208" si="76">SUM(K10,K28,K46,K64,K82,K100,K118,K154,K190)</f>
        <v>48892</v>
      </c>
      <c r="L208" s="144">
        <f t="shared" si="76"/>
        <v>5549</v>
      </c>
      <c r="M208" s="145">
        <f t="shared" si="76"/>
        <v>54441</v>
      </c>
      <c r="N208" s="143">
        <f t="shared" ref="N208:P208" si="77">SUM(N10,N28,N46,N64,N82,N100,N118,N154,N190)</f>
        <v>50670</v>
      </c>
      <c r="O208" s="144">
        <f t="shared" si="77"/>
        <v>5475</v>
      </c>
      <c r="P208" s="145">
        <f t="shared" si="77"/>
        <v>56145</v>
      </c>
    </row>
    <row r="209" spans="1:16">
      <c r="A209" s="146" t="s">
        <v>85</v>
      </c>
      <c r="B209" s="143">
        <f t="shared" si="57"/>
        <v>128895</v>
      </c>
      <c r="C209" s="144">
        <f t="shared" si="57"/>
        <v>16041</v>
      </c>
      <c r="D209" s="145">
        <f t="shared" si="57"/>
        <v>144936</v>
      </c>
      <c r="E209" s="143">
        <f t="shared" ref="E209:G209" si="78">SUM(E11,E29,E47,E65,E83,E101,E119,E155,E191)</f>
        <v>129631</v>
      </c>
      <c r="F209" s="144">
        <f t="shared" si="78"/>
        <v>16198</v>
      </c>
      <c r="G209" s="145">
        <f t="shared" si="78"/>
        <v>145829</v>
      </c>
      <c r="H209" s="143">
        <f t="shared" ref="H209:J209" si="79">SUM(H11,H29,H47,H65,H83,H101,H119,H155,H191)</f>
        <v>130561</v>
      </c>
      <c r="I209" s="144">
        <f t="shared" si="79"/>
        <v>16311</v>
      </c>
      <c r="J209" s="145">
        <f t="shared" si="79"/>
        <v>146872</v>
      </c>
      <c r="K209" s="143">
        <f t="shared" ref="K209:M209" si="80">SUM(K11,K29,K47,K65,K83,K101,K119,K155,K191)</f>
        <v>132161</v>
      </c>
      <c r="L209" s="144">
        <f t="shared" si="80"/>
        <v>16330</v>
      </c>
      <c r="M209" s="145">
        <f t="shared" si="80"/>
        <v>148491</v>
      </c>
      <c r="N209" s="143">
        <f t="shared" ref="N209:P209" si="81">SUM(N11,N29,N47,N65,N83,N101,N119,N155,N191)</f>
        <v>134749</v>
      </c>
      <c r="O209" s="144">
        <f t="shared" si="81"/>
        <v>16515</v>
      </c>
      <c r="P209" s="145">
        <f t="shared" si="81"/>
        <v>151264</v>
      </c>
    </row>
    <row r="210" spans="1:16">
      <c r="A210" s="146" t="s">
        <v>86</v>
      </c>
      <c r="B210" s="143">
        <f t="shared" si="57"/>
        <v>517300</v>
      </c>
      <c r="C210" s="144">
        <f t="shared" si="57"/>
        <v>34550</v>
      </c>
      <c r="D210" s="145">
        <f t="shared" si="57"/>
        <v>551850</v>
      </c>
      <c r="E210" s="143">
        <f t="shared" ref="E210:G210" si="82">SUM(E12,E30,E48,E66,E84,E102,E120,E156,E192)</f>
        <v>510425</v>
      </c>
      <c r="F210" s="144">
        <f t="shared" si="82"/>
        <v>35226</v>
      </c>
      <c r="G210" s="145">
        <f t="shared" si="82"/>
        <v>545651</v>
      </c>
      <c r="H210" s="143">
        <f t="shared" ref="H210:J210" si="83">SUM(H12,H30,H48,H66,H84,H102,H120,H156,H192)</f>
        <v>507472</v>
      </c>
      <c r="I210" s="144">
        <f t="shared" si="83"/>
        <v>35958</v>
      </c>
      <c r="J210" s="145">
        <f t="shared" si="83"/>
        <v>543430</v>
      </c>
      <c r="K210" s="143">
        <f t="shared" ref="K210:M210" si="84">SUM(K12,K30,K48,K66,K84,K102,K120,K156,K192)</f>
        <v>508013</v>
      </c>
      <c r="L210" s="144">
        <f t="shared" si="84"/>
        <v>36494</v>
      </c>
      <c r="M210" s="145">
        <f t="shared" si="84"/>
        <v>544507</v>
      </c>
      <c r="N210" s="143">
        <f t="shared" ref="N210:P210" si="85">SUM(N12,N30,N48,N66,N84,N102,N120,N156,N192)</f>
        <v>514595</v>
      </c>
      <c r="O210" s="144">
        <f t="shared" si="85"/>
        <v>37041</v>
      </c>
      <c r="P210" s="145">
        <f t="shared" si="85"/>
        <v>551636</v>
      </c>
    </row>
    <row r="211" spans="1:16">
      <c r="A211" s="146" t="s">
        <v>87</v>
      </c>
      <c r="B211" s="143">
        <f t="shared" si="57"/>
        <v>109079</v>
      </c>
      <c r="C211" s="144">
        <f t="shared" si="57"/>
        <v>11856</v>
      </c>
      <c r="D211" s="145">
        <f t="shared" si="57"/>
        <v>120935</v>
      </c>
      <c r="E211" s="143">
        <f t="shared" ref="E211:G211" si="86">SUM(E13,E31,E49,E67,E85,E103,E121,E157,E193)</f>
        <v>109344</v>
      </c>
      <c r="F211" s="144">
        <f t="shared" si="86"/>
        <v>12440</v>
      </c>
      <c r="G211" s="145">
        <f t="shared" si="86"/>
        <v>121784</v>
      </c>
      <c r="H211" s="143">
        <f t="shared" ref="H211:J211" si="87">SUM(H13,H31,H49,H67,H85,H103,H121,H157,H193)</f>
        <v>111174</v>
      </c>
      <c r="I211" s="144">
        <f t="shared" si="87"/>
        <v>12954</v>
      </c>
      <c r="J211" s="145">
        <f t="shared" si="87"/>
        <v>124128</v>
      </c>
      <c r="K211" s="143">
        <f t="shared" ref="K211:M211" si="88">SUM(K13,K31,K49,K67,K85,K103,K121,K157,K193)</f>
        <v>113059</v>
      </c>
      <c r="L211" s="144">
        <f t="shared" si="88"/>
        <v>13539</v>
      </c>
      <c r="M211" s="145">
        <f t="shared" si="88"/>
        <v>126598</v>
      </c>
      <c r="N211" s="143">
        <f t="shared" ref="N211:P211" si="89">SUM(N13,N31,N49,N67,N85,N103,N121,N157,N193)</f>
        <v>115396</v>
      </c>
      <c r="O211" s="144">
        <f t="shared" si="89"/>
        <v>14060</v>
      </c>
      <c r="P211" s="145">
        <f t="shared" si="89"/>
        <v>129456</v>
      </c>
    </row>
    <row r="212" spans="1:16">
      <c r="A212" s="146" t="s">
        <v>88</v>
      </c>
      <c r="B212" s="143">
        <f t="shared" si="57"/>
        <v>739045</v>
      </c>
      <c r="C212" s="144">
        <f t="shared" si="57"/>
        <v>43222</v>
      </c>
      <c r="D212" s="145">
        <f t="shared" si="57"/>
        <v>782267</v>
      </c>
      <c r="E212" s="143">
        <f t="shared" ref="E212:G212" si="90">SUM(E14,E32,E50,E68,E86,E104,E122,E158,E194)</f>
        <v>722263</v>
      </c>
      <c r="F212" s="144">
        <f t="shared" si="90"/>
        <v>43140</v>
      </c>
      <c r="G212" s="145">
        <f t="shared" si="90"/>
        <v>765403</v>
      </c>
      <c r="H212" s="143">
        <f t="shared" ref="H212:J212" si="91">SUM(H14,H32,H50,H68,H86,H104,H122,H158,H194)</f>
        <v>709666</v>
      </c>
      <c r="I212" s="144">
        <f t="shared" si="91"/>
        <v>42873</v>
      </c>
      <c r="J212" s="145">
        <f t="shared" si="91"/>
        <v>752539</v>
      </c>
      <c r="K212" s="143">
        <f t="shared" ref="K212:M212" si="92">SUM(K14,K32,K50,K68,K86,K104,K122,K158,K194)</f>
        <v>700948</v>
      </c>
      <c r="L212" s="144">
        <f t="shared" si="92"/>
        <v>42656</v>
      </c>
      <c r="M212" s="145">
        <f t="shared" si="92"/>
        <v>743604</v>
      </c>
      <c r="N212" s="143">
        <f t="shared" ref="N212:P212" si="93">SUM(N14,N32,N50,N68,N86,N104,N122,N158,N194)</f>
        <v>702510</v>
      </c>
      <c r="O212" s="144">
        <f t="shared" si="93"/>
        <v>42236</v>
      </c>
      <c r="P212" s="145">
        <f t="shared" si="93"/>
        <v>744746</v>
      </c>
    </row>
    <row r="213" spans="1:16">
      <c r="A213" s="146" t="s">
        <v>89</v>
      </c>
      <c r="B213" s="143">
        <f t="shared" si="57"/>
        <v>1621615</v>
      </c>
      <c r="C213" s="144">
        <f t="shared" si="57"/>
        <v>118078</v>
      </c>
      <c r="D213" s="145">
        <f t="shared" si="57"/>
        <v>1739693</v>
      </c>
      <c r="E213" s="143">
        <f t="shared" ref="E213:G213" si="94">SUM(E15,E33,E51,E69,E87,E105,E123,E159,E195)</f>
        <v>1582015</v>
      </c>
      <c r="F213" s="144">
        <f t="shared" si="94"/>
        <v>118935</v>
      </c>
      <c r="G213" s="145">
        <f t="shared" si="94"/>
        <v>1700950</v>
      </c>
      <c r="H213" s="143">
        <f t="shared" ref="H213:J213" si="95">SUM(H15,H33,H51,H69,H87,H105,H123,H159,H195)</f>
        <v>1558023</v>
      </c>
      <c r="I213" s="144">
        <f t="shared" si="95"/>
        <v>119439</v>
      </c>
      <c r="J213" s="145">
        <f t="shared" si="95"/>
        <v>1677462</v>
      </c>
      <c r="K213" s="143">
        <f t="shared" ref="K213:M213" si="96">SUM(K15,K33,K51,K69,K87,K105,K123,K159,K195)</f>
        <v>1539133</v>
      </c>
      <c r="L213" s="144">
        <f t="shared" si="96"/>
        <v>120969</v>
      </c>
      <c r="M213" s="145">
        <f t="shared" si="96"/>
        <v>1660102</v>
      </c>
      <c r="N213" s="143">
        <f t="shared" ref="N213:P213" si="97">SUM(N15,N33,N51,N69,N87,N105,N123,N159,N195)</f>
        <v>1547530</v>
      </c>
      <c r="O213" s="144">
        <f t="shared" si="97"/>
        <v>122417</v>
      </c>
      <c r="P213" s="145">
        <f t="shared" si="97"/>
        <v>1669947</v>
      </c>
    </row>
    <row r="214" spans="1:16">
      <c r="A214" s="146" t="s">
        <v>90</v>
      </c>
      <c r="B214" s="143">
        <f t="shared" ref="B214:D219" si="98">SUM(B16,B34,B52,B70,B88,B106,B124,B160,B196)</f>
        <v>355850</v>
      </c>
      <c r="C214" s="144">
        <f t="shared" si="98"/>
        <v>27571</v>
      </c>
      <c r="D214" s="145">
        <f t="shared" si="98"/>
        <v>383421</v>
      </c>
      <c r="E214" s="143">
        <f t="shared" ref="E214:G214" si="99">SUM(E16,E34,E52,E70,E88,E106,E124,E160,E196)</f>
        <v>345775</v>
      </c>
      <c r="F214" s="144">
        <f t="shared" si="99"/>
        <v>27466</v>
      </c>
      <c r="G214" s="145">
        <f t="shared" si="99"/>
        <v>373241</v>
      </c>
      <c r="H214" s="143">
        <f t="shared" ref="H214:J214" si="100">SUM(H16,H34,H52,H70,H88,H106,H124,H160,H196)</f>
        <v>339705</v>
      </c>
      <c r="I214" s="144">
        <f t="shared" si="100"/>
        <v>27109</v>
      </c>
      <c r="J214" s="145">
        <f t="shared" si="100"/>
        <v>366814</v>
      </c>
      <c r="K214" s="143">
        <f t="shared" ref="K214:M214" si="101">SUM(K16,K34,K52,K70,K88,K106,K124,K160,K196)</f>
        <v>335796</v>
      </c>
      <c r="L214" s="144">
        <f t="shared" si="101"/>
        <v>27147</v>
      </c>
      <c r="M214" s="145">
        <f t="shared" si="101"/>
        <v>362943</v>
      </c>
      <c r="N214" s="143">
        <f t="shared" ref="N214:P214" si="102">SUM(N16,N34,N52,N70,N88,N106,N124,N160,N196)</f>
        <v>335487</v>
      </c>
      <c r="O214" s="144">
        <f t="shared" si="102"/>
        <v>27439</v>
      </c>
      <c r="P214" s="145">
        <f t="shared" si="102"/>
        <v>362926</v>
      </c>
    </row>
    <row r="215" spans="1:16">
      <c r="A215" s="146" t="s">
        <v>91</v>
      </c>
      <c r="B215" s="143">
        <f t="shared" si="98"/>
        <v>76238</v>
      </c>
      <c r="C215" s="144">
        <f t="shared" si="98"/>
        <v>5699</v>
      </c>
      <c r="D215" s="145">
        <f t="shared" si="98"/>
        <v>81937</v>
      </c>
      <c r="E215" s="143">
        <f t="shared" ref="E215:G215" si="103">SUM(E17,E35,E53,E71,E89,E107,E125,E161,E197)</f>
        <v>73699</v>
      </c>
      <c r="F215" s="144">
        <f t="shared" si="103"/>
        <v>6180</v>
      </c>
      <c r="G215" s="145">
        <f t="shared" si="103"/>
        <v>79879</v>
      </c>
      <c r="H215" s="143">
        <f t="shared" ref="H215:J215" si="104">SUM(H17,H35,H53,H71,H89,H107,H125,H161,H197)</f>
        <v>72787</v>
      </c>
      <c r="I215" s="144">
        <f t="shared" si="104"/>
        <v>6029</v>
      </c>
      <c r="J215" s="145">
        <f t="shared" si="104"/>
        <v>78816</v>
      </c>
      <c r="K215" s="143">
        <f t="shared" ref="K215:M215" si="105">SUM(K17,K35,K53,K71,K89,K107,K125,K161,K197)</f>
        <v>72296</v>
      </c>
      <c r="L215" s="144">
        <f t="shared" si="105"/>
        <v>6091</v>
      </c>
      <c r="M215" s="145">
        <f t="shared" si="105"/>
        <v>78387</v>
      </c>
      <c r="N215" s="143">
        <f t="shared" ref="N215:P215" si="106">SUM(N17,N35,N53,N71,N89,N107,N125,N161,N197)</f>
        <v>73404</v>
      </c>
      <c r="O215" s="144">
        <f t="shared" si="106"/>
        <v>6145</v>
      </c>
      <c r="P215" s="145">
        <f t="shared" si="106"/>
        <v>79549</v>
      </c>
    </row>
    <row r="216" spans="1:16">
      <c r="A216" s="146" t="s">
        <v>92</v>
      </c>
      <c r="B216" s="143">
        <f t="shared" si="98"/>
        <v>274349</v>
      </c>
      <c r="C216" s="144">
        <f t="shared" si="98"/>
        <v>26606</v>
      </c>
      <c r="D216" s="145">
        <f t="shared" si="98"/>
        <v>300955</v>
      </c>
      <c r="E216" s="143">
        <f t="shared" ref="E216:G216" si="107">SUM(E18,E36,E54,E72,E90,E108,E126,E162,E198)</f>
        <v>277817</v>
      </c>
      <c r="F216" s="144">
        <f t="shared" si="107"/>
        <v>28124</v>
      </c>
      <c r="G216" s="145">
        <f t="shared" si="107"/>
        <v>305941</v>
      </c>
      <c r="H216" s="143">
        <f t="shared" ref="H216:J216" si="108">SUM(H18,H36,H54,H72,H90,H108,H126,H162,H198)</f>
        <v>282324</v>
      </c>
      <c r="I216" s="144">
        <f t="shared" si="108"/>
        <v>29268</v>
      </c>
      <c r="J216" s="145">
        <f t="shared" si="108"/>
        <v>311592</v>
      </c>
      <c r="K216" s="143">
        <f t="shared" ref="K216:M216" si="109">SUM(K18,K36,K54,K72,K90,K108,K126,K162,K198)</f>
        <v>287971</v>
      </c>
      <c r="L216" s="144">
        <f t="shared" si="109"/>
        <v>30258</v>
      </c>
      <c r="M216" s="145">
        <f t="shared" si="109"/>
        <v>318229</v>
      </c>
      <c r="N216" s="143">
        <f t="shared" ref="N216:P216" si="110">SUM(N18,N36,N54,N72,N90,N108,N126,N162,N198)</f>
        <v>294956</v>
      </c>
      <c r="O216" s="144">
        <f t="shared" si="110"/>
        <v>31619</v>
      </c>
      <c r="P216" s="145">
        <f t="shared" si="110"/>
        <v>326575</v>
      </c>
    </row>
    <row r="217" spans="1:16">
      <c r="A217" s="146" t="s">
        <v>93</v>
      </c>
      <c r="B217" s="143">
        <f t="shared" si="98"/>
        <v>151283</v>
      </c>
      <c r="C217" s="144">
        <f t="shared" si="98"/>
        <v>12021</v>
      </c>
      <c r="D217" s="145">
        <f t="shared" si="98"/>
        <v>163304</v>
      </c>
      <c r="E217" s="143">
        <f t="shared" ref="E217:G217" si="111">SUM(E19,E37,E55,E73,E91,E109,E127,E163,E199)</f>
        <v>152020</v>
      </c>
      <c r="F217" s="144">
        <f t="shared" si="111"/>
        <v>12766</v>
      </c>
      <c r="G217" s="145">
        <f t="shared" si="111"/>
        <v>164786</v>
      </c>
      <c r="H217" s="143">
        <f t="shared" ref="H217:J217" si="112">SUM(H19,H37,H55,H73,H91,H109,H127,H163,H199)</f>
        <v>153036</v>
      </c>
      <c r="I217" s="144">
        <f t="shared" si="112"/>
        <v>13537</v>
      </c>
      <c r="J217" s="145">
        <f t="shared" si="112"/>
        <v>166573</v>
      </c>
      <c r="K217" s="143">
        <f t="shared" ref="K217:M217" si="113">SUM(K19,K37,K55,K73,K91,K109,K127,K163,K199)</f>
        <v>154558</v>
      </c>
      <c r="L217" s="144">
        <f t="shared" si="113"/>
        <v>14429</v>
      </c>
      <c r="M217" s="145">
        <f t="shared" si="113"/>
        <v>168987</v>
      </c>
      <c r="N217" s="143">
        <f t="shared" ref="N217:P217" si="114">SUM(N19,N37,N55,N73,N91,N109,N127,N163,N199)</f>
        <v>157106</v>
      </c>
      <c r="O217" s="144">
        <f t="shared" si="114"/>
        <v>15170</v>
      </c>
      <c r="P217" s="145">
        <f t="shared" si="114"/>
        <v>172276</v>
      </c>
    </row>
    <row r="218" spans="1:16">
      <c r="A218" s="146" t="s">
        <v>94</v>
      </c>
      <c r="B218" s="143">
        <f t="shared" si="98"/>
        <v>265849</v>
      </c>
      <c r="C218" s="144">
        <f t="shared" si="98"/>
        <v>12416</v>
      </c>
      <c r="D218" s="145">
        <f t="shared" si="98"/>
        <v>278265</v>
      </c>
      <c r="E218" s="143">
        <f t="shared" ref="E218:G218" si="115">SUM(E20,E38,E56,E74,E92,E110,E128,E164,E200)</f>
        <v>250987</v>
      </c>
      <c r="F218" s="144">
        <f t="shared" si="115"/>
        <v>12439</v>
      </c>
      <c r="G218" s="145">
        <f t="shared" si="115"/>
        <v>263426</v>
      </c>
      <c r="H218" s="143">
        <f t="shared" ref="H218:J218" si="116">SUM(H20,H38,H56,H74,H92,H110,H128,H164,H200)</f>
        <v>247096</v>
      </c>
      <c r="I218" s="144">
        <f t="shared" si="116"/>
        <v>12381</v>
      </c>
      <c r="J218" s="145">
        <f t="shared" si="116"/>
        <v>259477</v>
      </c>
      <c r="K218" s="143">
        <f t="shared" ref="K218:M218" si="117">SUM(K20,K38,K56,K74,K92,K110,K128,K164,K200)</f>
        <v>245511</v>
      </c>
      <c r="L218" s="144">
        <f t="shared" si="117"/>
        <v>12284</v>
      </c>
      <c r="M218" s="145">
        <f t="shared" si="117"/>
        <v>257795</v>
      </c>
      <c r="N218" s="143">
        <f t="shared" ref="N218:P218" si="118">SUM(N20,N38,N56,N74,N92,N110,N128,N164,N200)</f>
        <v>246230</v>
      </c>
      <c r="O218" s="144">
        <f t="shared" si="118"/>
        <v>12465</v>
      </c>
      <c r="P218" s="145">
        <f t="shared" si="118"/>
        <v>258695</v>
      </c>
    </row>
    <row r="219" spans="1:16">
      <c r="A219" s="146" t="s">
        <v>95</v>
      </c>
      <c r="B219" s="143">
        <f t="shared" si="98"/>
        <v>150736</v>
      </c>
      <c r="C219" s="144">
        <f t="shared" si="98"/>
        <v>12083</v>
      </c>
      <c r="D219" s="145">
        <f t="shared" si="98"/>
        <v>162819</v>
      </c>
      <c r="E219" s="143">
        <f t="shared" ref="E219:G219" si="119">SUM(E21,E39,E57,E75,E93,E111,E129,E165,E201)</f>
        <v>150743</v>
      </c>
      <c r="F219" s="144">
        <f t="shared" si="119"/>
        <v>12741</v>
      </c>
      <c r="G219" s="145">
        <f t="shared" si="119"/>
        <v>163484</v>
      </c>
      <c r="H219" s="143">
        <f t="shared" ref="H219:J219" si="120">SUM(H21,H39,H57,H75,H93,H111,H129,H165,H201)</f>
        <v>151432</v>
      </c>
      <c r="I219" s="144">
        <f t="shared" si="120"/>
        <v>13500</v>
      </c>
      <c r="J219" s="145">
        <f t="shared" si="120"/>
        <v>164932</v>
      </c>
      <c r="K219" s="143">
        <f t="shared" ref="K219:M219" si="121">SUM(K21,K39,K57,K75,K93,K111,K129,K165,K201)</f>
        <v>153112</v>
      </c>
      <c r="L219" s="144">
        <f t="shared" si="121"/>
        <v>14168</v>
      </c>
      <c r="M219" s="145">
        <f t="shared" si="121"/>
        <v>167280</v>
      </c>
      <c r="N219" s="143">
        <f t="shared" ref="N219:P219" si="122">SUM(N21,N39,N57,N75,N93,N111,N129,N165,N201)</f>
        <v>155613</v>
      </c>
      <c r="O219" s="144">
        <f t="shared" si="122"/>
        <v>14882</v>
      </c>
      <c r="P219" s="145">
        <f t="shared" si="122"/>
        <v>170495</v>
      </c>
    </row>
    <row r="220" spans="1:16" ht="13.5" thickBot="1">
      <c r="A220" s="147" t="s">
        <v>96</v>
      </c>
      <c r="B220" s="132">
        <f>SUM(B204:B219)</f>
        <v>6875606</v>
      </c>
      <c r="C220" s="141">
        <f>SUM(C204:C219)-C212-C210-C217</f>
        <v>501104</v>
      </c>
      <c r="D220" s="137">
        <f>SUM(B220:C220)</f>
        <v>7376710</v>
      </c>
      <c r="E220" s="132">
        <f>SUM(E204:E219)</f>
        <v>6756334</v>
      </c>
      <c r="F220" s="141">
        <f>SUM(F204:F219)-F212-F210-F217</f>
        <v>505287</v>
      </c>
      <c r="G220" s="137">
        <f>SUM(E220:F220)</f>
        <v>7261621</v>
      </c>
      <c r="H220" s="132">
        <f>SUM(H204:H219)</f>
        <v>6693757</v>
      </c>
      <c r="I220" s="141">
        <f>SUM(I204:I219)-I212-I210-I217</f>
        <v>507117</v>
      </c>
      <c r="J220" s="137">
        <f>SUM(H220:I220)</f>
        <v>7200874</v>
      </c>
      <c r="K220" s="132">
        <f>SUM(K204:K219)</f>
        <v>6660474</v>
      </c>
      <c r="L220" s="141">
        <f>SUM(L204:L219)-L212-L210-L217</f>
        <v>511468</v>
      </c>
      <c r="M220" s="137">
        <f>SUM(K220:L220)</f>
        <v>7171942</v>
      </c>
      <c r="N220" s="132">
        <f>SUM(N204:N219)</f>
        <v>6709956</v>
      </c>
      <c r="O220" s="141">
        <f>SUM(O204:O219)-O212-O210-O217</f>
        <v>515175</v>
      </c>
      <c r="P220" s="137">
        <f>SUM(N220:O220)</f>
        <v>7225131</v>
      </c>
    </row>
    <row r="221" spans="1:16" ht="13.5" thickTop="1">
      <c r="A221" s="148"/>
    </row>
    <row r="222" spans="1:16">
      <c r="A222" s="130"/>
    </row>
    <row r="223" spans="1:16">
      <c r="A223" s="130"/>
    </row>
    <row r="224" spans="1:16">
      <c r="A224" s="130"/>
    </row>
    <row r="225" spans="1:1">
      <c r="A225" s="130"/>
    </row>
    <row r="226" spans="1:1">
      <c r="A226" s="130"/>
    </row>
  </sheetData>
  <mergeCells count="17">
    <mergeCell ref="E3:G3"/>
    <mergeCell ref="B3:D3"/>
    <mergeCell ref="H3:J3"/>
    <mergeCell ref="K3:M3"/>
    <mergeCell ref="A77:P77"/>
    <mergeCell ref="N3:P3"/>
    <mergeCell ref="A5:P5"/>
    <mergeCell ref="A23:P23"/>
    <mergeCell ref="A41:P41"/>
    <mergeCell ref="A59:P59"/>
    <mergeCell ref="A185:P185"/>
    <mergeCell ref="A203:P203"/>
    <mergeCell ref="A95:P95"/>
    <mergeCell ref="A113:P113"/>
    <mergeCell ref="A131:P131"/>
    <mergeCell ref="A149:P149"/>
    <mergeCell ref="A167:P167"/>
  </mergeCells>
  <phoneticPr fontId="18" type="noConversion"/>
  <pageMargins left="0.78740157499999996" right="0.78740157499999996" top="0.984251969" bottom="0.984251969" header="0.4921259845" footer="0.4921259845"/>
  <pageSetup paperSize="9" scale="41" orientation="portrait" r:id="rId1"/>
  <headerFooter alignWithMargins="0"/>
  <rowBreaks count="2" manualBreakCount="2">
    <brk id="76" max="16383" man="1"/>
    <brk id="184"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tabColor theme="6" tint="0.39997558519241921"/>
  </sheetPr>
  <dimension ref="A1:I69"/>
  <sheetViews>
    <sheetView view="pageBreakPreview" zoomScale="90" zoomScaleNormal="100" zoomScaleSheetLayoutView="90" workbookViewId="0">
      <selection activeCell="F5" sqref="F5"/>
    </sheetView>
  </sheetViews>
  <sheetFormatPr baseColWidth="10" defaultColWidth="10.28515625" defaultRowHeight="12.75"/>
  <cols>
    <col min="1" max="1" width="1.42578125" style="174" customWidth="1"/>
    <col min="2" max="3" width="16.5703125" style="174" customWidth="1"/>
    <col min="4" max="4" width="40.42578125" style="174" customWidth="1"/>
    <col min="5" max="5" width="40.7109375" style="174" customWidth="1"/>
    <col min="6" max="6" width="35" style="161" customWidth="1"/>
    <col min="7" max="16384" width="10.28515625" style="161"/>
  </cols>
  <sheetData>
    <row r="1" spans="1:9" ht="30" customHeight="1">
      <c r="A1" s="438" t="s">
        <v>248</v>
      </c>
      <c r="B1" s="439"/>
      <c r="C1" s="440"/>
      <c r="D1" s="441" t="s">
        <v>165</v>
      </c>
      <c r="E1" s="442"/>
      <c r="F1" s="443"/>
    </row>
    <row r="2" spans="1:9">
      <c r="A2" s="444" t="s">
        <v>158</v>
      </c>
      <c r="B2" s="445"/>
      <c r="C2" s="162" t="s">
        <v>269</v>
      </c>
      <c r="D2" s="446"/>
      <c r="E2" s="447"/>
      <c r="F2" s="448"/>
    </row>
    <row r="3" spans="1:9">
      <c r="A3" s="449" t="s">
        <v>159</v>
      </c>
      <c r="B3" s="445"/>
      <c r="C3" s="163" t="s">
        <v>96</v>
      </c>
      <c r="D3" s="446"/>
      <c r="E3" s="447"/>
      <c r="F3" s="448"/>
    </row>
    <row r="4" spans="1:9" ht="25.15" customHeight="1">
      <c r="A4" s="164"/>
      <c r="B4" s="165"/>
      <c r="C4" s="166"/>
      <c r="D4" s="167" t="s">
        <v>160</v>
      </c>
      <c r="E4" s="168" t="s">
        <v>161</v>
      </c>
      <c r="F4" s="169" t="s">
        <v>162</v>
      </c>
      <c r="I4" s="217"/>
    </row>
    <row r="5" spans="1:9" ht="25.15" customHeight="1">
      <c r="A5" s="435" t="s">
        <v>79</v>
      </c>
      <c r="B5" s="436"/>
      <c r="C5" s="436"/>
      <c r="D5" s="176">
        <f>SUM(D6:D7)</f>
        <v>27213</v>
      </c>
      <c r="E5" s="177">
        <f>SUM(E6:E7)</f>
        <v>18358</v>
      </c>
      <c r="F5" s="170">
        <f>SUM(E5*100/D5)</f>
        <v>67.460404953514868</v>
      </c>
    </row>
    <row r="6" spans="1:9" ht="25.15" customHeight="1">
      <c r="A6" s="171"/>
      <c r="B6" s="172" t="s">
        <v>163</v>
      </c>
      <c r="C6" s="172"/>
      <c r="D6" s="178">
        <f>[5]GtS_VE!$D$6+[10]GtS_VE!$D$6+[15]GtS_VE!$D$6+[20]GtS_VE!$D$6+[25]GtS_VE!$D$6+[30]GtS_VE!$D$6+[70]GtS_VE!$D$6+[35]GtS_VE!$D$6+[75]GtS_VE!$D$6+[40]GtS_VE!$D$6+[45]GtS_VE!$D$6+[50]GtS_VE!$D$6+[55]GtS_VE!$D$6+[80]GtS_VE!$D$6+[60]GtS_VE!$D$6+[65]GtS_VE!$D$6</f>
        <v>24463</v>
      </c>
      <c r="E6" s="179">
        <f>[5]GtS_VE!$E$6+[10]GtS_VE!$E$6+[15]GtS_VE!$E$6+[20]GtS_VE!$E$6+[25]GtS_VE!$E$6+[30]GtS_VE!$E$6+[70]GtS_VE!$E$6+[35]GtS_VE!$E$6+[75]GtS_VE!$E$6+[40]GtS_VE!$E$6+[45]GtS_VE!$E$6+[50]GtS_VE!$E$6+[55]GtS_VE!$E$6+[80]GtS_VE!$E$6+[60]GtS_VE!$E$6+[65]GtS_VE!$E$6</f>
        <v>16741</v>
      </c>
      <c r="F6" s="170">
        <f>SUM(E6*100/D6)</f>
        <v>68.433961492866771</v>
      </c>
    </row>
    <row r="7" spans="1:9" ht="25.15" customHeight="1">
      <c r="A7" s="173"/>
      <c r="B7" s="437" t="s">
        <v>164</v>
      </c>
      <c r="C7" s="437"/>
      <c r="D7" s="180">
        <f>[5]GtS_VE!$D$7+[10]GtS_VE!$D$7+[15]GtS_VE!$D$7+[20]GtS_VE!$D$7+[25]GtS_VE!$D$7+[30]GtS_VE!$D$7+[70]GtS_VE!$D$7+[35]GtS_VE!$D$7+[75]GtS_VE!$D$7+[40]GtS_VE!$D$7+[45]GtS_VE!$D$7+[50]GtS_VE!$D$7+[55]GtS_VE!$D$7+[80]GtS_VE!$D$7+[60]GtS_VE!$D$7+[65]GtS_VE!$D$7</f>
        <v>2750</v>
      </c>
      <c r="E7" s="181">
        <f>[5]GtS_VE!$E$7+[10]GtS_VE!$E$7+[15]GtS_VE!$E$7+[20]GtS_VE!$E$7+[25]GtS_VE!$E$7+[30]GtS_VE!$E$7+[70]GtS_VE!$E$7+[35]GtS_VE!$E$7+[75]GtS_VE!$E$7+[40]GtS_VE!$E$7+[45]GtS_VE!$E$7+[50]GtS_VE!$E$7+[55]GtS_VE!$E$7+[80]GtS_VE!$E$7+[60]GtS_VE!$E$7+[65]GtS_VE!$E$7</f>
        <v>1617</v>
      </c>
      <c r="F7" s="175">
        <f>SUM(E7*100/D7)</f>
        <v>58.8</v>
      </c>
    </row>
    <row r="8" spans="1:9" ht="30" customHeight="1">
      <c r="A8" s="438" t="s">
        <v>248</v>
      </c>
      <c r="B8" s="439"/>
      <c r="C8" s="440"/>
      <c r="D8" s="441" t="s">
        <v>165</v>
      </c>
      <c r="E8" s="442"/>
      <c r="F8" s="443"/>
    </row>
    <row r="9" spans="1:9">
      <c r="A9" s="444" t="s">
        <v>158</v>
      </c>
      <c r="B9" s="445"/>
      <c r="C9" s="162" t="s">
        <v>268</v>
      </c>
      <c r="D9" s="446"/>
      <c r="E9" s="447"/>
      <c r="F9" s="448"/>
    </row>
    <row r="10" spans="1:9">
      <c r="A10" s="449" t="s">
        <v>159</v>
      </c>
      <c r="B10" s="445"/>
      <c r="C10" s="163" t="s">
        <v>96</v>
      </c>
      <c r="D10" s="446"/>
      <c r="E10" s="447"/>
      <c r="F10" s="448"/>
    </row>
    <row r="11" spans="1:9" ht="25.15" customHeight="1">
      <c r="A11" s="164"/>
      <c r="B11" s="165"/>
      <c r="C11" s="166"/>
      <c r="D11" s="167" t="s">
        <v>160</v>
      </c>
      <c r="E11" s="168" t="s">
        <v>161</v>
      </c>
      <c r="F11" s="169" t="s">
        <v>162</v>
      </c>
      <c r="I11" s="217"/>
    </row>
    <row r="12" spans="1:9" ht="25.15" customHeight="1">
      <c r="A12" s="435" t="s">
        <v>79</v>
      </c>
      <c r="B12" s="436"/>
      <c r="C12" s="436"/>
      <c r="D12" s="176">
        <f>SUM(D13:D14)</f>
        <v>27440</v>
      </c>
      <c r="E12" s="177">
        <f>SUM(E13:E14)</f>
        <v>16733</v>
      </c>
      <c r="F12" s="170">
        <f>SUM(E12*100/D12)</f>
        <v>60.980320699708457</v>
      </c>
    </row>
    <row r="13" spans="1:9" ht="25.15" customHeight="1">
      <c r="A13" s="171"/>
      <c r="B13" s="172" t="s">
        <v>163</v>
      </c>
      <c r="C13" s="172"/>
      <c r="D13" s="178">
        <f>[4]GtS_VE!$D$6+[9]GtS_VE!$D$6+[14]GtS_VE!$D$6+[19]GtS_VE!$D$6+[24]GtS_VE!$D$6+[29]GtS_VE!$D$6+[69]GtS_VE!$D$6+[34]GtS_VE!$D$6+[74]GtS_VE!$D$6+[39]GtS_VE!$D$6+[44]GtS_VE!$D$6+[49]GtS_VE!$D$6+[54]GtS_VE!$D$6+[79]GtS_VE!$D$6+[59]GtS_VE!$D$6+[64]GtS_VE!$D$6</f>
        <v>24721</v>
      </c>
      <c r="E13" s="179">
        <f>[4]GtS_VE!$E$6+[9]GtS_VE!$E$6+[14]GtS_VE!$E$6+[19]GtS_VE!$E$6+[24]GtS_VE!$E$6+[29]GtS_VE!$E$6+[69]GtS_VE!$E$6+[34]GtS_VE!$E$6+[74]GtS_VE!$E$6+[39]GtS_VE!$E$6+[44]GtS_VE!$E$6+[49]GtS_VE!$E$6+[54]GtS_VE!$E$6+[79]GtS_VE!$E$6+[59]GtS_VE!$E$6+[64]GtS_VE!$E$6</f>
        <v>15194</v>
      </c>
      <c r="F13" s="170">
        <f>SUM(E13*100/D13)</f>
        <v>61.461914971077221</v>
      </c>
    </row>
    <row r="14" spans="1:9" ht="25.15" customHeight="1">
      <c r="A14" s="173"/>
      <c r="B14" s="437" t="s">
        <v>164</v>
      </c>
      <c r="C14" s="437"/>
      <c r="D14" s="180">
        <f>[4]GtS_VE!$D$7+[9]GtS_VE!$D$7+[14]GtS_VE!$D$7+[19]GtS_VE!$D$7+[24]GtS_VE!$D$7+[29]GtS_VE!$D$7+[69]GtS_VE!$D$7+[34]GtS_VE!$D$7+[74]GtS_VE!$D$7+[39]GtS_VE!$D$7+[44]GtS_VE!$D$7+[49]GtS_VE!$D$7+[54]GtS_VE!$D$7+[79]GtS_VE!$D$7+[59]GtS_VE!$D$7+[64]GtS_VE!$D$7</f>
        <v>2719</v>
      </c>
      <c r="E14" s="181">
        <f>[4]GtS_VE!$E$7+[9]GtS_VE!$E$7+[14]GtS_VE!$E$7+[19]GtS_VE!$E$7+[24]GtS_VE!$E$7+[29]GtS_VE!$E$7+[69]GtS_VE!$E$7+[34]GtS_VE!$E$7+[74]GtS_VE!$E$7+[39]GtS_VE!$E$7+[44]GtS_VE!$E$7+[49]GtS_VE!$E$7+[54]GtS_VE!$E$7+[79]GtS_VE!$E$7+[59]GtS_VE!$E$7+[64]GtS_VE!$E$7</f>
        <v>1539</v>
      </c>
      <c r="F14" s="175">
        <f>SUM(E14*100/D14)</f>
        <v>56.601691798455313</v>
      </c>
    </row>
    <row r="15" spans="1:9" ht="30" customHeight="1">
      <c r="A15" s="438" t="s">
        <v>248</v>
      </c>
      <c r="B15" s="439"/>
      <c r="C15" s="440"/>
      <c r="D15" s="441" t="s">
        <v>165</v>
      </c>
      <c r="E15" s="442"/>
      <c r="F15" s="443"/>
    </row>
    <row r="16" spans="1:9">
      <c r="A16" s="444" t="s">
        <v>158</v>
      </c>
      <c r="B16" s="445"/>
      <c r="C16" s="162" t="s">
        <v>213</v>
      </c>
      <c r="D16" s="446"/>
      <c r="E16" s="447"/>
      <c r="F16" s="448"/>
    </row>
    <row r="17" spans="1:9">
      <c r="A17" s="449" t="s">
        <v>159</v>
      </c>
      <c r="B17" s="445"/>
      <c r="C17" s="163" t="s">
        <v>96</v>
      </c>
      <c r="D17" s="446"/>
      <c r="E17" s="447"/>
      <c r="F17" s="448"/>
    </row>
    <row r="18" spans="1:9" ht="25.15" customHeight="1">
      <c r="A18" s="164"/>
      <c r="B18" s="165"/>
      <c r="C18" s="166"/>
      <c r="D18" s="167" t="s">
        <v>160</v>
      </c>
      <c r="E18" s="168" t="s">
        <v>161</v>
      </c>
      <c r="F18" s="169" t="s">
        <v>162</v>
      </c>
      <c r="I18" s="217"/>
    </row>
    <row r="19" spans="1:9" ht="25.15" customHeight="1">
      <c r="A19" s="435" t="s">
        <v>79</v>
      </c>
      <c r="B19" s="436"/>
      <c r="C19" s="436"/>
      <c r="D19" s="176">
        <f>SUM(D20:D21)</f>
        <v>27704</v>
      </c>
      <c r="E19" s="177">
        <f>SUM(E20:E21)</f>
        <v>16488</v>
      </c>
      <c r="F19" s="170">
        <f>SUM(E19*100/D19)</f>
        <v>59.51487149870055</v>
      </c>
    </row>
    <row r="20" spans="1:9" ht="25.15" customHeight="1">
      <c r="A20" s="171"/>
      <c r="B20" s="172" t="s">
        <v>163</v>
      </c>
      <c r="C20" s="172"/>
      <c r="D20" s="178">
        <f>[3]GtS_VE!$D$6+[8]GtS_VE!$D$6+[13]GtS_VE!$D$6+[18]GtS_VE!$D$6+[23]GtS_VE!$D$6+[28]GtS_VE!$D$6+[68]GtS_VE!$D$6+[33]GtS_VE!$D$6+[73]GtS_VE!$D$6+[38]GtS_VE!$D$6+[43]GtS_VE!$D$6+[48]GtS_VE!$D$6+[53]GtS_VE!$D$6+[78]GtS_VE!$D$6+[58]GtS_VE!$D$6+[63]GtS_VE!$D$6</f>
        <v>25021</v>
      </c>
      <c r="E20" s="179">
        <f>[3]GtS_VE!$E$6+[8]GtS_VE!$E$6+[13]GtS_VE!$E$6+[18]GtS_VE!$E$6+[23]GtS_VE!$E$6+[28]GtS_VE!$E$6+[68]GtS_VE!$E$6+[33]GtS_VE!$E$6+[73]GtS_VE!$E$6+[38]GtS_VE!$E$6+[43]GtS_VE!$E$6+[48]GtS_VE!$E$6+[53]GtS_VE!$E$6+[78]GtS_VE!$E$6+[58]GtS_VE!$E$6+[63]GtS_VE!$E$6</f>
        <v>15022</v>
      </c>
      <c r="F20" s="170">
        <f>SUM(E20*100/D20)</f>
        <v>60.037568442508295</v>
      </c>
    </row>
    <row r="21" spans="1:9" ht="25.15" customHeight="1">
      <c r="A21" s="173"/>
      <c r="B21" s="437" t="s">
        <v>164</v>
      </c>
      <c r="C21" s="437"/>
      <c r="D21" s="180">
        <f>[3]GtS_VE!$D$7+[8]GtS_VE!$D$7+[13]GtS_VE!$D$7+[18]GtS_VE!$D$7+[23]GtS_VE!$D$7+[28]GtS_VE!$D$7+[68]GtS_VE!$D$7+[33]GtS_VE!$D$7+[73]GtS_VE!$D$7+[38]GtS_VE!$D$7+[43]GtS_VE!$D$7+[48]GtS_VE!$D$7+[53]GtS_VE!$D$7+[78]GtS_VE!$D$7+[58]GtS_VE!$D$7+[63]GtS_VE!$D$7</f>
        <v>2683</v>
      </c>
      <c r="E21" s="181">
        <f>[3]GtS_VE!$E$7+[8]GtS_VE!$E$7+[13]GtS_VE!$E$7+[18]GtS_VE!$E$7+[23]GtS_VE!$E$7+[28]GtS_VE!$E$7+[68]GtS_VE!$E$7+[33]GtS_VE!$E$7+[73]GtS_VE!$E$7+[38]GtS_VE!$E$7+[43]GtS_VE!$E$7+[48]GtS_VE!$E$7+[53]GtS_VE!$E$7+[78]GtS_VE!$E$7+[58]GtS_VE!$E$7+[63]GtS_VE!$E$7</f>
        <v>1466</v>
      </c>
      <c r="F21" s="175">
        <f>SUM(E21*100/D21)</f>
        <v>54.640327991054789</v>
      </c>
    </row>
    <row r="22" spans="1:9" ht="30" customHeight="1">
      <c r="A22" s="438" t="s">
        <v>248</v>
      </c>
      <c r="B22" s="439"/>
      <c r="C22" s="440"/>
      <c r="D22" s="441" t="s">
        <v>165</v>
      </c>
      <c r="E22" s="442"/>
      <c r="F22" s="443"/>
    </row>
    <row r="23" spans="1:9">
      <c r="A23" s="444" t="s">
        <v>158</v>
      </c>
      <c r="B23" s="445"/>
      <c r="C23" s="162" t="s">
        <v>194</v>
      </c>
      <c r="D23" s="446"/>
      <c r="E23" s="447"/>
      <c r="F23" s="448"/>
    </row>
    <row r="24" spans="1:9">
      <c r="A24" s="449" t="s">
        <v>159</v>
      </c>
      <c r="B24" s="445"/>
      <c r="C24" s="163" t="s">
        <v>96</v>
      </c>
      <c r="D24" s="446"/>
      <c r="E24" s="447"/>
      <c r="F24" s="448"/>
    </row>
    <row r="25" spans="1:9" ht="25.15" customHeight="1">
      <c r="A25" s="164"/>
      <c r="B25" s="165"/>
      <c r="C25" s="166"/>
      <c r="D25" s="167" t="s">
        <v>160</v>
      </c>
      <c r="E25" s="168" t="s">
        <v>161</v>
      </c>
      <c r="F25" s="169" t="s">
        <v>162</v>
      </c>
      <c r="I25" s="217"/>
    </row>
    <row r="26" spans="1:9" ht="25.15" customHeight="1">
      <c r="A26" s="435" t="s">
        <v>79</v>
      </c>
      <c r="B26" s="436"/>
      <c r="C26" s="436"/>
      <c r="D26" s="176">
        <f>SUM(D27:D28)</f>
        <v>27957</v>
      </c>
      <c r="E26" s="177">
        <f>SUM(E27:E28)</f>
        <v>16198</v>
      </c>
      <c r="F26" s="170">
        <f>SUM(E26*100/D26)</f>
        <v>57.938977715777803</v>
      </c>
    </row>
    <row r="27" spans="1:9" ht="25.15" customHeight="1">
      <c r="A27" s="171"/>
      <c r="B27" s="172" t="s">
        <v>163</v>
      </c>
      <c r="C27" s="172"/>
      <c r="D27" s="178">
        <f>[2]GtS_VE!$D$6+[7]GtS_VE!$D$6+[12]GtS_VE!$D$6+[17]GtS_VE!$D$6+[22]GtS_VE!$D$6+[27]GtS_VE!$D$6+[67]GtS_VE!$D$6+[32]GtS_VE!$D$6+[72]GtS_VE!$D$6+[37]GtS_VE!$D$6+[42]GtS_VE!$D$6+[47]GtS_VE!$D$6+[52]GtS_VE!$D$6+[77]GtS_VE!$D$6+[57]GtS_VE!$D$6+[62]GtS_VE!$D$6</f>
        <v>25310</v>
      </c>
      <c r="E27" s="179">
        <f>[2]GtS_VE!$E$6+[7]GtS_VE!$E$6+[12]GtS_VE!$E$6+[17]GtS_VE!$E$6+[22]GtS_VE!$E$6+[27]GtS_VE!$E$6+[67]GtS_VE!$E$6+[32]GtS_VE!$E$6+[72]GtS_VE!$E$6+[37]GtS_VE!$E$6+[42]GtS_VE!$E$6+[47]GtS_VE!$E$6+[52]GtS_VE!$E$6+[77]GtS_VE!$E$6+[57]GtS_VE!$E$6+[62]GtS_VE!$E$6</f>
        <v>14785</v>
      </c>
      <c r="F27" s="170">
        <f>SUM(E27*100/D27)</f>
        <v>58.415645989727381</v>
      </c>
    </row>
    <row r="28" spans="1:9" ht="25.15" customHeight="1">
      <c r="A28" s="173"/>
      <c r="B28" s="437" t="s">
        <v>164</v>
      </c>
      <c r="C28" s="437"/>
      <c r="D28" s="180">
        <f>[2]GtS_VE!$D$7+[7]GtS_VE!$D$7+[12]GtS_VE!$D$7+[17]GtS_VE!$D$7+[22]GtS_VE!$D$7+[27]GtS_VE!$D$7+[67]GtS_VE!$D$7+[32]GtS_VE!$D$7+[72]GtS_VE!$D$7+[37]GtS_VE!$D$7+[42]GtS_VE!$D$7+[47]GtS_VE!$D$7+[52]GtS_VE!$D$7+[77]GtS_VE!$D$7+[57]GtS_VE!$D$7+[62]GtS_VE!$D$7</f>
        <v>2647</v>
      </c>
      <c r="E28" s="181">
        <f>[2]GtS_VE!$E$7+[7]GtS_VE!$E$7+[12]GtS_VE!$E$7+[17]GtS_VE!$E$7+[22]GtS_VE!$E$7+[27]GtS_VE!$E$7+[67]GtS_VE!$E$7+[32]GtS_VE!$E$7+[72]GtS_VE!$E$7+[37]GtS_VE!$E$7+[42]GtS_VE!$E$7+[47]GtS_VE!$E$7+[52]GtS_VE!$E$7+[77]GtS_VE!$E$7+[57]GtS_VE!$E$7+[62]GtS_VE!$E$7</f>
        <v>1413</v>
      </c>
      <c r="F28" s="175">
        <f>SUM(E28*100/D28)</f>
        <v>53.381186248583305</v>
      </c>
    </row>
    <row r="29" spans="1:9" ht="30" customHeight="1">
      <c r="A29" s="438" t="s">
        <v>248</v>
      </c>
      <c r="B29" s="439"/>
      <c r="C29" s="440"/>
      <c r="D29" s="441" t="s">
        <v>165</v>
      </c>
      <c r="E29" s="442"/>
      <c r="F29" s="443"/>
    </row>
    <row r="30" spans="1:9">
      <c r="A30" s="444" t="s">
        <v>158</v>
      </c>
      <c r="B30" s="445"/>
      <c r="C30" s="162" t="s">
        <v>182</v>
      </c>
      <c r="D30" s="446"/>
      <c r="E30" s="447"/>
      <c r="F30" s="448"/>
    </row>
    <row r="31" spans="1:9">
      <c r="A31" s="449" t="s">
        <v>159</v>
      </c>
      <c r="B31" s="445"/>
      <c r="C31" s="163" t="s">
        <v>96</v>
      </c>
      <c r="D31" s="446"/>
      <c r="E31" s="447"/>
      <c r="F31" s="448"/>
    </row>
    <row r="32" spans="1:9" ht="25.15" customHeight="1">
      <c r="A32" s="164"/>
      <c r="B32" s="165"/>
      <c r="C32" s="166"/>
      <c r="D32" s="167" t="s">
        <v>160</v>
      </c>
      <c r="E32" s="168" t="s">
        <v>161</v>
      </c>
      <c r="F32" s="169" t="s">
        <v>162</v>
      </c>
      <c r="I32" s="217"/>
    </row>
    <row r="33" spans="1:6" ht="25.15" customHeight="1">
      <c r="A33" s="435" t="s">
        <v>79</v>
      </c>
      <c r="B33" s="436"/>
      <c r="C33" s="436"/>
      <c r="D33" s="176">
        <f>SUM(D34:D35)</f>
        <v>28152</v>
      </c>
      <c r="E33" s="177">
        <f>SUM(E34:E35)</f>
        <v>15742</v>
      </c>
      <c r="F33" s="170">
        <f>SUM(E33*100/D33)</f>
        <v>55.917874396135268</v>
      </c>
    </row>
    <row r="34" spans="1:6" ht="25.15" customHeight="1">
      <c r="A34" s="171"/>
      <c r="B34" s="172" t="s">
        <v>163</v>
      </c>
      <c r="C34" s="172"/>
      <c r="D34" s="178">
        <f>[1]GtS_VE!$D$6+[6]GtS_VE!$D$6+[11]GtS_VE!$D$6+[16]GtS_VE!$D$6+[21]GtS_VE!$D$6+[26]GtS_VE!$D$6+[66]GtS_VE!$D$6+[31]GtS_VE!$D$6+[71]GtS_VE!$D$6+[36]GtS_VE!$D$6+[41]GtS_VE!$D$6+[46]GtS_VE!$D$6+[51]GtS_VE!$D$6+[76]GtS_VE!$D$6+[56]GtS_VE!$D$6+[61]GtS_VE!$D$6</f>
        <v>25547</v>
      </c>
      <c r="E34" s="179">
        <f>[1]GtS_VE!$E$6+[6]GtS_VE!$E$6+[11]GtS_VE!$E$6+[16]GtS_VE!$E$6+[21]GtS_VE!$E$6+[26]GtS_VE!$E$6+[66]GtS_VE!$E$6+[31]GtS_VE!$E$6+[71]GtS_VE!$E$6+[36]GtS_VE!$E$6+[41]GtS_VE!$E$6+[46]GtS_VE!$E$6+[51]GtS_VE!$E$6+[76]GtS_VE!$E$6+[56]GtS_VE!$E$6+[61]GtS_VE!$E$6</f>
        <v>14384</v>
      </c>
      <c r="F34" s="170">
        <f>SUM(E34*100/D34)</f>
        <v>56.304067013739385</v>
      </c>
    </row>
    <row r="35" spans="1:6" ht="25.15" customHeight="1">
      <c r="A35" s="173"/>
      <c r="B35" s="437" t="s">
        <v>164</v>
      </c>
      <c r="C35" s="437"/>
      <c r="D35" s="180">
        <f>[1]GtS_VE!$D$7+[6]GtS_VE!$D$7+[11]GtS_VE!$D$7+[16]GtS_VE!$D$7+[21]GtS_VE!$D$7+[26]GtS_VE!$D$7+[66]GtS_VE!$D$7+[31]GtS_VE!$D$7+[71]GtS_VE!$D$7+[36]GtS_VE!$D$7+[41]GtS_VE!$D$7+[46]GtS_VE!$D$7+[51]GtS_VE!$D$7+[76]GtS_VE!$D$7+[56]GtS_VE!$D$7+[61]GtS_VE!$D$7</f>
        <v>2605</v>
      </c>
      <c r="E35" s="181">
        <f>[1]GtS_VE!$E$7+[6]GtS_VE!$E$7+[11]GtS_VE!$E$7+[16]GtS_VE!$E$7+[21]GtS_VE!$E$7+[26]GtS_VE!$E$7+[66]GtS_VE!$E$7+[31]GtS_VE!$E$7+[71]GtS_VE!$E$7+[36]GtS_VE!$E$7+[41]GtS_VE!$E$7+[46]GtS_VE!$E$7+[51]GtS_VE!$E$7+[76]GtS_VE!$E$7+[56]GtS_VE!$E$7+[61]GtS_VE!$E$7</f>
        <v>1358</v>
      </c>
      <c r="F35" s="175">
        <f>SUM(E35*100/D35)</f>
        <v>52.130518234165066</v>
      </c>
    </row>
    <row r="49" spans="1:1" ht="8.65" customHeight="1"/>
    <row r="50" spans="1:1" ht="12.6" customHeight="1"/>
    <row r="51" spans="1:1" ht="10.15" customHeight="1">
      <c r="A51" s="216"/>
    </row>
    <row r="52" spans="1:1" ht="10.15" customHeight="1">
      <c r="A52" s="216"/>
    </row>
    <row r="53" spans="1:1" ht="10.15" customHeight="1">
      <c r="A53" s="216"/>
    </row>
    <row r="68" spans="1:1" ht="10.5" customHeight="1"/>
    <row r="69" spans="1:1" ht="10.15" customHeight="1">
      <c r="A69" s="216"/>
    </row>
  </sheetData>
  <mergeCells count="40">
    <mergeCell ref="A12:C12"/>
    <mergeCell ref="B14:C14"/>
    <mergeCell ref="A8:C8"/>
    <mergeCell ref="D8:F8"/>
    <mergeCell ref="A9:B9"/>
    <mergeCell ref="D9:F9"/>
    <mergeCell ref="A10:B10"/>
    <mergeCell ref="D10:F10"/>
    <mergeCell ref="A19:C19"/>
    <mergeCell ref="B21:C21"/>
    <mergeCell ref="A15:C15"/>
    <mergeCell ref="D15:F15"/>
    <mergeCell ref="A16:B16"/>
    <mergeCell ref="D16:F16"/>
    <mergeCell ref="A17:B17"/>
    <mergeCell ref="D17:F17"/>
    <mergeCell ref="A33:C33"/>
    <mergeCell ref="B35:C35"/>
    <mergeCell ref="A31:B31"/>
    <mergeCell ref="D31:F31"/>
    <mergeCell ref="A29:C29"/>
    <mergeCell ref="D29:F29"/>
    <mergeCell ref="A30:B30"/>
    <mergeCell ref="D30:F30"/>
    <mergeCell ref="A26:C26"/>
    <mergeCell ref="B28:C28"/>
    <mergeCell ref="A22:C22"/>
    <mergeCell ref="D22:F22"/>
    <mergeCell ref="A23:B23"/>
    <mergeCell ref="D23:F23"/>
    <mergeCell ref="A24:B24"/>
    <mergeCell ref="D24:F24"/>
    <mergeCell ref="A5:C5"/>
    <mergeCell ref="B7:C7"/>
    <mergeCell ref="A1:C1"/>
    <mergeCell ref="D1:F1"/>
    <mergeCell ref="A2:B2"/>
    <mergeCell ref="D2:F2"/>
    <mergeCell ref="A3:B3"/>
    <mergeCell ref="D3:F3"/>
  </mergeCells>
  <phoneticPr fontId="46" type="noConversion"/>
  <printOptions horizontalCentered="1" headings="1"/>
  <pageMargins left="0.39370078740157483" right="0.39370078740157483" top="0.98425196850393704" bottom="0.98425196850393704" header="0.51181102362204722" footer="0.51181102362204722"/>
  <pageSetup paperSize="9" scale="75" orientation="landscape" r:id="rId1"/>
  <headerFooter alignWithMargins="0">
    <oddFooter>&amp;C&amp;F&amp;RBlatt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85"/>
  <sheetViews>
    <sheetView view="pageBreakPreview" zoomScale="175" zoomScaleNormal="115" zoomScaleSheetLayoutView="175" workbookViewId="0">
      <selection activeCell="G68" sqref="G68"/>
    </sheetView>
  </sheetViews>
  <sheetFormatPr baseColWidth="10" defaultColWidth="11.42578125" defaultRowHeight="9"/>
  <cols>
    <col min="1" max="1" width="8.7109375" style="2" customWidth="1"/>
    <col min="2" max="2" width="0.42578125" style="2" customWidth="1"/>
    <col min="3" max="12" width="6.7109375" style="2" customWidth="1"/>
    <col min="13" max="16384" width="11.42578125" style="2"/>
  </cols>
  <sheetData>
    <row r="1" spans="1:13" ht="13.5">
      <c r="A1" s="383">
        <f>'2.1.1'!A1:G1+1</f>
        <v>5</v>
      </c>
      <c r="B1" s="383"/>
      <c r="C1" s="383"/>
      <c r="D1" s="383"/>
      <c r="E1" s="383"/>
      <c r="F1" s="383"/>
      <c r="G1" s="383"/>
      <c r="H1" s="383"/>
      <c r="I1" s="383"/>
      <c r="J1" s="383"/>
      <c r="K1" s="383"/>
      <c r="L1" s="383"/>
      <c r="M1" s="58" t="s">
        <v>108</v>
      </c>
    </row>
    <row r="2" spans="1:13" ht="6" customHeight="1">
      <c r="C2" s="209"/>
      <c r="D2" s="209"/>
      <c r="E2" s="209"/>
      <c r="F2" s="209"/>
      <c r="G2" s="209"/>
    </row>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2.6" customHeight="1">
      <c r="A5" s="13" t="s">
        <v>8</v>
      </c>
      <c r="B5" s="39" t="s">
        <v>9</v>
      </c>
      <c r="C5" s="14"/>
      <c r="D5" s="14"/>
      <c r="E5" s="14"/>
      <c r="F5" s="14"/>
      <c r="G5" s="14"/>
    </row>
    <row r="6" spans="1:13" s="1" customFormat="1" ht="5.25" customHeight="1">
      <c r="A6" s="13"/>
      <c r="B6" s="39"/>
      <c r="C6" s="14"/>
      <c r="D6" s="14"/>
      <c r="E6" s="14"/>
      <c r="F6" s="14"/>
      <c r="G6" s="14"/>
    </row>
    <row r="7" spans="1:13" s="3" customFormat="1" ht="5.25" customHeight="1">
      <c r="A7" s="40"/>
      <c r="B7" s="39"/>
      <c r="C7" s="41"/>
      <c r="D7" s="41"/>
      <c r="E7" s="41"/>
      <c r="F7" s="41"/>
      <c r="G7" s="41"/>
    </row>
    <row r="8" spans="1:13" ht="7.5" customHeight="1"/>
    <row r="9" spans="1:13" ht="12.75" customHeight="1">
      <c r="A9" s="16" t="s">
        <v>77</v>
      </c>
      <c r="B9" s="27"/>
      <c r="C9" s="384" t="s">
        <v>78</v>
      </c>
      <c r="D9" s="385"/>
      <c r="E9" s="385"/>
      <c r="F9" s="385"/>
      <c r="G9" s="386"/>
      <c r="H9" s="384" t="s">
        <v>142</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1</v>
      </c>
      <c r="D12" s="42">
        <f t="shared" ref="D12:E12" si="1">SUM(D30,D48,D66)</f>
        <v>1</v>
      </c>
      <c r="E12" s="42">
        <f t="shared" si="1"/>
        <v>1</v>
      </c>
      <c r="F12" s="42">
        <f t="shared" ref="F12:G12" si="2">SUM(F30,F48,F66)</f>
        <v>1</v>
      </c>
      <c r="G12" s="44">
        <f t="shared" si="2"/>
        <v>1</v>
      </c>
      <c r="H12" s="153">
        <f>IF('AW Schulen'!$D24=0,"x",C12/'AW Schulen'!$D24)</f>
        <v>1</v>
      </c>
      <c r="I12" s="153">
        <f>IF('AW Schulen'!$G24=0,"x",D12/'AW Schulen'!$G24)</f>
        <v>1</v>
      </c>
      <c r="J12" s="153">
        <f>IF('AW Schulen'!$J24=0,"x",E12/'AW Schulen'!$J24)</f>
        <v>1</v>
      </c>
      <c r="K12" s="153">
        <f>IF('AW Schulen'!$M24=0,"x",F12/'AW Schulen'!$M24)</f>
        <v>1</v>
      </c>
      <c r="L12" s="154">
        <f>IF('AW Schulen'!$P24=0,"x",G12/'AW Schulen'!$P24)</f>
        <v>1</v>
      </c>
    </row>
    <row r="13" spans="1:13" ht="9" customHeight="1">
      <c r="A13" s="21" t="s">
        <v>81</v>
      </c>
      <c r="B13" s="120"/>
      <c r="C13" s="42">
        <f t="shared" ref="C13:C28" si="3">SUM(C31,C49,C67)</f>
        <v>1</v>
      </c>
      <c r="D13" s="42">
        <f t="shared" ref="D13:E13" si="4">SUM(D31,D49,D67)</f>
        <v>1</v>
      </c>
      <c r="E13" s="42">
        <f t="shared" si="4"/>
        <v>1</v>
      </c>
      <c r="F13" s="42" t="e">
        <f t="shared" ref="F13:G13" si="5">SUM(F31,F49,F67)</f>
        <v>#VALUE!</v>
      </c>
      <c r="G13" s="44">
        <f t="shared" si="5"/>
        <v>1</v>
      </c>
      <c r="H13" s="153">
        <f>IF('AW Schulen'!$D25=0,"x",C13/'AW Schulen'!$D25)</f>
        <v>1</v>
      </c>
      <c r="I13" s="153">
        <f>IF('AW Schulen'!$G25=0,"x",D13/'AW Schulen'!$G25)</f>
        <v>1</v>
      </c>
      <c r="J13" s="153">
        <f>IF('AW Schulen'!$J25=0,"x",E13/'AW Schulen'!$J25)</f>
        <v>1</v>
      </c>
      <c r="K13" s="153" t="e">
        <f>IF('AW Schulen'!$M25=0,"x",F13/'AW Schulen'!$M25)</f>
        <v>#VALUE!</v>
      </c>
      <c r="L13" s="154">
        <f>IF('AW Schulen'!$P25=0,"x",G13/'AW Schulen'!$P25)</f>
        <v>1</v>
      </c>
    </row>
    <row r="14" spans="1:13" ht="9" customHeight="1">
      <c r="A14" s="21" t="s">
        <v>82</v>
      </c>
      <c r="B14" s="120"/>
      <c r="C14" s="42">
        <f t="shared" si="3"/>
        <v>399</v>
      </c>
      <c r="D14" s="42">
        <f t="shared" ref="D14:E14" si="6">SUM(D32,D50,D68)</f>
        <v>399</v>
      </c>
      <c r="E14" s="42">
        <f t="shared" si="6"/>
        <v>389</v>
      </c>
      <c r="F14" s="42">
        <f t="shared" ref="F14:G14" si="7">SUM(F32,F50,F68)</f>
        <v>416</v>
      </c>
      <c r="G14" s="44">
        <f t="shared" si="7"/>
        <v>403</v>
      </c>
      <c r="H14" s="153">
        <f>IF('AW Schulen'!$D26=0,"x",C14/'AW Schulen'!$D26)</f>
        <v>0.9779411764705882</v>
      </c>
      <c r="I14" s="153">
        <f>IF('AW Schulen'!$G26=0,"x",D14/'AW Schulen'!$G26)</f>
        <v>0.98762376237623761</v>
      </c>
      <c r="J14" s="153">
        <f>IF('AW Schulen'!$J26=0,"x",E14/'AW Schulen'!$J26)</f>
        <v>0.91314553990610325</v>
      </c>
      <c r="K14" s="153">
        <f>IF('AW Schulen'!$M26=0,"x",F14/'AW Schulen'!$M26)</f>
        <v>0.98578199052132698</v>
      </c>
      <c r="L14" s="154">
        <f>IF('AW Schulen'!$P26=0,"x",G14/'AW Schulen'!$P26)</f>
        <v>0.95497630331753558</v>
      </c>
    </row>
    <row r="15" spans="1:13" ht="9" customHeight="1">
      <c r="A15" s="21" t="s">
        <v>83</v>
      </c>
      <c r="B15" s="120"/>
      <c r="C15" s="42">
        <f t="shared" si="3"/>
        <v>241</v>
      </c>
      <c r="D15" s="42">
        <f t="shared" ref="D15:E15" si="8">SUM(D33,D51,D69)</f>
        <v>246</v>
      </c>
      <c r="E15" s="42">
        <f t="shared" si="8"/>
        <v>248</v>
      </c>
      <c r="F15" s="42">
        <f t="shared" ref="F15:G15" si="9">SUM(F33,F51,F69)</f>
        <v>245</v>
      </c>
      <c r="G15" s="44">
        <f t="shared" si="9"/>
        <v>249</v>
      </c>
      <c r="H15" s="153">
        <f>IF('AW Schulen'!$D27=0,"x",C15/'AW Schulen'!$D27)</f>
        <v>0.48588709677419356</v>
      </c>
      <c r="I15" s="153">
        <f>IF('AW Schulen'!$G27=0,"x",D15/'AW Schulen'!$G27)</f>
        <v>0.49496981891348091</v>
      </c>
      <c r="J15" s="153">
        <f>IF('AW Schulen'!$J27=0,"x",E15/'AW Schulen'!$J27)</f>
        <v>0.5</v>
      </c>
      <c r="K15" s="153">
        <f>IF('AW Schulen'!$M27=0,"x",F15/'AW Schulen'!$M27)</f>
        <v>0.49494949494949497</v>
      </c>
      <c r="L15" s="154">
        <f>IF('AW Schulen'!$P27=0,"x",G15/'AW Schulen'!$P27)</f>
        <v>0.50303030303030305</v>
      </c>
    </row>
    <row r="16" spans="1:13" ht="9" customHeight="1">
      <c r="A16" s="21" t="s">
        <v>84</v>
      </c>
      <c r="B16" s="120"/>
      <c r="C16" s="149">
        <f t="shared" si="3"/>
        <v>0</v>
      </c>
      <c r="D16" s="149">
        <f t="shared" ref="D16:E16" si="10">SUM(D34,D52,D70)</f>
        <v>0</v>
      </c>
      <c r="E16" s="149">
        <f t="shared" si="10"/>
        <v>0</v>
      </c>
      <c r="F16" s="149">
        <f t="shared" ref="F16:G16" si="11">SUM(F34,F52,F70)</f>
        <v>0</v>
      </c>
      <c r="G16" s="150">
        <f t="shared" si="11"/>
        <v>0</v>
      </c>
      <c r="H16" s="153" t="str">
        <f>IF('AW Schulen'!$D28=0,"x",C16/'AW Schulen'!$D28)</f>
        <v>x</v>
      </c>
      <c r="I16" s="153" t="str">
        <f>IF('AW Schulen'!$G28=0,"x",D16/'AW Schulen'!$G28)</f>
        <v>x</v>
      </c>
      <c r="J16" s="153" t="str">
        <f>IF('AW Schulen'!$J28=0,"x",E16/'AW Schulen'!$J28)</f>
        <v>x</v>
      </c>
      <c r="K16" s="153" t="str">
        <f>IF('AW Schulen'!$M28=0,"x",F16/'AW Schulen'!$M28)</f>
        <v>x</v>
      </c>
      <c r="L16" s="154" t="str">
        <f>IF('AW Schulen'!$P28=0,"x",G16/'AW Schulen'!$P28)</f>
        <v>x</v>
      </c>
    </row>
    <row r="17" spans="1:12" ht="9" customHeight="1">
      <c r="A17" s="21" t="s">
        <v>85</v>
      </c>
      <c r="B17" s="120"/>
      <c r="C17" s="42">
        <f t="shared" si="3"/>
        <v>1</v>
      </c>
      <c r="D17" s="42">
        <f t="shared" ref="D17:E17" si="12">SUM(D35,D53,D71)</f>
        <v>4</v>
      </c>
      <c r="E17" s="42">
        <f t="shared" si="12"/>
        <v>4</v>
      </c>
      <c r="F17" s="42">
        <f t="shared" ref="F17:G17" si="13">SUM(F35,F53,F71)</f>
        <v>5</v>
      </c>
      <c r="G17" s="44">
        <f t="shared" si="13"/>
        <v>5</v>
      </c>
      <c r="H17" s="182">
        <v>0</v>
      </c>
      <c r="I17" s="182">
        <v>0</v>
      </c>
      <c r="J17" s="182">
        <v>0</v>
      </c>
      <c r="K17" s="153">
        <f>IF('AW Schulen'!$M29=0,"x",F17/'AW Schulen'!$M29)</f>
        <v>1</v>
      </c>
      <c r="L17" s="154">
        <f>IF('AW Schulen'!$P29=0,"x",G17/'AW Schulen'!$P29)</f>
        <v>1</v>
      </c>
    </row>
    <row r="18" spans="1:12" ht="9" customHeight="1">
      <c r="A18" s="21" t="s">
        <v>86</v>
      </c>
      <c r="B18" s="120"/>
      <c r="C18" s="42">
        <f t="shared" si="3"/>
        <v>109</v>
      </c>
      <c r="D18" s="42">
        <f t="shared" ref="D18:E18" si="14">SUM(D36,D54,D72)</f>
        <v>113</v>
      </c>
      <c r="E18" s="42">
        <f t="shared" si="14"/>
        <v>110</v>
      </c>
      <c r="F18" s="42">
        <f t="shared" ref="F18:G18" si="15">SUM(F36,F54,F72)</f>
        <v>112</v>
      </c>
      <c r="G18" s="44">
        <f t="shared" si="15"/>
        <v>113</v>
      </c>
      <c r="H18" s="182">
        <v>0</v>
      </c>
      <c r="I18" s="182">
        <v>0</v>
      </c>
      <c r="J18" s="182">
        <v>0</v>
      </c>
      <c r="K18" s="182">
        <v>0</v>
      </c>
      <c r="L18" s="196">
        <v>0</v>
      </c>
    </row>
    <row r="19" spans="1:12" ht="9" customHeight="1">
      <c r="A19" s="21" t="s">
        <v>87</v>
      </c>
      <c r="B19" s="120"/>
      <c r="C19" s="149">
        <f t="shared" si="3"/>
        <v>0</v>
      </c>
      <c r="D19" s="149">
        <f t="shared" ref="D19:E19" si="16">SUM(D37,D55,D73)</f>
        <v>0</v>
      </c>
      <c r="E19" s="149">
        <f t="shared" si="16"/>
        <v>0</v>
      </c>
      <c r="F19" s="149">
        <f t="shared" ref="F19:G19" si="17">SUM(F37,F55,F73)</f>
        <v>0</v>
      </c>
      <c r="G19" s="150">
        <f t="shared" si="17"/>
        <v>0</v>
      </c>
      <c r="H19" s="153" t="str">
        <f>IF('AW Schulen'!$D31=0,"x",C19/'AW Schulen'!$D31)</f>
        <v>x</v>
      </c>
      <c r="I19" s="153" t="str">
        <f>IF('AW Schulen'!$G31=0,"x",D19/'AW Schulen'!$G31)</f>
        <v>x</v>
      </c>
      <c r="J19" s="153" t="str">
        <f>IF('AW Schulen'!$J31=0,"x",E19/'AW Schulen'!$J31)</f>
        <v>x</v>
      </c>
      <c r="K19" s="153" t="str">
        <f>IF('AW Schulen'!$M31=0,"x",F19/'AW Schulen'!$M31)</f>
        <v>x</v>
      </c>
      <c r="L19" s="154" t="str">
        <f>IF('AW Schulen'!$P31=0,"x",G19/'AW Schulen'!$P31)</f>
        <v>x</v>
      </c>
    </row>
    <row r="20" spans="1:12" ht="9" customHeight="1">
      <c r="A20" s="21" t="s">
        <v>88</v>
      </c>
      <c r="B20" s="120"/>
      <c r="C20" s="149">
        <f t="shared" si="3"/>
        <v>0</v>
      </c>
      <c r="D20" s="149">
        <f t="shared" ref="D20:E20" si="18">SUM(D38,D56,D74)</f>
        <v>0</v>
      </c>
      <c r="E20" s="149">
        <f t="shared" si="18"/>
        <v>0</v>
      </c>
      <c r="F20" s="149">
        <f t="shared" ref="F20:G20" si="19">SUM(F38,F56,F74)</f>
        <v>0</v>
      </c>
      <c r="G20" s="150">
        <f t="shared" si="19"/>
        <v>0</v>
      </c>
      <c r="H20" s="153" t="str">
        <f>IF('AW Schulen'!$D32=0,"x",C20/'AW Schulen'!$D32)</f>
        <v>x</v>
      </c>
      <c r="I20" s="153" t="str">
        <f>IF('AW Schulen'!$G32=0,"x",D20/'AW Schulen'!$G32)</f>
        <v>x</v>
      </c>
      <c r="J20" s="153" t="str">
        <f>IF('AW Schulen'!$G32=0,"x",E20/'AW Schulen'!$G32)</f>
        <v>x</v>
      </c>
      <c r="K20" s="153" t="str">
        <f>IF('AW Schulen'!$G32=0,"x",F20/'AW Schulen'!$G32)</f>
        <v>x</v>
      </c>
      <c r="L20" s="154" t="str">
        <f>IF('AW Schulen'!$G32=0,"x",G20/'AW Schulen'!$G32)</f>
        <v>x</v>
      </c>
    </row>
    <row r="21" spans="1:12" ht="9" customHeight="1">
      <c r="A21" s="21" t="s">
        <v>89</v>
      </c>
      <c r="B21" s="120"/>
      <c r="C21" s="149">
        <f t="shared" si="3"/>
        <v>0</v>
      </c>
      <c r="D21" s="149">
        <f t="shared" ref="D21:E21" si="20">SUM(D39,D57,D75)</f>
        <v>0</v>
      </c>
      <c r="E21" s="149">
        <f t="shared" si="20"/>
        <v>0</v>
      </c>
      <c r="F21" s="149">
        <f t="shared" ref="F21:G21" si="21">SUM(F39,F57,F75)</f>
        <v>0</v>
      </c>
      <c r="G21" s="150">
        <f t="shared" si="21"/>
        <v>0</v>
      </c>
      <c r="H21" s="153" t="str">
        <f>IF('AW Schulen'!$D33=0,"x",C21/'AW Schulen'!$D33)</f>
        <v>x</v>
      </c>
      <c r="I21" s="153" t="str">
        <f>IF('AW Schulen'!$G33=0,"x",D21/'AW Schulen'!$G33)</f>
        <v>x</v>
      </c>
      <c r="J21" s="153" t="str">
        <f>IF('AW Schulen'!$J33=0,"x",E21/'AW Schulen'!$J33)</f>
        <v>x</v>
      </c>
      <c r="K21" s="153" t="str">
        <f>IF('AW Schulen'!$M33=0,"x",F21/'AW Schulen'!$M33)</f>
        <v>x</v>
      </c>
      <c r="L21" s="154" t="str">
        <f>IF('AW Schulen'!$P33=0,"x",G21/'AW Schulen'!$P33)</f>
        <v>x</v>
      </c>
    </row>
    <row r="22" spans="1:12" ht="9" customHeight="1">
      <c r="A22" s="21" t="s">
        <v>90</v>
      </c>
      <c r="B22" s="120"/>
      <c r="C22" s="149">
        <f t="shared" si="3"/>
        <v>0</v>
      </c>
      <c r="D22" s="149">
        <f t="shared" ref="D22:E22" si="22">SUM(D40,D58,D76)</f>
        <v>0</v>
      </c>
      <c r="E22" s="149">
        <f t="shared" si="22"/>
        <v>0</v>
      </c>
      <c r="F22" s="149">
        <f t="shared" ref="F22:G22" si="23">SUM(F40,F58,F76)</f>
        <v>0</v>
      </c>
      <c r="G22" s="150">
        <f t="shared" si="23"/>
        <v>0</v>
      </c>
      <c r="H22" s="153" t="str">
        <f>IF('AW Schulen'!$D34=0,"x",C22/'AW Schulen'!$D34)</f>
        <v>x</v>
      </c>
      <c r="I22" s="153" t="str">
        <f>IF('AW Schulen'!$G34=0,"x",D22/'AW Schulen'!$G34)</f>
        <v>x</v>
      </c>
      <c r="J22" s="153" t="str">
        <f>IF('AW Schulen'!$J34=0,"x",E22/'AW Schulen'!$J34)</f>
        <v>x</v>
      </c>
      <c r="K22" s="153" t="str">
        <f>IF('AW Schulen'!$M34=0,"x",F22/'AW Schulen'!$M34)</f>
        <v>x</v>
      </c>
      <c r="L22" s="154" t="str">
        <f>IF('AW Schulen'!$P34=0,"x",G22/'AW Schulen'!$P34)</f>
        <v>x</v>
      </c>
    </row>
    <row r="23" spans="1:12" ht="9" customHeight="1">
      <c r="A23" s="21" t="s">
        <v>91</v>
      </c>
      <c r="B23" s="120"/>
      <c r="C23" s="149">
        <f t="shared" si="3"/>
        <v>0</v>
      </c>
      <c r="D23" s="149">
        <f t="shared" ref="D23:E23" si="24">SUM(D41,D59,D77)</f>
        <v>0</v>
      </c>
      <c r="E23" s="149">
        <f t="shared" si="24"/>
        <v>0</v>
      </c>
      <c r="F23" s="149">
        <f t="shared" ref="F23:G23" si="25">SUM(F41,F59,F77)</f>
        <v>0</v>
      </c>
      <c r="G23" s="150">
        <f t="shared" si="25"/>
        <v>0</v>
      </c>
      <c r="H23" s="153" t="str">
        <f>IF('AW Schulen'!$D35=0,"x",C23/'AW Schulen'!$D35)</f>
        <v>x</v>
      </c>
      <c r="I23" s="153" t="str">
        <f>IF('AW Schulen'!$G35=0,"x",D23/'AW Schulen'!$G35)</f>
        <v>x</v>
      </c>
      <c r="J23" s="153" t="str">
        <f>IF('AW Schulen'!$J35=0,"x",E23/'AW Schulen'!$J35)</f>
        <v>x</v>
      </c>
      <c r="K23" s="153" t="str">
        <f>IF('AW Schulen'!$M35=0,"x",F23/'AW Schulen'!$M35)</f>
        <v>x</v>
      </c>
      <c r="L23" s="154" t="str">
        <f>IF('AW Schulen'!$P35=0,"x",G23/'AW Schulen'!$P35)</f>
        <v>x</v>
      </c>
    </row>
    <row r="24" spans="1:12" ht="9" customHeight="1">
      <c r="A24" s="21" t="s">
        <v>92</v>
      </c>
      <c r="B24" s="120"/>
      <c r="C24" s="149">
        <f t="shared" si="3"/>
        <v>0</v>
      </c>
      <c r="D24" s="149">
        <f t="shared" ref="D24:E24" si="26">SUM(D42,D60,D78)</f>
        <v>0</v>
      </c>
      <c r="E24" s="149">
        <f t="shared" si="26"/>
        <v>0</v>
      </c>
      <c r="F24" s="149">
        <f t="shared" ref="F24:G24" si="27">SUM(F42,F60,F78)</f>
        <v>0</v>
      </c>
      <c r="G24" s="150">
        <f t="shared" si="27"/>
        <v>0</v>
      </c>
      <c r="H24" s="153" t="str">
        <f>IF('AW Schulen'!$D36=0,"x",C24/'AW Schulen'!$D36)</f>
        <v>x</v>
      </c>
      <c r="I24" s="153" t="str">
        <f>IF('AW Schulen'!$G36=0,"x",D24/'AW Schulen'!$G36)</f>
        <v>x</v>
      </c>
      <c r="J24" s="153" t="str">
        <f>IF('AW Schulen'!$J36=0,"x",E24/'AW Schulen'!$J36)</f>
        <v>x</v>
      </c>
      <c r="K24" s="153" t="str">
        <f>IF('AW Schulen'!$M36=0,"x",F24/'AW Schulen'!$M36)</f>
        <v>x</v>
      </c>
      <c r="L24" s="154" t="str">
        <f>IF('AW Schulen'!$P36=0,"x",G24/'AW Schulen'!$P36)</f>
        <v>x</v>
      </c>
    </row>
    <row r="25" spans="1:12" ht="9" customHeight="1">
      <c r="A25" s="21" t="s">
        <v>93</v>
      </c>
      <c r="B25" s="120"/>
      <c r="C25" s="149">
        <f t="shared" si="3"/>
        <v>0</v>
      </c>
      <c r="D25" s="149">
        <f t="shared" ref="D25:E25" si="28">SUM(D43,D61,D79)</f>
        <v>0</v>
      </c>
      <c r="E25" s="149">
        <f t="shared" si="28"/>
        <v>0</v>
      </c>
      <c r="F25" s="149">
        <f t="shared" ref="F25:G25" si="29">SUM(F43,F61,F79)</f>
        <v>0</v>
      </c>
      <c r="G25" s="150">
        <f t="shared" si="29"/>
        <v>0</v>
      </c>
      <c r="H25" s="153" t="str">
        <f>IF('AW Schulen'!$D37=0,"x",C25/'AW Schulen'!$D37)</f>
        <v>x</v>
      </c>
      <c r="I25" s="153" t="str">
        <f>IF('AW Schulen'!$G37=0,"x",D25/'AW Schulen'!$G37)</f>
        <v>x</v>
      </c>
      <c r="J25" s="153" t="str">
        <f>IF('AW Schulen'!$G37=0,"x",E25/'AW Schulen'!$G37)</f>
        <v>x</v>
      </c>
      <c r="K25" s="153" t="str">
        <f>IF('AW Schulen'!$G37=0,"x",F25/'AW Schulen'!$G37)</f>
        <v>x</v>
      </c>
      <c r="L25" s="154" t="str">
        <f>IF('AW Schulen'!$G37=0,"x",G25/'AW Schulen'!$G37)</f>
        <v>x</v>
      </c>
    </row>
    <row r="26" spans="1:12" ht="9" customHeight="1">
      <c r="A26" s="21" t="s">
        <v>94</v>
      </c>
      <c r="B26" s="120"/>
      <c r="C26" s="149">
        <f t="shared" si="3"/>
        <v>0</v>
      </c>
      <c r="D26" s="149">
        <f t="shared" ref="D26:E26" si="30">SUM(D44,D62,D80)</f>
        <v>0</v>
      </c>
      <c r="E26" s="149">
        <f t="shared" si="30"/>
        <v>0</v>
      </c>
      <c r="F26" s="149">
        <f t="shared" ref="F26:G26" si="31">SUM(F44,F62,F80)</f>
        <v>0</v>
      </c>
      <c r="G26" s="150">
        <f t="shared" si="31"/>
        <v>0</v>
      </c>
      <c r="H26" s="153" t="str">
        <f>IF('AW Schulen'!$D38=0,"x",C26/'AW Schulen'!$D38)</f>
        <v>x</v>
      </c>
      <c r="I26" s="153" t="str">
        <f>IF('AW Schulen'!$G38=0,"x",D26/'AW Schulen'!$G38)</f>
        <v>x</v>
      </c>
      <c r="J26" s="153" t="str">
        <f>IF('AW Schulen'!$J38=0,"x",E26/'AW Schulen'!$J38)</f>
        <v>x</v>
      </c>
      <c r="K26" s="153" t="str">
        <f>IF('AW Schulen'!$M38=0,"x",F26/'AW Schulen'!$M38)</f>
        <v>x</v>
      </c>
      <c r="L26" s="154" t="str">
        <f>IF('AW Schulen'!$P38=0,"x",G26/'AW Schulen'!$P38)</f>
        <v>x</v>
      </c>
    </row>
    <row r="27" spans="1:12" ht="9" customHeight="1">
      <c r="A27" s="21" t="s">
        <v>95</v>
      </c>
      <c r="B27" s="120"/>
      <c r="C27" s="149">
        <f t="shared" si="3"/>
        <v>0</v>
      </c>
      <c r="D27" s="149">
        <f t="shared" ref="D27:E27" si="32">SUM(D45,D63,D81)</f>
        <v>0</v>
      </c>
      <c r="E27" s="149">
        <f t="shared" si="32"/>
        <v>0</v>
      </c>
      <c r="F27" s="149">
        <f t="shared" ref="F27:G27" si="33">SUM(F45,F63,F81)</f>
        <v>0</v>
      </c>
      <c r="G27" s="150">
        <f t="shared" si="33"/>
        <v>0</v>
      </c>
      <c r="H27" s="153" t="str">
        <f>IF('AW Schulen'!$D39=0,"x",C27/'AW Schulen'!$D39)</f>
        <v>x</v>
      </c>
      <c r="I27" s="153" t="str">
        <f>IF('AW Schulen'!$G39=0,"x",D27/'AW Schulen'!$G39)</f>
        <v>x</v>
      </c>
      <c r="J27" s="153" t="str">
        <f>IF('AW Schulen'!$J39=0,"x",E27/'AW Schulen'!$J39)</f>
        <v>x</v>
      </c>
      <c r="K27" s="153" t="str">
        <f>IF('AW Schulen'!$M39=0,"x",F27/'AW Schulen'!$M39)</f>
        <v>x</v>
      </c>
      <c r="L27" s="154" t="str">
        <f>IF('AW Schulen'!$P39=0,"x",G27/'AW Schulen'!$P39)</f>
        <v>x</v>
      </c>
    </row>
    <row r="28" spans="1:12" ht="9" customHeight="1">
      <c r="A28" s="21" t="s">
        <v>96</v>
      </c>
      <c r="B28" s="120"/>
      <c r="C28" s="42">
        <f t="shared" si="3"/>
        <v>752</v>
      </c>
      <c r="D28" s="42">
        <f t="shared" ref="D28:E28" si="34">SUM(D46,D64,D82)</f>
        <v>764</v>
      </c>
      <c r="E28" s="42">
        <f t="shared" si="34"/>
        <v>753</v>
      </c>
      <c r="F28" s="42">
        <f t="shared" ref="F28:G28" si="35">SUM(F46,F64,F82)</f>
        <v>780</v>
      </c>
      <c r="G28" s="44">
        <f t="shared" si="35"/>
        <v>772</v>
      </c>
      <c r="H28" s="153">
        <f>IF('AW Schulen'!$D40=0,"x",C28/'AW Schulen'!$D40)</f>
        <v>0.73080660835762878</v>
      </c>
      <c r="I28" s="153">
        <f>IF('AW Schulen'!$G40=0,"x",D28/'AW Schulen'!$G40)</f>
        <v>0.74319066147859925</v>
      </c>
      <c r="J28" s="153">
        <f>IF('AW Schulen'!$J40=0,"x",E28/'AW Schulen'!$J40)</f>
        <v>0.71988527724665397</v>
      </c>
      <c r="K28" s="153">
        <f>IF('AW Schulen'!$M40=0,"x",F28/'AW Schulen'!$M40)</f>
        <v>0.74927953890489918</v>
      </c>
      <c r="L28" s="154">
        <f>IF('AW Schulen'!$P40=0,"x",G28/'AW Schulen'!$P40)</f>
        <v>0.74230769230769234</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'2.2.2'!C30+'2.3.2'!C30</f>
        <v>0</v>
      </c>
      <c r="D30" s="23">
        <f>'2.2.2'!D30+'2.3.2'!D30</f>
        <v>0</v>
      </c>
      <c r="E30" s="23">
        <f>'2.2.2'!E30+'2.3.2'!E30</f>
        <v>0</v>
      </c>
      <c r="F30" s="23">
        <f>'2.2.2'!F30+'2.3.2'!F30</f>
        <v>0</v>
      </c>
      <c r="G30" s="34">
        <f>'2.2.2'!G30+'2.3.2'!G30</f>
        <v>0</v>
      </c>
      <c r="H30" s="155">
        <f>IF('AW Schulen'!$D24=0,"x",C30/'AW Schulen'!$D24)</f>
        <v>0</v>
      </c>
      <c r="I30" s="155">
        <f>IF('AW Schulen'!$G24=0,"x",D30/'AW Schulen'!$G24)</f>
        <v>0</v>
      </c>
      <c r="J30" s="155">
        <f>IF('AW Schulen'!$J24=0,"x",E30/'AW Schulen'!$J24)</f>
        <v>0</v>
      </c>
      <c r="K30" s="155">
        <f>IF('AW Schulen'!$M24=0,"x",F30/'AW Schulen'!$M24)</f>
        <v>0</v>
      </c>
      <c r="L30" s="156">
        <f>IF('AW Schulen'!$P24=0,"x",G30/'AW Schulen'!$P24)</f>
        <v>0</v>
      </c>
    </row>
    <row r="31" spans="1:12" ht="9" customHeight="1">
      <c r="A31" s="21" t="s">
        <v>81</v>
      </c>
      <c r="B31" s="120"/>
      <c r="C31" s="23">
        <f>'2.2.2'!C31+'2.3.2'!C31</f>
        <v>0</v>
      </c>
      <c r="D31" s="23">
        <f>'2.2.2'!D31+'2.3.2'!D31</f>
        <v>0</v>
      </c>
      <c r="E31" s="23">
        <f>'2.2.2'!E31+'2.3.2'!E31</f>
        <v>0</v>
      </c>
      <c r="F31" s="23" t="e">
        <f>'2.2.2'!F31+'2.3.2'!F31</f>
        <v>#VALUE!</v>
      </c>
      <c r="G31" s="34">
        <f>'2.2.2'!G31+'2.3.2'!G31</f>
        <v>0</v>
      </c>
      <c r="H31" s="155">
        <f>IF('AW Schulen'!$D25=0,"x",C31/'AW Schulen'!$D25)</f>
        <v>0</v>
      </c>
      <c r="I31" s="155">
        <f>IF('AW Schulen'!$G25=0,"x",D31/'AW Schulen'!$G25)</f>
        <v>0</v>
      </c>
      <c r="J31" s="155">
        <f>IF('AW Schulen'!$J25=0,"x",E31/'AW Schulen'!$J25)</f>
        <v>0</v>
      </c>
      <c r="K31" s="155" t="e">
        <f>IF('AW Schulen'!$M25=0,"x",F31/'AW Schulen'!$M25)</f>
        <v>#VALUE!</v>
      </c>
      <c r="L31" s="156">
        <f>IF('AW Schulen'!$P25=0,"x",G31/'AW Schulen'!$P25)</f>
        <v>0</v>
      </c>
    </row>
    <row r="32" spans="1:12" ht="9" customHeight="1">
      <c r="A32" s="21" t="s">
        <v>82</v>
      </c>
      <c r="B32" s="120"/>
      <c r="C32" s="23">
        <f>'2.2.2'!C32+'2.3.2'!C32</f>
        <v>49</v>
      </c>
      <c r="D32" s="23">
        <f>'2.2.2'!D32+'2.3.2'!D32</f>
        <v>50</v>
      </c>
      <c r="E32" s="23">
        <f>'2.2.2'!E32+'2.3.2'!E32</f>
        <v>52</v>
      </c>
      <c r="F32" s="23">
        <f>'2.2.2'!F32+'2.3.2'!F32</f>
        <v>48</v>
      </c>
      <c r="G32" s="34">
        <f>'2.2.2'!G32+'2.3.2'!G32</f>
        <v>56</v>
      </c>
      <c r="H32" s="155">
        <f>IF('AW Schulen'!$D26=0,"x",C32/'AW Schulen'!$D26)</f>
        <v>0.12009803921568628</v>
      </c>
      <c r="I32" s="155">
        <f>IF('AW Schulen'!$G26=0,"x",D32/'AW Schulen'!$G26)</f>
        <v>0.12376237623762376</v>
      </c>
      <c r="J32" s="155">
        <f>IF('AW Schulen'!$J26=0,"x",E32/'AW Schulen'!$J26)</f>
        <v>0.12206572769953052</v>
      </c>
      <c r="K32" s="155">
        <f>IF('AW Schulen'!$M26=0,"x",F32/'AW Schulen'!$M26)</f>
        <v>0.11374407582938388</v>
      </c>
      <c r="L32" s="156">
        <f>IF('AW Schulen'!$P26=0,"x",G32/'AW Schulen'!$P26)</f>
        <v>0.13270142180094788</v>
      </c>
    </row>
    <row r="33" spans="1:12" ht="9" customHeight="1">
      <c r="A33" s="21" t="s">
        <v>83</v>
      </c>
      <c r="B33" s="120"/>
      <c r="C33" s="23">
        <f>'2.2.2'!C33+'2.3.2'!C33</f>
        <v>0</v>
      </c>
      <c r="D33" s="23">
        <f>'2.2.2'!D33+'2.3.2'!D33</f>
        <v>0</v>
      </c>
      <c r="E33" s="23">
        <f>'2.2.2'!E33+'2.3.2'!E33</f>
        <v>0</v>
      </c>
      <c r="F33" s="23">
        <f>'2.2.2'!F33+'2.3.2'!F33</f>
        <v>0</v>
      </c>
      <c r="G33" s="34">
        <f>'2.2.2'!G33+'2.3.2'!G33</f>
        <v>0</v>
      </c>
      <c r="H33" s="155">
        <f>IF('AW Schulen'!$D27=0,"x",C33/'AW Schulen'!$D27)</f>
        <v>0</v>
      </c>
      <c r="I33" s="155">
        <f>IF('AW Schulen'!$G27=0,"x",D33/'AW Schulen'!$G27)</f>
        <v>0</v>
      </c>
      <c r="J33" s="155">
        <f>IF('AW Schulen'!$J27=0,"x",E33/'AW Schulen'!$J27)</f>
        <v>0</v>
      </c>
      <c r="K33" s="155">
        <f>IF('AW Schulen'!$M27=0,"x",F33/'AW Schulen'!$M27)</f>
        <v>0</v>
      </c>
      <c r="L33" s="156">
        <f>IF('AW Schulen'!$P27=0,"x",G33/'AW Schulen'!$P27)</f>
        <v>0</v>
      </c>
    </row>
    <row r="34" spans="1:12" ht="9" customHeight="1">
      <c r="A34" s="21" t="s">
        <v>84</v>
      </c>
      <c r="B34" s="120"/>
      <c r="C34" s="151">
        <f>'2.2.2'!C34+'2.3.2'!C34</f>
        <v>0</v>
      </c>
      <c r="D34" s="151">
        <f>'2.2.2'!D34+'2.3.2'!D34</f>
        <v>0</v>
      </c>
      <c r="E34" s="151">
        <f>'2.2.2'!E34+'2.3.2'!E34</f>
        <v>0</v>
      </c>
      <c r="F34" s="151">
        <f>'2.2.2'!F34+'2.3.2'!F34</f>
        <v>0</v>
      </c>
      <c r="G34" s="152">
        <f>'2.2.2'!G34+'2.3.2'!G34</f>
        <v>0</v>
      </c>
      <c r="H34" s="155" t="str">
        <f>IF('AW Schulen'!$D28=0,"x",C34/'AW Schulen'!$D28)</f>
        <v>x</v>
      </c>
      <c r="I34" s="155" t="str">
        <f>IF('AW Schulen'!$G28=0,"x",D34/'AW Schulen'!$G28)</f>
        <v>x</v>
      </c>
      <c r="J34" s="155" t="str">
        <f>IF('AW Schulen'!$J28=0,"x",E34/'AW Schulen'!$J28)</f>
        <v>x</v>
      </c>
      <c r="K34" s="155" t="str">
        <f>IF('AW Schulen'!$M28=0,"x",F34/'AW Schulen'!$M28)</f>
        <v>x</v>
      </c>
      <c r="L34" s="156" t="str">
        <f>IF('AW Schulen'!$P28=0,"x",G34/'AW Schulen'!$P28)</f>
        <v>x</v>
      </c>
    </row>
    <row r="35" spans="1:12" ht="9" customHeight="1">
      <c r="A35" s="21" t="s">
        <v>85</v>
      </c>
      <c r="B35" s="120"/>
      <c r="C35" s="23">
        <f>'2.2.2'!C35+'2.3.2'!C35</f>
        <v>1</v>
      </c>
      <c r="D35" s="23">
        <f>'2.2.2'!D35+'2.3.2'!D35</f>
        <v>3</v>
      </c>
      <c r="E35" s="23">
        <f>'2.2.2'!E35+'2.3.2'!E35</f>
        <v>3</v>
      </c>
      <c r="F35" s="23">
        <f>'2.2.2'!F35+'2.3.2'!F35</f>
        <v>3</v>
      </c>
      <c r="G35" s="34">
        <f>'2.2.2'!G35+'2.3.2'!G35</f>
        <v>4</v>
      </c>
      <c r="H35" s="183">
        <v>0</v>
      </c>
      <c r="I35" s="183">
        <v>0</v>
      </c>
      <c r="J35" s="183">
        <v>0</v>
      </c>
      <c r="K35" s="155">
        <f>IF('AW Schulen'!$M29=0,"x",F35/'AW Schulen'!$M29)</f>
        <v>0.6</v>
      </c>
      <c r="L35" s="156">
        <f>IF('AW Schulen'!$P29=0,"x",G35/'AW Schulen'!$P29)</f>
        <v>0.8</v>
      </c>
    </row>
    <row r="36" spans="1:12" ht="9" customHeight="1">
      <c r="A36" s="21" t="s">
        <v>86</v>
      </c>
      <c r="B36" s="120"/>
      <c r="C36" s="23">
        <f>'2.2.2'!C36+'2.3.2'!C36</f>
        <v>3</v>
      </c>
      <c r="D36" s="23">
        <f>'2.2.2'!D36+'2.3.2'!D36</f>
        <v>3</v>
      </c>
      <c r="E36" s="23">
        <f>'2.2.2'!E36+'2.3.2'!E36</f>
        <v>3</v>
      </c>
      <c r="F36" s="23">
        <f>'2.2.2'!F36+'2.3.2'!F36</f>
        <v>4</v>
      </c>
      <c r="G36" s="34">
        <f>'2.2.2'!G36+'2.3.2'!G36</f>
        <v>5</v>
      </c>
      <c r="H36" s="183">
        <v>0</v>
      </c>
      <c r="I36" s="183">
        <v>0</v>
      </c>
      <c r="J36" s="183">
        <v>0</v>
      </c>
      <c r="K36" s="183">
        <v>0</v>
      </c>
      <c r="L36" s="197">
        <v>0</v>
      </c>
    </row>
    <row r="37" spans="1:12" ht="9" customHeight="1">
      <c r="A37" s="21" t="s">
        <v>87</v>
      </c>
      <c r="B37" s="120"/>
      <c r="C37" s="151">
        <f>'2.2.2'!C37+'2.3.2'!C37</f>
        <v>0</v>
      </c>
      <c r="D37" s="151">
        <f>'2.2.2'!D37+'2.3.2'!D37</f>
        <v>0</v>
      </c>
      <c r="E37" s="151">
        <f>'2.2.2'!E37+'2.3.2'!E37</f>
        <v>0</v>
      </c>
      <c r="F37" s="151">
        <f>'2.2.2'!F37+'2.3.2'!F37</f>
        <v>0</v>
      </c>
      <c r="G37" s="152">
        <f>'2.2.2'!G37+'2.3.2'!G37</f>
        <v>0</v>
      </c>
      <c r="H37" s="155" t="str">
        <f>IF('AW Schulen'!$D31=0,"x",C37/'AW Schulen'!$D31)</f>
        <v>x</v>
      </c>
      <c r="I37" s="155" t="str">
        <f>IF('AW Schulen'!$G31=0,"x",D37/'AW Schulen'!$G31)</f>
        <v>x</v>
      </c>
      <c r="J37" s="155" t="str">
        <f>IF('AW Schulen'!$J31=0,"x",E37/'AW Schulen'!$J31)</f>
        <v>x</v>
      </c>
      <c r="K37" s="155" t="str">
        <f>IF('AW Schulen'!$M31=0,"x",F37/'AW Schulen'!$M31)</f>
        <v>x</v>
      </c>
      <c r="L37" s="156" t="str">
        <f>IF('AW Schulen'!$P31=0,"x",G37/'AW Schulen'!$P31)</f>
        <v>x</v>
      </c>
    </row>
    <row r="38" spans="1:12" ht="9" customHeight="1">
      <c r="A38" s="21" t="s">
        <v>88</v>
      </c>
      <c r="B38" s="120"/>
      <c r="C38" s="151">
        <f>'2.2.2'!C38+'2.3.2'!C38</f>
        <v>0</v>
      </c>
      <c r="D38" s="151">
        <f>'2.2.2'!D38+'2.3.2'!D38</f>
        <v>0</v>
      </c>
      <c r="E38" s="151">
        <f>'2.2.2'!E38+'2.3.2'!E38</f>
        <v>0</v>
      </c>
      <c r="F38" s="151">
        <f>'2.2.2'!F38+'2.3.2'!F38</f>
        <v>0</v>
      </c>
      <c r="G38" s="152">
        <f>'2.2.2'!G38+'2.3.2'!G38</f>
        <v>0</v>
      </c>
      <c r="H38" s="155" t="str">
        <f>IF('AW Schulen'!$D32=0,"x",C38/'AW Schulen'!$D32)</f>
        <v>x</v>
      </c>
      <c r="I38" s="155" t="str">
        <f>IF('AW Schulen'!$G32=0,"x",D38/'AW Schulen'!$G32)</f>
        <v>x</v>
      </c>
      <c r="J38" s="155" t="str">
        <f>IF('AW Schulen'!$G32=0,"x",E38/'AW Schulen'!$G32)</f>
        <v>x</v>
      </c>
      <c r="K38" s="155" t="str">
        <f>IF('AW Schulen'!$G32=0,"x",F38/'AW Schulen'!$G32)</f>
        <v>x</v>
      </c>
      <c r="L38" s="156" t="str">
        <f>IF('AW Schulen'!$G32=0,"x",G38/'AW Schulen'!$G32)</f>
        <v>x</v>
      </c>
    </row>
    <row r="39" spans="1:12" ht="9" customHeight="1">
      <c r="A39" s="21" t="s">
        <v>89</v>
      </c>
      <c r="B39" s="120"/>
      <c r="C39" s="151">
        <f>'2.2.2'!C39+'2.3.2'!C39</f>
        <v>0</v>
      </c>
      <c r="D39" s="151">
        <f>'2.2.2'!D39+'2.3.2'!D39</f>
        <v>0</v>
      </c>
      <c r="E39" s="151">
        <f>'2.2.2'!E39+'2.3.2'!E39</f>
        <v>0</v>
      </c>
      <c r="F39" s="151">
        <f>'2.2.2'!F39+'2.3.2'!F39</f>
        <v>0</v>
      </c>
      <c r="G39" s="152">
        <f>'2.2.2'!G39+'2.3.2'!G39</f>
        <v>0</v>
      </c>
      <c r="H39" s="155" t="str">
        <f>IF('AW Schulen'!$D33=0,"x",C39/'AW Schulen'!$D33)</f>
        <v>x</v>
      </c>
      <c r="I39" s="155" t="str">
        <f>IF('AW Schulen'!$G33=0,"x",D39/'AW Schulen'!$G33)</f>
        <v>x</v>
      </c>
      <c r="J39" s="155" t="str">
        <f>IF('AW Schulen'!$J33=0,"x",E39/'AW Schulen'!$J33)</f>
        <v>x</v>
      </c>
      <c r="K39" s="155" t="str">
        <f>IF('AW Schulen'!$M33=0,"x",F39/'AW Schulen'!$M33)</f>
        <v>x</v>
      </c>
      <c r="L39" s="156" t="str">
        <f>IF('AW Schulen'!$P33=0,"x",G39/'AW Schulen'!$P33)</f>
        <v>x</v>
      </c>
    </row>
    <row r="40" spans="1:12" ht="9" customHeight="1">
      <c r="A40" s="21" t="s">
        <v>90</v>
      </c>
      <c r="B40" s="120"/>
      <c r="C40" s="151">
        <f>'2.2.2'!C40+'2.3.2'!C40</f>
        <v>0</v>
      </c>
      <c r="D40" s="151">
        <f>'2.2.2'!D40+'2.3.2'!D40</f>
        <v>0</v>
      </c>
      <c r="E40" s="151">
        <f>'2.2.2'!E40+'2.3.2'!E40</f>
        <v>0</v>
      </c>
      <c r="F40" s="151">
        <f>'2.2.2'!F40+'2.3.2'!F40</f>
        <v>0</v>
      </c>
      <c r="G40" s="152">
        <f>'2.2.2'!G40+'2.3.2'!G40</f>
        <v>0</v>
      </c>
      <c r="H40" s="155" t="str">
        <f>IF('AW Schulen'!$D34=0,"x",C40/'AW Schulen'!$D34)</f>
        <v>x</v>
      </c>
      <c r="I40" s="155" t="str">
        <f>IF('AW Schulen'!$G34=0,"x",D40/'AW Schulen'!$G34)</f>
        <v>x</v>
      </c>
      <c r="J40" s="155" t="str">
        <f>IF('AW Schulen'!$J34=0,"x",E40/'AW Schulen'!$J34)</f>
        <v>x</v>
      </c>
      <c r="K40" s="155" t="str">
        <f>IF('AW Schulen'!$M34=0,"x",F40/'AW Schulen'!$M34)</f>
        <v>x</v>
      </c>
      <c r="L40" s="156" t="str">
        <f>IF('AW Schulen'!$P34=0,"x",G40/'AW Schulen'!$P34)</f>
        <v>x</v>
      </c>
    </row>
    <row r="41" spans="1:12" ht="9" customHeight="1">
      <c r="A41" s="21" t="s">
        <v>91</v>
      </c>
      <c r="B41" s="120"/>
      <c r="C41" s="151">
        <f>'2.2.2'!C41+'2.3.2'!C41</f>
        <v>0</v>
      </c>
      <c r="D41" s="151">
        <f>'2.2.2'!D41+'2.3.2'!D41</f>
        <v>0</v>
      </c>
      <c r="E41" s="151">
        <f>'2.2.2'!E41+'2.3.2'!E41</f>
        <v>0</v>
      </c>
      <c r="F41" s="151">
        <f>'2.2.2'!F41+'2.3.2'!F41</f>
        <v>0</v>
      </c>
      <c r="G41" s="152">
        <f>'2.2.2'!G41+'2.3.2'!G41</f>
        <v>0</v>
      </c>
      <c r="H41" s="155" t="str">
        <f>IF('AW Schulen'!$D35=0,"x",C41/'AW Schulen'!$D35)</f>
        <v>x</v>
      </c>
      <c r="I41" s="155" t="str">
        <f>IF('AW Schulen'!$G35=0,"x",D41/'AW Schulen'!$G35)</f>
        <v>x</v>
      </c>
      <c r="J41" s="155" t="str">
        <f>IF('AW Schulen'!$J35=0,"x",E41/'AW Schulen'!$J35)</f>
        <v>x</v>
      </c>
      <c r="K41" s="155" t="str">
        <f>IF('AW Schulen'!$M35=0,"x",F41/'AW Schulen'!$M35)</f>
        <v>x</v>
      </c>
      <c r="L41" s="156" t="str">
        <f>IF('AW Schulen'!$P35=0,"x",G41/'AW Schulen'!$P35)</f>
        <v>x</v>
      </c>
    </row>
    <row r="42" spans="1:12" ht="9" customHeight="1">
      <c r="A42" s="21" t="s">
        <v>92</v>
      </c>
      <c r="B42" s="120"/>
      <c r="C42" s="151">
        <f>'2.2.2'!C42+'2.3.2'!C42</f>
        <v>0</v>
      </c>
      <c r="D42" s="151">
        <f>'2.2.2'!D42+'2.3.2'!D42</f>
        <v>0</v>
      </c>
      <c r="E42" s="151">
        <f>'2.2.2'!E42+'2.3.2'!E42</f>
        <v>0</v>
      </c>
      <c r="F42" s="151">
        <f>'2.2.2'!F42+'2.3.2'!F42</f>
        <v>0</v>
      </c>
      <c r="G42" s="152">
        <f>'2.2.2'!G42+'2.3.2'!G42</f>
        <v>0</v>
      </c>
      <c r="H42" s="155" t="str">
        <f>IF('AW Schulen'!$D36=0,"x",C42/'AW Schulen'!$D36)</f>
        <v>x</v>
      </c>
      <c r="I42" s="155" t="str">
        <f>IF('AW Schulen'!$G36=0,"x",D42/'AW Schulen'!$G36)</f>
        <v>x</v>
      </c>
      <c r="J42" s="155" t="str">
        <f>IF('AW Schulen'!$J36=0,"x",E42/'AW Schulen'!$J36)</f>
        <v>x</v>
      </c>
      <c r="K42" s="155" t="str">
        <f>IF('AW Schulen'!$M36=0,"x",F42/'AW Schulen'!$M36)</f>
        <v>x</v>
      </c>
      <c r="L42" s="156" t="str">
        <f>IF('AW Schulen'!$P36=0,"x",G42/'AW Schulen'!$P36)</f>
        <v>x</v>
      </c>
    </row>
    <row r="43" spans="1:12" ht="9" customHeight="1">
      <c r="A43" s="21" t="s">
        <v>93</v>
      </c>
      <c r="B43" s="120"/>
      <c r="C43" s="151">
        <f>'2.2.2'!C43+'2.3.2'!C43</f>
        <v>0</v>
      </c>
      <c r="D43" s="151">
        <f>'2.2.2'!D43+'2.3.2'!D43</f>
        <v>0</v>
      </c>
      <c r="E43" s="151">
        <f>'2.2.2'!E43+'2.3.2'!E43</f>
        <v>0</v>
      </c>
      <c r="F43" s="151">
        <f>'2.2.2'!F43+'2.3.2'!F43</f>
        <v>0</v>
      </c>
      <c r="G43" s="152">
        <f>'2.2.2'!G43+'2.3.2'!G43</f>
        <v>0</v>
      </c>
      <c r="H43" s="155" t="str">
        <f>IF('AW Schulen'!$D37=0,"x",C43/'AW Schulen'!$D37)</f>
        <v>x</v>
      </c>
      <c r="I43" s="155" t="str">
        <f>IF('AW Schulen'!$G37=0,"x",D43/'AW Schulen'!$G37)</f>
        <v>x</v>
      </c>
      <c r="J43" s="155" t="str">
        <f>IF('AW Schulen'!$G37=0,"x",E43/'AW Schulen'!$G37)</f>
        <v>x</v>
      </c>
      <c r="K43" s="155" t="str">
        <f>IF('AW Schulen'!$G37=0,"x",F43/'AW Schulen'!$G37)</f>
        <v>x</v>
      </c>
      <c r="L43" s="156" t="str">
        <f>IF('AW Schulen'!$G37=0,"x",G43/'AW Schulen'!$G37)</f>
        <v>x</v>
      </c>
    </row>
    <row r="44" spans="1:12" ht="9" customHeight="1">
      <c r="A44" s="21" t="s">
        <v>94</v>
      </c>
      <c r="B44" s="120"/>
      <c r="C44" s="151">
        <f>'2.2.2'!C44+'2.3.2'!C44</f>
        <v>0</v>
      </c>
      <c r="D44" s="151">
        <f>'2.2.2'!D44+'2.3.2'!D44</f>
        <v>0</v>
      </c>
      <c r="E44" s="151">
        <f>'2.2.2'!E44+'2.3.2'!E44</f>
        <v>0</v>
      </c>
      <c r="F44" s="151">
        <f>'2.2.2'!F44+'2.3.2'!F44</f>
        <v>0</v>
      </c>
      <c r="G44" s="152">
        <f>'2.2.2'!G44+'2.3.2'!G44</f>
        <v>0</v>
      </c>
      <c r="H44" s="155" t="str">
        <f>IF('AW Schulen'!$D38=0,"x",C44/'AW Schulen'!$D38)</f>
        <v>x</v>
      </c>
      <c r="I44" s="155" t="str">
        <f>IF('AW Schulen'!$G38=0,"x",D44/'AW Schulen'!$G38)</f>
        <v>x</v>
      </c>
      <c r="J44" s="155" t="str">
        <f>IF('AW Schulen'!$J38=0,"x",E44/'AW Schulen'!$J38)</f>
        <v>x</v>
      </c>
      <c r="K44" s="155" t="str">
        <f>IF('AW Schulen'!$M38=0,"x",F44/'AW Schulen'!$M38)</f>
        <v>x</v>
      </c>
      <c r="L44" s="156" t="str">
        <f>IF('AW Schulen'!$P38=0,"x",G44/'AW Schulen'!$P38)</f>
        <v>x</v>
      </c>
    </row>
    <row r="45" spans="1:12" ht="9" customHeight="1">
      <c r="A45" s="21" t="s">
        <v>95</v>
      </c>
      <c r="B45" s="120"/>
      <c r="C45" s="151">
        <f>'2.2.2'!C45+'2.3.2'!C45</f>
        <v>0</v>
      </c>
      <c r="D45" s="151">
        <f>'2.2.2'!D45+'2.3.2'!D45</f>
        <v>0</v>
      </c>
      <c r="E45" s="151">
        <f>'2.2.2'!E45+'2.3.2'!E45</f>
        <v>0</v>
      </c>
      <c r="F45" s="151">
        <f>'2.2.2'!F45+'2.3.2'!F45</f>
        <v>0</v>
      </c>
      <c r="G45" s="152">
        <f>'2.2.2'!G45+'2.3.2'!G45</f>
        <v>0</v>
      </c>
      <c r="H45" s="155" t="str">
        <f>IF('AW Schulen'!$D39=0,"x",C45/'AW Schulen'!$D39)</f>
        <v>x</v>
      </c>
      <c r="I45" s="155" t="str">
        <f>IF('AW Schulen'!$G39=0,"x",D45/'AW Schulen'!$G39)</f>
        <v>x</v>
      </c>
      <c r="J45" s="155" t="str">
        <f>IF('AW Schulen'!$J39=0,"x",E45/'AW Schulen'!$J39)</f>
        <v>x</v>
      </c>
      <c r="K45" s="155" t="str">
        <f>IF('AW Schulen'!$M39=0,"x",F45/'AW Schulen'!$M39)</f>
        <v>x</v>
      </c>
      <c r="L45" s="156" t="str">
        <f>IF('AW Schulen'!$P39=0,"x",G45/'AW Schulen'!$P39)</f>
        <v>x</v>
      </c>
    </row>
    <row r="46" spans="1:12" ht="9" customHeight="1">
      <c r="A46" s="21" t="s">
        <v>96</v>
      </c>
      <c r="B46" s="120"/>
      <c r="C46" s="23">
        <f>'2.2.2'!C46+'2.3.2'!C46</f>
        <v>53</v>
      </c>
      <c r="D46" s="23">
        <f>'2.2.2'!D46+'2.3.2'!D46</f>
        <v>56</v>
      </c>
      <c r="E46" s="23">
        <f>'2.2.2'!E46+'2.3.2'!E46</f>
        <v>58</v>
      </c>
      <c r="F46" s="23">
        <f>'2.2.2'!F46+'2.3.2'!F46</f>
        <v>55</v>
      </c>
      <c r="G46" s="34">
        <f>'2.2.2'!G46+'2.3.2'!G46</f>
        <v>65</v>
      </c>
      <c r="H46" s="155">
        <f>IF('AW Schulen'!$D40=0,"x",C46/'AW Schulen'!$D40)</f>
        <v>5.1506316812439258E-2</v>
      </c>
      <c r="I46" s="155">
        <f>IF('AW Schulen'!$G40=0,"x",D46/'AW Schulen'!$G40)</f>
        <v>5.4474708171206226E-2</v>
      </c>
      <c r="J46" s="155">
        <f>IF('AW Schulen'!$J40=0,"x",E46/'AW Schulen'!$J40)</f>
        <v>5.5449330783938815E-2</v>
      </c>
      <c r="K46" s="155">
        <f>IF('AW Schulen'!$M40=0,"x",F46/'AW Schulen'!$M40)</f>
        <v>5.2833813640730067E-2</v>
      </c>
      <c r="L46" s="156">
        <f>IF('AW Schulen'!$P40=0,"x",G46/'AW Schulen'!$P40)</f>
        <v>6.25E-2</v>
      </c>
    </row>
    <row r="47" spans="1:12" ht="12.75" customHeight="1">
      <c r="A47" s="391" t="s">
        <v>99</v>
      </c>
      <c r="B47" s="392"/>
      <c r="C47" s="392"/>
      <c r="D47" s="392"/>
      <c r="E47" s="392"/>
      <c r="F47" s="392"/>
      <c r="G47" s="392"/>
      <c r="H47" s="392"/>
      <c r="I47" s="392"/>
      <c r="J47" s="392"/>
      <c r="K47" s="392"/>
      <c r="L47" s="393"/>
    </row>
    <row r="48" spans="1:12" ht="9.75" customHeight="1">
      <c r="A48" s="21" t="s">
        <v>80</v>
      </c>
      <c r="B48" s="120"/>
      <c r="C48" s="23">
        <f>'2.2.2'!C48+'2.3.2'!C48</f>
        <v>0</v>
      </c>
      <c r="D48" s="23">
        <f>'2.2.2'!D48+'2.3.2'!D48</f>
        <v>0</v>
      </c>
      <c r="E48" s="23">
        <f>'2.2.2'!E48+'2.3.2'!E48</f>
        <v>0</v>
      </c>
      <c r="F48" s="23">
        <f>'2.2.2'!F48+'2.3.2'!F48</f>
        <v>0</v>
      </c>
      <c r="G48" s="34">
        <f>'2.2.2'!G48+'2.3.2'!G48</f>
        <v>0</v>
      </c>
      <c r="H48" s="155">
        <f>IF('AW Schulen'!$D24=0,"x",C48/'AW Schulen'!$D24)</f>
        <v>0</v>
      </c>
      <c r="I48" s="155">
        <f>IF('AW Schulen'!$G24=0,"x",D48/'AW Schulen'!$G24)</f>
        <v>0</v>
      </c>
      <c r="J48" s="155">
        <f>IF('AW Schulen'!$J24=0,"x",E48/'AW Schulen'!$J24)</f>
        <v>0</v>
      </c>
      <c r="K48" s="155">
        <f>IF('AW Schulen'!$M24=0,"x",F48/'AW Schulen'!$M24)</f>
        <v>0</v>
      </c>
      <c r="L48" s="156">
        <f>IF('AW Schulen'!$P24=0,"x",G48/'AW Schulen'!$P24)</f>
        <v>0</v>
      </c>
    </row>
    <row r="49" spans="1:12" ht="9" customHeight="1">
      <c r="A49" s="21" t="s">
        <v>81</v>
      </c>
      <c r="B49" s="120"/>
      <c r="C49" s="23">
        <f>'2.2.2'!C49+'2.3.2'!C49</f>
        <v>1</v>
      </c>
      <c r="D49" s="23">
        <f>'2.2.2'!D49+'2.3.2'!D49</f>
        <v>1</v>
      </c>
      <c r="E49" s="23">
        <f>'2.2.2'!E49+'2.3.2'!E49</f>
        <v>1</v>
      </c>
      <c r="F49" s="23" t="e">
        <f>'2.2.2'!F49+'2.3.2'!F49</f>
        <v>#VALUE!</v>
      </c>
      <c r="G49" s="34">
        <f>'2.2.2'!G49+'2.3.2'!G49</f>
        <v>1</v>
      </c>
      <c r="H49" s="155">
        <f>IF('AW Schulen'!$D25=0,"x",C49/'AW Schulen'!$D25)</f>
        <v>1</v>
      </c>
      <c r="I49" s="155">
        <f>IF('AW Schulen'!$G25=0,"x",D49/'AW Schulen'!$G25)</f>
        <v>1</v>
      </c>
      <c r="J49" s="155">
        <f>IF('AW Schulen'!$J25=0,"x",E49/'AW Schulen'!$J25)</f>
        <v>1</v>
      </c>
      <c r="K49" s="155" t="e">
        <f>IF('AW Schulen'!$M25=0,"x",F49/'AW Schulen'!$M25)</f>
        <v>#VALUE!</v>
      </c>
      <c r="L49" s="156">
        <f>IF('AW Schulen'!$P25=0,"x",G49/'AW Schulen'!$P25)</f>
        <v>1</v>
      </c>
    </row>
    <row r="50" spans="1:12" ht="9" customHeight="1">
      <c r="A50" s="21" t="s">
        <v>82</v>
      </c>
      <c r="B50" s="120"/>
      <c r="C50" s="23">
        <f>'2.2.2'!C50+'2.3.2'!C50</f>
        <v>21</v>
      </c>
      <c r="D50" s="23">
        <f>'2.2.2'!D50+'2.3.2'!D50</f>
        <v>18</v>
      </c>
      <c r="E50" s="23">
        <f>'2.2.2'!E50+'2.3.2'!E50</f>
        <v>17</v>
      </c>
      <c r="F50" s="23">
        <f>'2.2.2'!F50+'2.3.2'!F50</f>
        <v>25</v>
      </c>
      <c r="G50" s="34">
        <f>'2.2.2'!G50+'2.3.2'!G50</f>
        <v>18</v>
      </c>
      <c r="H50" s="155">
        <f>IF('AW Schulen'!$D26=0,"x",C50/'AW Schulen'!$D26)</f>
        <v>5.1470588235294115E-2</v>
      </c>
      <c r="I50" s="155">
        <f>IF('AW Schulen'!$G26=0,"x",D50/'AW Schulen'!$G26)</f>
        <v>4.4554455445544552E-2</v>
      </c>
      <c r="J50" s="155">
        <f>IF('AW Schulen'!$J26=0,"x",E50/'AW Schulen'!$J26)</f>
        <v>3.9906103286384977E-2</v>
      </c>
      <c r="K50" s="155">
        <f>IF('AW Schulen'!$M26=0,"x",F50/'AW Schulen'!$M26)</f>
        <v>5.9241706161137442E-2</v>
      </c>
      <c r="L50" s="156">
        <f>IF('AW Schulen'!$P26=0,"x",G50/'AW Schulen'!$P26)</f>
        <v>4.2654028436018961E-2</v>
      </c>
    </row>
    <row r="51" spans="1:12" ht="9" customHeight="1">
      <c r="A51" s="21" t="s">
        <v>83</v>
      </c>
      <c r="B51" s="120"/>
      <c r="C51" s="23">
        <f>'2.2.2'!C51+'2.3.2'!C51</f>
        <v>0</v>
      </c>
      <c r="D51" s="23">
        <f>'2.2.2'!D51+'2.3.2'!D51</f>
        <v>0</v>
      </c>
      <c r="E51" s="23">
        <f>'2.2.2'!E51+'2.3.2'!E51</f>
        <v>0</v>
      </c>
      <c r="F51" s="23">
        <f>'2.2.2'!F51+'2.3.2'!F51</f>
        <v>0</v>
      </c>
      <c r="G51" s="34">
        <f>'2.2.2'!G51+'2.3.2'!G51</f>
        <v>144</v>
      </c>
      <c r="H51" s="155">
        <f>IF('AW Schulen'!$D27=0,"x",C51/'AW Schulen'!$D27)</f>
        <v>0</v>
      </c>
      <c r="I51" s="155">
        <f>IF('AW Schulen'!$G27=0,"x",D51/'AW Schulen'!$G27)</f>
        <v>0</v>
      </c>
      <c r="J51" s="155">
        <f>IF('AW Schulen'!$J27=0,"x",E51/'AW Schulen'!$J27)</f>
        <v>0</v>
      </c>
      <c r="K51" s="155">
        <f>IF('AW Schulen'!$M27=0,"x",F51/'AW Schulen'!$M27)</f>
        <v>0</v>
      </c>
      <c r="L51" s="156">
        <f>IF('AW Schulen'!$P27=0,"x",G51/'AW Schulen'!$P27)</f>
        <v>0.29090909090909089</v>
      </c>
    </row>
    <row r="52" spans="1:12" ht="9" customHeight="1">
      <c r="A52" s="21" t="s">
        <v>84</v>
      </c>
      <c r="B52" s="120"/>
      <c r="C52" s="151">
        <f>'2.2.2'!C52+'2.3.2'!C52</f>
        <v>0</v>
      </c>
      <c r="D52" s="151">
        <f>'2.2.2'!D52+'2.3.2'!D52</f>
        <v>0</v>
      </c>
      <c r="E52" s="151">
        <f>'2.2.2'!E52+'2.3.2'!E52</f>
        <v>0</v>
      </c>
      <c r="F52" s="151">
        <f>'2.2.2'!F52+'2.3.2'!F52</f>
        <v>0</v>
      </c>
      <c r="G52" s="152">
        <f>'2.2.2'!G52+'2.3.2'!G52</f>
        <v>0</v>
      </c>
      <c r="H52" s="155" t="str">
        <f>IF('AW Schulen'!$D28=0,"x",C52/'AW Schulen'!$D28)</f>
        <v>x</v>
      </c>
      <c r="I52" s="155" t="str">
        <f>IF('AW Schulen'!$G28=0,"x",D52/'AW Schulen'!$G28)</f>
        <v>x</v>
      </c>
      <c r="J52" s="155" t="str">
        <f>IF('AW Schulen'!$J28=0,"x",E52/'AW Schulen'!$J28)</f>
        <v>x</v>
      </c>
      <c r="K52" s="155" t="str">
        <f>IF('AW Schulen'!$M28=0,"x",F52/'AW Schulen'!$M28)</f>
        <v>x</v>
      </c>
      <c r="L52" s="156" t="str">
        <f>IF('AW Schulen'!$P28=0,"x",G52/'AW Schulen'!$P28)</f>
        <v>x</v>
      </c>
    </row>
    <row r="53" spans="1:12" ht="9" customHeight="1">
      <c r="A53" s="21" t="s">
        <v>85</v>
      </c>
      <c r="B53" s="120"/>
      <c r="C53" s="23">
        <f>'2.2.2'!C53+'2.3.2'!C53</f>
        <v>0</v>
      </c>
      <c r="D53" s="23">
        <f>'2.2.2'!D53+'2.3.2'!D53</f>
        <v>0</v>
      </c>
      <c r="E53" s="23">
        <f>'2.2.2'!E53+'2.3.2'!E53</f>
        <v>0</v>
      </c>
      <c r="F53" s="23">
        <f>'2.2.2'!F53+'2.3.2'!F53</f>
        <v>0</v>
      </c>
      <c r="G53" s="34">
        <f>'2.2.2'!G53+'2.3.2'!G53</f>
        <v>0</v>
      </c>
      <c r="H53" s="183">
        <v>0</v>
      </c>
      <c r="I53" s="183">
        <v>0</v>
      </c>
      <c r="J53" s="183">
        <v>0</v>
      </c>
      <c r="K53" s="155">
        <f>IF('AW Schulen'!$M29=0,"x",F53/'AW Schulen'!$M29)</f>
        <v>0</v>
      </c>
      <c r="L53" s="156">
        <f>IF('AW Schulen'!$P29=0,"x",G53/'AW Schulen'!$P29)</f>
        <v>0</v>
      </c>
    </row>
    <row r="54" spans="1:12" ht="9" customHeight="1">
      <c r="A54" s="21" t="s">
        <v>86</v>
      </c>
      <c r="B54" s="120"/>
      <c r="C54" s="36">
        <f>'2.2.2'!C54+'2.3.2'!C54</f>
        <v>0</v>
      </c>
      <c r="D54" s="36">
        <f>'2.2.2'!D54+'2.3.2'!D54</f>
        <v>0</v>
      </c>
      <c r="E54" s="36">
        <f>'2.2.2'!E54+'2.3.2'!E54</f>
        <v>0</v>
      </c>
      <c r="F54" s="36">
        <f>'2.2.2'!F54+'2.3.2'!F54</f>
        <v>0</v>
      </c>
      <c r="G54" s="37">
        <f>'2.2.2'!G54+'2.3.2'!G54</f>
        <v>0</v>
      </c>
      <c r="H54" s="183">
        <f>IF('AW Schulen'!$D30=0,"x",C54/'AW Schulen'!$D30)</f>
        <v>0</v>
      </c>
      <c r="I54" s="183">
        <f>IF('AW Schulen'!$G30=0,"x",D54/'AW Schulen'!$G30)</f>
        <v>0</v>
      </c>
      <c r="J54" s="183">
        <f>IF('AW Schulen'!$G30=0,"x",E54/'AW Schulen'!$G30)</f>
        <v>0</v>
      </c>
      <c r="K54" s="183">
        <f>IF('AW Schulen'!$G30=0,"x",F54/'AW Schulen'!$G30)</f>
        <v>0</v>
      </c>
      <c r="L54" s="197">
        <f>IF('AW Schulen'!$G30=0,"x",G54/'AW Schulen'!$G30)</f>
        <v>0</v>
      </c>
    </row>
    <row r="55" spans="1:12" ht="9" customHeight="1">
      <c r="A55" s="21" t="s">
        <v>87</v>
      </c>
      <c r="B55" s="120"/>
      <c r="C55" s="151">
        <f>'2.2.2'!C55+'2.3.2'!C55</f>
        <v>0</v>
      </c>
      <c r="D55" s="151">
        <f>'2.2.2'!D55+'2.3.2'!D55</f>
        <v>0</v>
      </c>
      <c r="E55" s="151">
        <f>'2.2.2'!E55+'2.3.2'!E55</f>
        <v>0</v>
      </c>
      <c r="F55" s="151">
        <f>'2.2.2'!F55+'2.3.2'!F55</f>
        <v>0</v>
      </c>
      <c r="G55" s="152">
        <f>'2.2.2'!G55+'2.3.2'!G55</f>
        <v>0</v>
      </c>
      <c r="H55" s="155" t="str">
        <f>IF('AW Schulen'!$D31=0,"x",C55/'AW Schulen'!$D31)</f>
        <v>x</v>
      </c>
      <c r="I55" s="155" t="str">
        <f>IF('AW Schulen'!$G31=0,"x",D55/'AW Schulen'!$G31)</f>
        <v>x</v>
      </c>
      <c r="J55" s="155" t="str">
        <f>IF('AW Schulen'!$J31=0,"x",E55/'AW Schulen'!$J31)</f>
        <v>x</v>
      </c>
      <c r="K55" s="155" t="str">
        <f>IF('AW Schulen'!$M31=0,"x",F55/'AW Schulen'!$M31)</f>
        <v>x</v>
      </c>
      <c r="L55" s="156" t="str">
        <f>IF('AW Schulen'!$P31=0,"x",G55/'AW Schulen'!$P31)</f>
        <v>x</v>
      </c>
    </row>
    <row r="56" spans="1:12" ht="9" customHeight="1">
      <c r="A56" s="21" t="s">
        <v>88</v>
      </c>
      <c r="B56" s="120"/>
      <c r="C56" s="151">
        <f>'2.2.2'!C56+'2.3.2'!C56</f>
        <v>0</v>
      </c>
      <c r="D56" s="151">
        <f>'2.2.2'!D56+'2.3.2'!D56</f>
        <v>0</v>
      </c>
      <c r="E56" s="151">
        <f>'2.2.2'!E56+'2.3.2'!E56</f>
        <v>0</v>
      </c>
      <c r="F56" s="151">
        <f>'2.2.2'!F56+'2.3.2'!F56</f>
        <v>0</v>
      </c>
      <c r="G56" s="152">
        <f>'2.2.2'!G56+'2.3.2'!G56</f>
        <v>0</v>
      </c>
      <c r="H56" s="155" t="str">
        <f>IF('AW Schulen'!$D32=0,"x",C56/'AW Schulen'!$D32)</f>
        <v>x</v>
      </c>
      <c r="I56" s="155" t="str">
        <f>IF('AW Schulen'!$G32=0,"x",D56/'AW Schulen'!$G32)</f>
        <v>x</v>
      </c>
      <c r="J56" s="155" t="str">
        <f>IF('AW Schulen'!$G32=0,"x",E56/'AW Schulen'!$G32)</f>
        <v>x</v>
      </c>
      <c r="K56" s="155" t="str">
        <f>IF('AW Schulen'!$G32=0,"x",F56/'AW Schulen'!$G32)</f>
        <v>x</v>
      </c>
      <c r="L56" s="156" t="str">
        <f>IF('AW Schulen'!$G32=0,"x",G56/'AW Schulen'!$G32)</f>
        <v>x</v>
      </c>
    </row>
    <row r="57" spans="1:12" ht="9" customHeight="1">
      <c r="A57" s="21" t="s">
        <v>89</v>
      </c>
      <c r="B57" s="120"/>
      <c r="C57" s="151">
        <f>'2.2.2'!C57+'2.3.2'!C57</f>
        <v>0</v>
      </c>
      <c r="D57" s="151">
        <f>'2.2.2'!D57+'2.3.2'!D57</f>
        <v>0</v>
      </c>
      <c r="E57" s="151">
        <f>'2.2.2'!E57+'2.3.2'!E57</f>
        <v>0</v>
      </c>
      <c r="F57" s="151">
        <f>'2.2.2'!F57+'2.3.2'!F57</f>
        <v>0</v>
      </c>
      <c r="G57" s="152">
        <f>'2.2.2'!G57+'2.3.2'!G57</f>
        <v>0</v>
      </c>
      <c r="H57" s="155" t="str">
        <f>IF('AW Schulen'!$D33=0,"x",C57/'AW Schulen'!$D33)</f>
        <v>x</v>
      </c>
      <c r="I57" s="155" t="str">
        <f>IF('AW Schulen'!$G33=0,"x",D57/'AW Schulen'!$G33)</f>
        <v>x</v>
      </c>
      <c r="J57" s="155" t="str">
        <f>IF('AW Schulen'!$J33=0,"x",E57/'AW Schulen'!$J33)</f>
        <v>x</v>
      </c>
      <c r="K57" s="155" t="str">
        <f>IF('AW Schulen'!$M33=0,"x",F57/'AW Schulen'!$M33)</f>
        <v>x</v>
      </c>
      <c r="L57" s="156" t="str">
        <f>IF('AW Schulen'!$P33=0,"x",G57/'AW Schulen'!$P33)</f>
        <v>x</v>
      </c>
    </row>
    <row r="58" spans="1:12" ht="9" customHeight="1">
      <c r="A58" s="21" t="s">
        <v>90</v>
      </c>
      <c r="B58" s="120"/>
      <c r="C58" s="151">
        <f>'2.2.2'!C58+'2.3.2'!C58</f>
        <v>0</v>
      </c>
      <c r="D58" s="151">
        <f>'2.2.2'!D58+'2.3.2'!D58</f>
        <v>0</v>
      </c>
      <c r="E58" s="151">
        <f>'2.2.2'!E58+'2.3.2'!E58</f>
        <v>0</v>
      </c>
      <c r="F58" s="151">
        <f>'2.2.2'!F58+'2.3.2'!F58</f>
        <v>0</v>
      </c>
      <c r="G58" s="152">
        <f>'2.2.2'!G58+'2.3.2'!G58</f>
        <v>0</v>
      </c>
      <c r="H58" s="155" t="str">
        <f>IF('AW Schulen'!$D34=0,"x",C58/'AW Schulen'!$D34)</f>
        <v>x</v>
      </c>
      <c r="I58" s="155" t="str">
        <f>IF('AW Schulen'!$G34=0,"x",D58/'AW Schulen'!$G34)</f>
        <v>x</v>
      </c>
      <c r="J58" s="155" t="str">
        <f>IF('AW Schulen'!$J34=0,"x",E58/'AW Schulen'!$J34)</f>
        <v>x</v>
      </c>
      <c r="K58" s="155" t="str">
        <f>IF('AW Schulen'!$M34=0,"x",F58/'AW Schulen'!$M34)</f>
        <v>x</v>
      </c>
      <c r="L58" s="156" t="str">
        <f>IF('AW Schulen'!$P34=0,"x",G58/'AW Schulen'!$P34)</f>
        <v>x</v>
      </c>
    </row>
    <row r="59" spans="1:12" ht="9" customHeight="1">
      <c r="A59" s="21" t="s">
        <v>91</v>
      </c>
      <c r="B59" s="120"/>
      <c r="C59" s="151">
        <f>'2.2.2'!C59+'2.3.2'!C59</f>
        <v>0</v>
      </c>
      <c r="D59" s="151">
        <f>'2.2.2'!D59+'2.3.2'!D59</f>
        <v>0</v>
      </c>
      <c r="E59" s="151">
        <f>'2.2.2'!E59+'2.3.2'!E59</f>
        <v>0</v>
      </c>
      <c r="F59" s="151">
        <f>'2.2.2'!F59+'2.3.2'!F59</f>
        <v>0</v>
      </c>
      <c r="G59" s="152">
        <f>'2.2.2'!G59+'2.3.2'!G59</f>
        <v>0</v>
      </c>
      <c r="H59" s="155" t="str">
        <f>IF('AW Schulen'!$D35=0,"x",C59/'AW Schulen'!$D35)</f>
        <v>x</v>
      </c>
      <c r="I59" s="155" t="str">
        <f>IF('AW Schulen'!$G35=0,"x",D59/'AW Schulen'!$G35)</f>
        <v>x</v>
      </c>
      <c r="J59" s="155" t="str">
        <f>IF('AW Schulen'!$J35=0,"x",E59/'AW Schulen'!$J35)</f>
        <v>x</v>
      </c>
      <c r="K59" s="155" t="str">
        <f>IF('AW Schulen'!$M35=0,"x",F59/'AW Schulen'!$M35)</f>
        <v>x</v>
      </c>
      <c r="L59" s="156" t="str">
        <f>IF('AW Schulen'!$P35=0,"x",G59/'AW Schulen'!$P35)</f>
        <v>x</v>
      </c>
    </row>
    <row r="60" spans="1:12" ht="9" customHeight="1">
      <c r="A60" s="21" t="s">
        <v>92</v>
      </c>
      <c r="B60" s="120"/>
      <c r="C60" s="151">
        <f>'2.2.2'!C60+'2.3.2'!C60</f>
        <v>0</v>
      </c>
      <c r="D60" s="151">
        <f>'2.2.2'!D60+'2.3.2'!D60</f>
        <v>0</v>
      </c>
      <c r="E60" s="151">
        <f>'2.2.2'!E60+'2.3.2'!E60</f>
        <v>0</v>
      </c>
      <c r="F60" s="151">
        <f>'2.2.2'!F60+'2.3.2'!F60</f>
        <v>0</v>
      </c>
      <c r="G60" s="152">
        <f>'2.2.2'!G60+'2.3.2'!G60</f>
        <v>0</v>
      </c>
      <c r="H60" s="155" t="str">
        <f>IF('AW Schulen'!$D36=0,"x",C60/'AW Schulen'!$D36)</f>
        <v>x</v>
      </c>
      <c r="I60" s="155" t="str">
        <f>IF('AW Schulen'!$G36=0,"x",D60/'AW Schulen'!$G36)</f>
        <v>x</v>
      </c>
      <c r="J60" s="155" t="str">
        <f>IF('AW Schulen'!$J36=0,"x",E60/'AW Schulen'!$J36)</f>
        <v>x</v>
      </c>
      <c r="K60" s="155" t="str">
        <f>IF('AW Schulen'!$M36=0,"x",F60/'AW Schulen'!$M36)</f>
        <v>x</v>
      </c>
      <c r="L60" s="156" t="str">
        <f>IF('AW Schulen'!$P36=0,"x",G60/'AW Schulen'!$P36)</f>
        <v>x</v>
      </c>
    </row>
    <row r="61" spans="1:12" ht="9" customHeight="1">
      <c r="A61" s="21" t="s">
        <v>93</v>
      </c>
      <c r="B61" s="120"/>
      <c r="C61" s="151">
        <f>'2.2.2'!C61+'2.3.2'!C61</f>
        <v>0</v>
      </c>
      <c r="D61" s="151">
        <f>'2.2.2'!D61+'2.3.2'!D61</f>
        <v>0</v>
      </c>
      <c r="E61" s="151">
        <f>'2.2.2'!E61+'2.3.2'!E61</f>
        <v>0</v>
      </c>
      <c r="F61" s="151">
        <f>'2.2.2'!F61+'2.3.2'!F61</f>
        <v>0</v>
      </c>
      <c r="G61" s="152">
        <f>'2.2.2'!G61+'2.3.2'!G61</f>
        <v>0</v>
      </c>
      <c r="H61" s="155" t="str">
        <f>IF('AW Schulen'!$D37=0,"x",C61/'AW Schulen'!$D37)</f>
        <v>x</v>
      </c>
      <c r="I61" s="155" t="str">
        <f>IF('AW Schulen'!$G37=0,"x",D61/'AW Schulen'!$G37)</f>
        <v>x</v>
      </c>
      <c r="J61" s="155" t="str">
        <f>IF('AW Schulen'!$J37=0,"x",E61/'AW Schulen'!$J37)</f>
        <v>x</v>
      </c>
      <c r="K61" s="155" t="str">
        <f>IF('AW Schulen'!$M37=0,"x",F61/'AW Schulen'!$M37)</f>
        <v>x</v>
      </c>
      <c r="L61" s="156" t="str">
        <f>IF('AW Schulen'!$P37=0,"x",G61/'AW Schulen'!$P37)</f>
        <v>x</v>
      </c>
    </row>
    <row r="62" spans="1:12" ht="9" customHeight="1">
      <c r="A62" s="21" t="s">
        <v>94</v>
      </c>
      <c r="B62" s="120"/>
      <c r="C62" s="151">
        <f>'2.2.2'!C62+'2.3.2'!C62</f>
        <v>0</v>
      </c>
      <c r="D62" s="151">
        <f>'2.2.2'!D62+'2.3.2'!D62</f>
        <v>0</v>
      </c>
      <c r="E62" s="151">
        <f>'2.2.2'!E62+'2.3.2'!E62</f>
        <v>0</v>
      </c>
      <c r="F62" s="151">
        <f>'2.2.2'!F62+'2.3.2'!F62</f>
        <v>0</v>
      </c>
      <c r="G62" s="152">
        <f>'2.2.2'!G62+'2.3.2'!G62</f>
        <v>0</v>
      </c>
      <c r="H62" s="155" t="str">
        <f>IF('AW Schulen'!$D38=0,"x",C62/'AW Schulen'!$D38)</f>
        <v>x</v>
      </c>
      <c r="I62" s="155" t="str">
        <f>IF('AW Schulen'!$G38=0,"x",D62/'AW Schulen'!$G38)</f>
        <v>x</v>
      </c>
      <c r="J62" s="155" t="str">
        <f>IF('AW Schulen'!$J38=0,"x",E62/'AW Schulen'!$J38)</f>
        <v>x</v>
      </c>
      <c r="K62" s="155" t="str">
        <f>IF('AW Schulen'!$M38=0,"x",F62/'AW Schulen'!$M38)</f>
        <v>x</v>
      </c>
      <c r="L62" s="156" t="str">
        <f>IF('AW Schulen'!$P38=0,"x",G62/'AW Schulen'!$P38)</f>
        <v>x</v>
      </c>
    </row>
    <row r="63" spans="1:12" ht="9" customHeight="1">
      <c r="A63" s="21" t="s">
        <v>95</v>
      </c>
      <c r="B63" s="120"/>
      <c r="C63" s="151">
        <f>'2.2.2'!C63+'2.3.2'!C63</f>
        <v>0</v>
      </c>
      <c r="D63" s="151">
        <f>'2.2.2'!D63+'2.3.2'!D63</f>
        <v>0</v>
      </c>
      <c r="E63" s="151">
        <f>'2.2.2'!E63+'2.3.2'!E63</f>
        <v>0</v>
      </c>
      <c r="F63" s="151">
        <f>'2.2.2'!F63+'2.3.2'!F63</f>
        <v>0</v>
      </c>
      <c r="G63" s="152">
        <f>'2.2.2'!G63+'2.3.2'!G63</f>
        <v>0</v>
      </c>
      <c r="H63" s="155" t="str">
        <f>IF('AW Schulen'!$D39=0,"x",C63/'AW Schulen'!$D39)</f>
        <v>x</v>
      </c>
      <c r="I63" s="155" t="str">
        <f>IF('AW Schulen'!$G39=0,"x",D63/'AW Schulen'!$G39)</f>
        <v>x</v>
      </c>
      <c r="J63" s="155" t="str">
        <f>IF('AW Schulen'!$J39=0,"x",E63/'AW Schulen'!$J39)</f>
        <v>x</v>
      </c>
      <c r="K63" s="155" t="str">
        <f>IF('AW Schulen'!$M39=0,"x",F63/'AW Schulen'!$M39)</f>
        <v>x</v>
      </c>
      <c r="L63" s="156" t="str">
        <f>IF('AW Schulen'!$P39=0,"x",G63/'AW Schulen'!$P39)</f>
        <v>x</v>
      </c>
    </row>
    <row r="64" spans="1:12" ht="8.65" customHeight="1">
      <c r="A64" s="21" t="s">
        <v>96</v>
      </c>
      <c r="B64" s="120"/>
      <c r="C64" s="23">
        <f>'2.2.2'!C64+'2.3.2'!C64</f>
        <v>22</v>
      </c>
      <c r="D64" s="23">
        <f>'2.2.2'!D64+'2.3.2'!D64</f>
        <v>19</v>
      </c>
      <c r="E64" s="23">
        <f>'2.2.2'!E64+'2.3.2'!E64</f>
        <v>18</v>
      </c>
      <c r="F64" s="23">
        <f>'2.2.2'!F64+'2.3.2'!F64</f>
        <v>26</v>
      </c>
      <c r="G64" s="34">
        <f>'2.2.2'!G64+'2.3.2'!G64</f>
        <v>163</v>
      </c>
      <c r="H64" s="155">
        <f>IF('AW Schulen'!$D40=0,"x",C64/'AW Schulen'!$D40)</f>
        <v>2.1379980563654033E-2</v>
      </c>
      <c r="I64" s="155">
        <f>IF('AW Schulen'!$G40=0,"x",D64/'AW Schulen'!$G40)</f>
        <v>1.8482490272373541E-2</v>
      </c>
      <c r="J64" s="155">
        <f>IF('AW Schulen'!$J40=0,"x",E64/'AW Schulen'!$J40)</f>
        <v>1.7208413001912046E-2</v>
      </c>
      <c r="K64" s="155">
        <f>IF('AW Schulen'!$M40=0,"x",F64/'AW Schulen'!$M40)</f>
        <v>2.4975984630163303E-2</v>
      </c>
      <c r="L64" s="156">
        <f>IF('AW Schulen'!$P40=0,"x",G64/'AW Schulen'!$P40)</f>
        <v>0.15673076923076923</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'2.2.2'!C66+'2.3.2'!C66</f>
        <v>1</v>
      </c>
      <c r="D66" s="23">
        <f>'2.2.2'!D66+'2.3.2'!D66</f>
        <v>1</v>
      </c>
      <c r="E66" s="23">
        <f>'2.2.2'!E66+'2.3.2'!E66</f>
        <v>1</v>
      </c>
      <c r="F66" s="23">
        <f>'2.2.2'!F66+'2.3.2'!F66</f>
        <v>1</v>
      </c>
      <c r="G66" s="34">
        <f>'2.2.2'!G66+'2.3.2'!G66</f>
        <v>1</v>
      </c>
      <c r="H66" s="155">
        <f>IF('AW Schulen'!$D24=0,"x",C66/'AW Schulen'!$D24)</f>
        <v>1</v>
      </c>
      <c r="I66" s="155">
        <f>IF('AW Schulen'!$G24=0,"x",D66/'AW Schulen'!$G24)</f>
        <v>1</v>
      </c>
      <c r="J66" s="155">
        <f>IF('AW Schulen'!$J24=0,"x",E66/'AW Schulen'!$J24)</f>
        <v>1</v>
      </c>
      <c r="K66" s="155">
        <f>IF('AW Schulen'!$M24=0,"x",F66/'AW Schulen'!$M24)</f>
        <v>1</v>
      </c>
      <c r="L66" s="156">
        <f>IF('AW Schulen'!$P24=0,"x",G66/'AW Schulen'!$P24)</f>
        <v>1</v>
      </c>
    </row>
    <row r="67" spans="1:12" ht="10.15" customHeight="1">
      <c r="A67" s="224" t="s">
        <v>81</v>
      </c>
      <c r="B67" s="120"/>
      <c r="C67" s="23">
        <f>'2.2.2'!C67+'2.3.2'!C67</f>
        <v>0</v>
      </c>
      <c r="D67" s="23">
        <f>'2.2.2'!D67+'2.3.2'!D67</f>
        <v>0</v>
      </c>
      <c r="E67" s="23">
        <f>'2.2.2'!E67+'2.3.2'!E67</f>
        <v>0</v>
      </c>
      <c r="F67" s="23" t="e">
        <f>'2.2.2'!F67+'2.3.2'!F67</f>
        <v>#VALUE!</v>
      </c>
      <c r="G67" s="34">
        <f>'2.2.2'!G67+'2.3.2'!G67</f>
        <v>0</v>
      </c>
      <c r="H67" s="155">
        <f>IF('AW Schulen'!$D25=0,"x",C67/'AW Schulen'!$D25)</f>
        <v>0</v>
      </c>
      <c r="I67" s="155">
        <f>IF('AW Schulen'!$G25=0,"x",D67/'AW Schulen'!$G25)</f>
        <v>0</v>
      </c>
      <c r="J67" s="155">
        <f>IF('AW Schulen'!$J25=0,"x",E67/'AW Schulen'!$J25)</f>
        <v>0</v>
      </c>
      <c r="K67" s="155" t="e">
        <f>IF('AW Schulen'!$M25=0,"x",F67/'AW Schulen'!$M25)</f>
        <v>#VALUE!</v>
      </c>
      <c r="L67" s="156">
        <f>IF('AW Schulen'!$P25=0,"x",G67/'AW Schulen'!$P25)</f>
        <v>0</v>
      </c>
    </row>
    <row r="68" spans="1:12" ht="10.15" customHeight="1">
      <c r="A68" s="224" t="s">
        <v>82</v>
      </c>
      <c r="B68" s="120"/>
      <c r="C68" s="23">
        <f>'2.2.2'!C68+'2.3.2'!C68</f>
        <v>329</v>
      </c>
      <c r="D68" s="23">
        <f>'2.2.2'!D68+'2.3.2'!D68</f>
        <v>331</v>
      </c>
      <c r="E68" s="23">
        <f>'2.2.2'!E68+'2.3.2'!E68</f>
        <v>320</v>
      </c>
      <c r="F68" s="23">
        <f>'2.2.2'!F68+'2.3.2'!F68</f>
        <v>343</v>
      </c>
      <c r="G68" s="34">
        <f>'2.2.2'!G68+'2.3.2'!G68</f>
        <v>329</v>
      </c>
      <c r="H68" s="155">
        <f>IF('AW Schulen'!$D26=0,"x",C68/'AW Schulen'!$D26)</f>
        <v>0.80637254901960786</v>
      </c>
      <c r="I68" s="155">
        <f>IF('AW Schulen'!$G26=0,"x",D68/'AW Schulen'!$G26)</f>
        <v>0.81930693069306926</v>
      </c>
      <c r="J68" s="155">
        <f>IF('AW Schulen'!$J26=0,"x",E68/'AW Schulen'!$J26)</f>
        <v>0.75117370892018775</v>
      </c>
      <c r="K68" s="155">
        <f>IF('AW Schulen'!$M26=0,"x",F68/'AW Schulen'!$M26)</f>
        <v>0.8127962085308057</v>
      </c>
      <c r="L68" s="156">
        <f>IF('AW Schulen'!$P26=0,"x",G68/'AW Schulen'!$P26)</f>
        <v>0.77962085308056872</v>
      </c>
    </row>
    <row r="69" spans="1:12" ht="9" customHeight="1">
      <c r="A69" s="21" t="s">
        <v>83</v>
      </c>
      <c r="B69" s="120"/>
      <c r="C69" s="23">
        <f>'2.2.2'!C69+'2.3.2'!C69</f>
        <v>241</v>
      </c>
      <c r="D69" s="23">
        <f>'2.2.2'!D69+'2.3.2'!D69</f>
        <v>246</v>
      </c>
      <c r="E69" s="23">
        <f>'2.2.2'!E69+'2.3.2'!E69</f>
        <v>248</v>
      </c>
      <c r="F69" s="23">
        <f>'2.2.2'!F69+'2.3.2'!F69</f>
        <v>245</v>
      </c>
      <c r="G69" s="34">
        <f>'2.2.2'!G69+'2.3.2'!G69</f>
        <v>105</v>
      </c>
      <c r="H69" s="155">
        <f>IF('AW Schulen'!$D27=0,"x",C69/'AW Schulen'!$D27)</f>
        <v>0.48588709677419356</v>
      </c>
      <c r="I69" s="155">
        <f>IF('AW Schulen'!$G27=0,"x",D69/'AW Schulen'!$G27)</f>
        <v>0.49496981891348091</v>
      </c>
      <c r="J69" s="155">
        <f>IF('AW Schulen'!$J27=0,"x",E69/'AW Schulen'!$J27)</f>
        <v>0.5</v>
      </c>
      <c r="K69" s="155">
        <f>IF('AW Schulen'!$M27=0,"x",F69/'AW Schulen'!$M27)</f>
        <v>0.49494949494949497</v>
      </c>
      <c r="L69" s="156">
        <f>IF('AW Schulen'!$P27=0,"x",G69/'AW Schulen'!$P27)</f>
        <v>0.21212121212121213</v>
      </c>
    </row>
    <row r="70" spans="1:12" ht="9" customHeight="1">
      <c r="A70" s="21" t="s">
        <v>84</v>
      </c>
      <c r="B70" s="120"/>
      <c r="C70" s="151">
        <f>'2.2.2'!C70+'2.3.2'!C70</f>
        <v>0</v>
      </c>
      <c r="D70" s="151">
        <f>'2.2.2'!D70+'2.3.2'!D70</f>
        <v>0</v>
      </c>
      <c r="E70" s="151">
        <f>'2.2.2'!E70+'2.3.2'!E70</f>
        <v>0</v>
      </c>
      <c r="F70" s="151">
        <f>'2.2.2'!F70+'2.3.2'!F70</f>
        <v>0</v>
      </c>
      <c r="G70" s="152">
        <f>'2.2.2'!G70+'2.3.2'!G70</f>
        <v>0</v>
      </c>
      <c r="H70" s="155" t="str">
        <f>IF('AW Schulen'!$D28=0,"x",C70/'AW Schulen'!$D28)</f>
        <v>x</v>
      </c>
      <c r="I70" s="155" t="str">
        <f>IF('AW Schulen'!$G28=0,"x",D70/'AW Schulen'!$G28)</f>
        <v>x</v>
      </c>
      <c r="J70" s="155" t="str">
        <f>IF('AW Schulen'!$J28=0,"x",E70/'AW Schulen'!$J28)</f>
        <v>x</v>
      </c>
      <c r="K70" s="155" t="str">
        <f>IF('AW Schulen'!$M28=0,"x",F70/'AW Schulen'!$M28)</f>
        <v>x</v>
      </c>
      <c r="L70" s="156" t="str">
        <f>IF('AW Schulen'!$P28=0,"x",G70/'AW Schulen'!$P28)</f>
        <v>x</v>
      </c>
    </row>
    <row r="71" spans="1:12" ht="9" customHeight="1">
      <c r="A71" s="21" t="s">
        <v>85</v>
      </c>
      <c r="B71" s="120"/>
      <c r="C71" s="36">
        <f>'2.2.2'!C71+'2.3.2'!C71</f>
        <v>0</v>
      </c>
      <c r="D71" s="36">
        <f>'2.2.2'!D71+'2.3.2'!D71</f>
        <v>1</v>
      </c>
      <c r="E71" s="36">
        <f>'2.2.2'!E71+'2.3.2'!E71</f>
        <v>1</v>
      </c>
      <c r="F71" s="36">
        <f>'2.2.2'!F71+'2.3.2'!F71</f>
        <v>2</v>
      </c>
      <c r="G71" s="37">
        <f>'2.2.2'!G71+'2.3.2'!G71</f>
        <v>1</v>
      </c>
      <c r="H71" s="183">
        <v>0</v>
      </c>
      <c r="I71" s="183">
        <v>0</v>
      </c>
      <c r="J71" s="183">
        <v>0</v>
      </c>
      <c r="K71" s="155">
        <f>IF('AW Schulen'!$M29=0,"x",F71/'AW Schulen'!$M29)</f>
        <v>0.4</v>
      </c>
      <c r="L71" s="156">
        <f>IF('AW Schulen'!$P29=0,"x",G71/'AW Schulen'!$P29)</f>
        <v>0.2</v>
      </c>
    </row>
    <row r="72" spans="1:12" ht="9" customHeight="1">
      <c r="A72" s="21" t="s">
        <v>86</v>
      </c>
      <c r="B72" s="120"/>
      <c r="C72" s="23">
        <f>'2.2.2'!C72+'2.3.2'!C72</f>
        <v>106</v>
      </c>
      <c r="D72" s="23">
        <f>'2.2.2'!D72+'2.3.2'!D72</f>
        <v>110</v>
      </c>
      <c r="E72" s="23">
        <f>'2.2.2'!E72+'2.3.2'!E72</f>
        <v>107</v>
      </c>
      <c r="F72" s="23">
        <f>'2.2.2'!F72+'2.3.2'!F72</f>
        <v>108</v>
      </c>
      <c r="G72" s="34">
        <f>'2.2.2'!G72+'2.3.2'!G72</f>
        <v>108</v>
      </c>
      <c r="H72" s="183">
        <v>0</v>
      </c>
      <c r="I72" s="183">
        <v>0</v>
      </c>
      <c r="J72" s="183">
        <v>0</v>
      </c>
      <c r="K72" s="183">
        <v>0</v>
      </c>
      <c r="L72" s="197">
        <v>0</v>
      </c>
    </row>
    <row r="73" spans="1:12" ht="9" customHeight="1">
      <c r="A73" s="21" t="s">
        <v>87</v>
      </c>
      <c r="B73" s="120"/>
      <c r="C73" s="151">
        <f>'2.2.2'!C73+'2.3.2'!C73</f>
        <v>0</v>
      </c>
      <c r="D73" s="151">
        <f>'2.2.2'!D73+'2.3.2'!D73</f>
        <v>0</v>
      </c>
      <c r="E73" s="151">
        <f>'2.2.2'!E73+'2.3.2'!E73</f>
        <v>0</v>
      </c>
      <c r="F73" s="151">
        <f>'2.2.2'!F73+'2.3.2'!F73</f>
        <v>0</v>
      </c>
      <c r="G73" s="152">
        <f>'2.2.2'!G73+'2.3.2'!G73</f>
        <v>0</v>
      </c>
      <c r="H73" s="155" t="str">
        <f>IF('AW Schulen'!$D31=0,"x",C73/'AW Schulen'!$D31)</f>
        <v>x</v>
      </c>
      <c r="I73" s="155" t="str">
        <f>IF('AW Schulen'!$G31=0,"x",D73/'AW Schulen'!$G31)</f>
        <v>x</v>
      </c>
      <c r="J73" s="155" t="str">
        <f>IF('AW Schulen'!$J31=0,"x",E73/'AW Schulen'!$J31)</f>
        <v>x</v>
      </c>
      <c r="K73" s="155" t="str">
        <f>IF('AW Schulen'!$M31=0,"x",F73/'AW Schulen'!$M31)</f>
        <v>x</v>
      </c>
      <c r="L73" s="156" t="str">
        <f>IF('AW Schulen'!$P31=0,"x",G73/'AW Schulen'!$P31)</f>
        <v>x</v>
      </c>
    </row>
    <row r="74" spans="1:12" ht="9" customHeight="1">
      <c r="A74" s="21" t="s">
        <v>88</v>
      </c>
      <c r="B74" s="120"/>
      <c r="C74" s="151">
        <f>'2.2.2'!C74+'2.3.2'!C74</f>
        <v>0</v>
      </c>
      <c r="D74" s="151">
        <f>'2.2.2'!D74+'2.3.2'!D74</f>
        <v>0</v>
      </c>
      <c r="E74" s="151">
        <f>'2.2.2'!E74+'2.3.2'!E74</f>
        <v>0</v>
      </c>
      <c r="F74" s="151">
        <f>'2.2.2'!F74+'2.3.2'!F74</f>
        <v>0</v>
      </c>
      <c r="G74" s="152">
        <f>'2.2.2'!G74+'2.3.2'!G74</f>
        <v>0</v>
      </c>
      <c r="H74" s="155" t="str">
        <f>IF('AW Schulen'!$D32=0,"x",C74/'AW Schulen'!$D32)</f>
        <v>x</v>
      </c>
      <c r="I74" s="155" t="str">
        <f>IF('AW Schulen'!$G32=0,"x",D74/'AW Schulen'!$G32)</f>
        <v>x</v>
      </c>
      <c r="J74" s="155" t="str">
        <f>IF('AW Schulen'!$G32=0,"x",E74/'AW Schulen'!$G32)</f>
        <v>x</v>
      </c>
      <c r="K74" s="155" t="str">
        <f>IF('AW Schulen'!$G32=0,"x",F74/'AW Schulen'!$G32)</f>
        <v>x</v>
      </c>
      <c r="L74" s="156" t="str">
        <f>IF('AW Schulen'!$G32=0,"x",G74/'AW Schulen'!$G32)</f>
        <v>x</v>
      </c>
    </row>
    <row r="75" spans="1:12" ht="9" customHeight="1">
      <c r="A75" s="21" t="s">
        <v>89</v>
      </c>
      <c r="B75" s="120"/>
      <c r="C75" s="151">
        <f>'2.2.2'!C75+'2.3.2'!C75</f>
        <v>0</v>
      </c>
      <c r="D75" s="151">
        <f>'2.2.2'!D75+'2.3.2'!D75</f>
        <v>0</v>
      </c>
      <c r="E75" s="151">
        <f>'2.2.2'!E75+'2.3.2'!E75</f>
        <v>0</v>
      </c>
      <c r="F75" s="151">
        <f>'2.2.2'!F75+'2.3.2'!F75</f>
        <v>0</v>
      </c>
      <c r="G75" s="152">
        <f>'2.2.2'!G75+'2.3.2'!G75</f>
        <v>0</v>
      </c>
      <c r="H75" s="155" t="str">
        <f>IF('AW Schulen'!$D33=0,"x",C75/'AW Schulen'!$D33)</f>
        <v>x</v>
      </c>
      <c r="I75" s="155" t="str">
        <f>IF('AW Schulen'!$G33=0,"x",D75/'AW Schulen'!$G33)</f>
        <v>x</v>
      </c>
      <c r="J75" s="155" t="str">
        <f>IF('AW Schulen'!$J33=0,"x",E75/'AW Schulen'!$J33)</f>
        <v>x</v>
      </c>
      <c r="K75" s="155" t="str">
        <f>IF('AW Schulen'!$M33=0,"x",F75/'AW Schulen'!$M33)</f>
        <v>x</v>
      </c>
      <c r="L75" s="156" t="str">
        <f>IF('AW Schulen'!$P33=0,"x",G75/'AW Schulen'!$P33)</f>
        <v>x</v>
      </c>
    </row>
    <row r="76" spans="1:12" ht="9" customHeight="1">
      <c r="A76" s="21" t="s">
        <v>90</v>
      </c>
      <c r="B76" s="120"/>
      <c r="C76" s="151">
        <f>'2.2.2'!C76+'2.3.2'!C76</f>
        <v>0</v>
      </c>
      <c r="D76" s="151">
        <f>'2.2.2'!D76+'2.3.2'!D76</f>
        <v>0</v>
      </c>
      <c r="E76" s="151">
        <f>'2.2.2'!E76+'2.3.2'!E76</f>
        <v>0</v>
      </c>
      <c r="F76" s="151">
        <f>'2.2.2'!F76+'2.3.2'!F76</f>
        <v>0</v>
      </c>
      <c r="G76" s="152">
        <f>'2.2.2'!G76+'2.3.2'!G76</f>
        <v>0</v>
      </c>
      <c r="H76" s="155" t="str">
        <f>IF('AW Schulen'!$D34=0,"x",C76/'AW Schulen'!$D34)</f>
        <v>x</v>
      </c>
      <c r="I76" s="155" t="str">
        <f>IF('AW Schulen'!$G34=0,"x",D76/'AW Schulen'!$G34)</f>
        <v>x</v>
      </c>
      <c r="J76" s="155" t="str">
        <f>IF('AW Schulen'!$J34=0,"x",E76/'AW Schulen'!$J34)</f>
        <v>x</v>
      </c>
      <c r="K76" s="155" t="str">
        <f>IF('AW Schulen'!$M34=0,"x",F76/'AW Schulen'!$M34)</f>
        <v>x</v>
      </c>
      <c r="L76" s="156" t="str">
        <f>IF('AW Schulen'!$P34=0,"x",G76/'AW Schulen'!$P34)</f>
        <v>x</v>
      </c>
    </row>
    <row r="77" spans="1:12" ht="9" customHeight="1">
      <c r="A77" s="21" t="s">
        <v>91</v>
      </c>
      <c r="B77" s="120"/>
      <c r="C77" s="151">
        <f>'2.2.2'!C77+'2.3.2'!C77</f>
        <v>0</v>
      </c>
      <c r="D77" s="151">
        <f>'2.2.2'!D77+'2.3.2'!D77</f>
        <v>0</v>
      </c>
      <c r="E77" s="151">
        <f>'2.2.2'!E77+'2.3.2'!E77</f>
        <v>0</v>
      </c>
      <c r="F77" s="151">
        <f>'2.2.2'!F77+'2.3.2'!F77</f>
        <v>0</v>
      </c>
      <c r="G77" s="152">
        <f>'2.2.2'!G77+'2.3.2'!G77</f>
        <v>0</v>
      </c>
      <c r="H77" s="155" t="str">
        <f>IF('AW Schulen'!$D35=0,"x",C77/'AW Schulen'!$D35)</f>
        <v>x</v>
      </c>
      <c r="I77" s="155" t="str">
        <f>IF('AW Schulen'!$G35=0,"x",D77/'AW Schulen'!$G35)</f>
        <v>x</v>
      </c>
      <c r="J77" s="155" t="str">
        <f>IF('AW Schulen'!$J35=0,"x",E77/'AW Schulen'!$J35)</f>
        <v>x</v>
      </c>
      <c r="K77" s="155" t="str">
        <f>IF('AW Schulen'!$M35=0,"x",F77/'AW Schulen'!$M35)</f>
        <v>x</v>
      </c>
      <c r="L77" s="156" t="str">
        <f>IF('AW Schulen'!$P35=0,"x",G77/'AW Schulen'!$P35)</f>
        <v>x</v>
      </c>
    </row>
    <row r="78" spans="1:12" ht="9" customHeight="1">
      <c r="A78" s="21" t="s">
        <v>92</v>
      </c>
      <c r="B78" s="120"/>
      <c r="C78" s="151">
        <f>'2.2.2'!C78+'2.3.2'!C78</f>
        <v>0</v>
      </c>
      <c r="D78" s="151">
        <f>'2.2.2'!D78+'2.3.2'!D78</f>
        <v>0</v>
      </c>
      <c r="E78" s="151">
        <f>'2.2.2'!E78+'2.3.2'!E78</f>
        <v>0</v>
      </c>
      <c r="F78" s="151">
        <f>'2.2.2'!F78+'2.3.2'!F78</f>
        <v>0</v>
      </c>
      <c r="G78" s="152">
        <f>'2.2.2'!G78+'2.3.2'!G78</f>
        <v>0</v>
      </c>
      <c r="H78" s="155" t="str">
        <f>IF('AW Schulen'!$D36=0,"x",C78/'AW Schulen'!$D36)</f>
        <v>x</v>
      </c>
      <c r="I78" s="155" t="str">
        <f>IF('AW Schulen'!$G36=0,"x",D78/'AW Schulen'!$G36)</f>
        <v>x</v>
      </c>
      <c r="J78" s="155" t="str">
        <f>IF('AW Schulen'!$J36=0,"x",E78/'AW Schulen'!$J36)</f>
        <v>x</v>
      </c>
      <c r="K78" s="155" t="str">
        <f>IF('AW Schulen'!$M36=0,"x",F78/'AW Schulen'!$M36)</f>
        <v>x</v>
      </c>
      <c r="L78" s="156" t="str">
        <f>IF('AW Schulen'!$P36=0,"x",G78/'AW Schulen'!$P36)</f>
        <v>x</v>
      </c>
    </row>
    <row r="79" spans="1:12" ht="9" customHeight="1">
      <c r="A79" s="21" t="s">
        <v>93</v>
      </c>
      <c r="B79" s="120"/>
      <c r="C79" s="151">
        <f>'2.2.2'!C79+'2.3.2'!C79</f>
        <v>0</v>
      </c>
      <c r="D79" s="151">
        <f>'2.2.2'!D79+'2.3.2'!D79</f>
        <v>0</v>
      </c>
      <c r="E79" s="151">
        <f>'2.2.2'!E79+'2.3.2'!E79</f>
        <v>0</v>
      </c>
      <c r="F79" s="151">
        <f>'2.2.2'!F79+'2.3.2'!F79</f>
        <v>0</v>
      </c>
      <c r="G79" s="152">
        <f>'2.2.2'!G79+'2.3.2'!G79</f>
        <v>0</v>
      </c>
      <c r="H79" s="155" t="str">
        <f>IF('AW Schulen'!$D37=0,"x",C79/'AW Schulen'!$D37)</f>
        <v>x</v>
      </c>
      <c r="I79" s="155" t="str">
        <f>IF('AW Schulen'!$G37=0,"x",D79/'AW Schulen'!$G37)</f>
        <v>x</v>
      </c>
      <c r="J79" s="155" t="str">
        <f>IF('AW Schulen'!$G37=0,"x",E79/'AW Schulen'!$G37)</f>
        <v>x</v>
      </c>
      <c r="K79" s="155" t="str">
        <f>IF('AW Schulen'!$G37=0,"x",F79/'AW Schulen'!$G37)</f>
        <v>x</v>
      </c>
      <c r="L79" s="156" t="str">
        <f>IF('AW Schulen'!$G37=0,"x",G79/'AW Schulen'!$G37)</f>
        <v>x</v>
      </c>
    </row>
    <row r="80" spans="1:12" ht="9" customHeight="1">
      <c r="A80" s="21" t="s">
        <v>94</v>
      </c>
      <c r="B80" s="120"/>
      <c r="C80" s="151">
        <f>'2.2.2'!C80+'2.3.2'!C80</f>
        <v>0</v>
      </c>
      <c r="D80" s="151">
        <f>'2.2.2'!D80+'2.3.2'!D80</f>
        <v>0</v>
      </c>
      <c r="E80" s="151">
        <f>'2.2.2'!E80+'2.3.2'!E80</f>
        <v>0</v>
      </c>
      <c r="F80" s="151">
        <f>'2.2.2'!F80+'2.3.2'!F80</f>
        <v>0</v>
      </c>
      <c r="G80" s="152">
        <f>'2.2.2'!G80+'2.3.2'!G80</f>
        <v>0</v>
      </c>
      <c r="H80" s="155" t="str">
        <f>IF('AW Schulen'!$D38=0,"x",C80/'AW Schulen'!$D38)</f>
        <v>x</v>
      </c>
      <c r="I80" s="155" t="str">
        <f>IF('AW Schulen'!$G38=0,"x",D80/'AW Schulen'!$G38)</f>
        <v>x</v>
      </c>
      <c r="J80" s="155" t="str">
        <f>IF('AW Schulen'!$J38=0,"x",E80/'AW Schulen'!$J38)</f>
        <v>x</v>
      </c>
      <c r="K80" s="155" t="str">
        <f>IF('AW Schulen'!$M38=0,"x",F80/'AW Schulen'!$M38)</f>
        <v>x</v>
      </c>
      <c r="L80" s="156" t="str">
        <f>IF('AW Schulen'!$P38=0,"x",G80/'AW Schulen'!$P38)</f>
        <v>x</v>
      </c>
    </row>
    <row r="81" spans="1:12" ht="9" customHeight="1">
      <c r="A81" s="21" t="s">
        <v>95</v>
      </c>
      <c r="B81" s="120"/>
      <c r="C81" s="151">
        <f>'2.2.2'!C81+'2.3.2'!C81</f>
        <v>0</v>
      </c>
      <c r="D81" s="151">
        <f>'2.2.2'!D81+'2.3.2'!D81</f>
        <v>0</v>
      </c>
      <c r="E81" s="151">
        <f>'2.2.2'!E81+'2.3.2'!E81</f>
        <v>0</v>
      </c>
      <c r="F81" s="151">
        <f>'2.2.2'!F81+'2.3.2'!F81</f>
        <v>0</v>
      </c>
      <c r="G81" s="152">
        <f>'2.2.2'!G81+'2.3.2'!G81</f>
        <v>0</v>
      </c>
      <c r="H81" s="155" t="str">
        <f>IF('AW Schulen'!$D39=0,"x",C81/'AW Schulen'!$D39)</f>
        <v>x</v>
      </c>
      <c r="I81" s="155" t="str">
        <f>IF('AW Schulen'!$G39=0,"x",D81/'AW Schulen'!$G39)</f>
        <v>x</v>
      </c>
      <c r="J81" s="155" t="str">
        <f>IF('AW Schulen'!$J39=0,"x",E81/'AW Schulen'!$J39)</f>
        <v>x</v>
      </c>
      <c r="K81" s="155" t="str">
        <f>IF('AW Schulen'!$M39=0,"x",F81/'AW Schulen'!$M39)</f>
        <v>x</v>
      </c>
      <c r="L81" s="156" t="str">
        <f>IF('AW Schulen'!$P39=0,"x",G81/'AW Schulen'!$P39)</f>
        <v>x</v>
      </c>
    </row>
    <row r="82" spans="1:12" ht="9" customHeight="1">
      <c r="A82" s="24" t="s">
        <v>96</v>
      </c>
      <c r="B82" s="121"/>
      <c r="C82" s="26">
        <f>'2.2.2'!C82+'2.3.2'!C82</f>
        <v>677</v>
      </c>
      <c r="D82" s="26">
        <f>'2.2.2'!D82+'2.3.2'!D82</f>
        <v>689</v>
      </c>
      <c r="E82" s="26">
        <f>'2.2.2'!E82+'2.3.2'!E82</f>
        <v>677</v>
      </c>
      <c r="F82" s="26">
        <f>'2.2.2'!F82+'2.3.2'!F82</f>
        <v>699</v>
      </c>
      <c r="G82" s="47">
        <f>'2.2.2'!G82+'2.3.2'!G82</f>
        <v>544</v>
      </c>
      <c r="H82" s="157">
        <f>IF('AW Schulen'!$D40=0,"x",C82/'AW Schulen'!$D40)</f>
        <v>0.65792031098153547</v>
      </c>
      <c r="I82" s="157">
        <f>IF('AW Schulen'!$G40=0,"x",D82/'AW Schulen'!$G40)</f>
        <v>0.67023346303501941</v>
      </c>
      <c r="J82" s="157">
        <f>IF('AW Schulen'!$J40=0,"x",E82/'AW Schulen'!$J40)</f>
        <v>0.64722753346080308</v>
      </c>
      <c r="K82" s="157">
        <f>IF('AW Schulen'!$M40=0,"x",F82/'AW Schulen'!$M40)</f>
        <v>0.67146974063400577</v>
      </c>
      <c r="L82" s="158">
        <f>IF('AW Schulen'!$P40=0,"x",G82/'AW Schulen'!$P40)</f>
        <v>0.52307692307692311</v>
      </c>
    </row>
    <row r="83" spans="1:12" ht="18.75" customHeight="1">
      <c r="A83" s="396" t="s">
        <v>312</v>
      </c>
      <c r="B83" s="396"/>
      <c r="C83" s="396"/>
      <c r="D83" s="396"/>
      <c r="E83" s="396"/>
      <c r="F83" s="396"/>
      <c r="G83" s="396"/>
      <c r="H83" s="396"/>
      <c r="I83" s="396"/>
      <c r="J83" s="396"/>
      <c r="K83" s="396"/>
      <c r="L83" s="396"/>
    </row>
    <row r="84" spans="1:12" ht="18.600000000000001" customHeight="1">
      <c r="A84" s="381" t="s">
        <v>168</v>
      </c>
      <c r="B84" s="397"/>
      <c r="C84" s="397"/>
      <c r="D84" s="397"/>
      <c r="E84" s="397"/>
      <c r="F84" s="397"/>
      <c r="G84" s="397"/>
      <c r="H84" s="397"/>
      <c r="I84" s="395"/>
      <c r="J84" s="395"/>
      <c r="K84" s="395"/>
      <c r="L84" s="395"/>
    </row>
    <row r="85" spans="1:12" ht="10.5" customHeight="1">
      <c r="A85" s="306" t="s">
        <v>101</v>
      </c>
    </row>
  </sheetData>
  <mergeCells count="9">
    <mergeCell ref="A1:L1"/>
    <mergeCell ref="A84:L84"/>
    <mergeCell ref="C9:G9"/>
    <mergeCell ref="H9:L9"/>
    <mergeCell ref="A11:L11"/>
    <mergeCell ref="A29:L29"/>
    <mergeCell ref="A47:L47"/>
    <mergeCell ref="A65:L65"/>
    <mergeCell ref="A83:L83"/>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85"/>
  <sheetViews>
    <sheetView view="pageBreakPreview" topLeftCell="A49" zoomScale="175" zoomScaleNormal="115" zoomScaleSheetLayoutView="175" workbookViewId="0">
      <selection activeCell="F77" sqref="F77:G77"/>
    </sheetView>
  </sheetViews>
  <sheetFormatPr baseColWidth="10" defaultColWidth="11.42578125" defaultRowHeight="9"/>
  <cols>
    <col min="1" max="1" width="8.7109375" style="2" customWidth="1"/>
    <col min="2" max="2" width="0.42578125" style="2" customWidth="1"/>
    <col min="3" max="12" width="6.7109375" style="2" customWidth="1"/>
    <col min="13" max="16384" width="11.42578125" style="2"/>
  </cols>
  <sheetData>
    <row r="1" spans="1:13" ht="13.5">
      <c r="A1" s="383">
        <f>'2.1.2'!A1:G1+1</f>
        <v>6</v>
      </c>
      <c r="B1" s="383"/>
      <c r="C1" s="383"/>
      <c r="D1" s="383"/>
      <c r="E1" s="383"/>
      <c r="F1" s="383"/>
      <c r="G1" s="383"/>
      <c r="H1" s="383"/>
      <c r="I1" s="383"/>
      <c r="J1" s="383"/>
      <c r="K1" s="383"/>
      <c r="L1" s="383"/>
      <c r="M1" s="58" t="s">
        <v>108</v>
      </c>
    </row>
    <row r="2" spans="1:13" ht="6" customHeight="1">
      <c r="C2" s="209"/>
      <c r="D2" s="209"/>
      <c r="E2" s="209"/>
      <c r="F2" s="209"/>
      <c r="G2" s="209"/>
    </row>
    <row r="3" spans="1:13" s="1" customFormat="1" ht="12.6" customHeight="1">
      <c r="A3" s="11">
        <v>2</v>
      </c>
      <c r="B3" s="12" t="s">
        <v>264</v>
      </c>
      <c r="C3" s="12"/>
      <c r="D3" s="12"/>
      <c r="E3" s="12"/>
      <c r="F3" s="12"/>
      <c r="G3" s="12"/>
    </row>
    <row r="4" spans="1:13" s="1" customFormat="1" ht="12.6" customHeight="1">
      <c r="A4" s="13" t="s">
        <v>5</v>
      </c>
      <c r="B4" s="12" t="s">
        <v>1</v>
      </c>
      <c r="C4" s="14"/>
      <c r="D4" s="14"/>
      <c r="E4" s="14"/>
      <c r="F4" s="14"/>
      <c r="G4" s="14"/>
    </row>
    <row r="5" spans="1:13" s="1" customFormat="1" ht="12.6" customHeight="1">
      <c r="A5" s="13" t="s">
        <v>10</v>
      </c>
      <c r="B5" s="39" t="s">
        <v>11</v>
      </c>
      <c r="C5" s="14"/>
      <c r="D5" s="14"/>
      <c r="E5" s="14"/>
      <c r="F5" s="14"/>
      <c r="G5" s="14"/>
    </row>
    <row r="6" spans="1:13" s="3" customFormat="1" ht="3" customHeight="1">
      <c r="A6" s="40"/>
      <c r="B6" s="39"/>
      <c r="C6" s="41"/>
      <c r="D6" s="41"/>
      <c r="E6" s="41"/>
      <c r="F6" s="41"/>
      <c r="G6" s="41"/>
    </row>
    <row r="7" spans="1:13" s="3" customFormat="1" ht="3" customHeight="1">
      <c r="A7" s="40"/>
      <c r="B7" s="39"/>
      <c r="C7" s="41"/>
      <c r="D7" s="41"/>
      <c r="E7" s="41"/>
      <c r="F7" s="41"/>
      <c r="G7" s="41"/>
    </row>
    <row r="8" spans="1:13" ht="7.5" customHeight="1"/>
    <row r="9" spans="1:13" ht="12.75" customHeight="1">
      <c r="A9" s="16" t="s">
        <v>77</v>
      </c>
      <c r="B9" s="27"/>
      <c r="C9" s="384" t="s">
        <v>78</v>
      </c>
      <c r="D9" s="385"/>
      <c r="E9" s="385"/>
      <c r="F9" s="385"/>
      <c r="G9" s="386"/>
      <c r="H9" s="384" t="s">
        <v>142</v>
      </c>
      <c r="I9" s="385"/>
      <c r="J9" s="385"/>
      <c r="K9" s="385"/>
      <c r="L9" s="386"/>
    </row>
    <row r="10" spans="1:13" ht="10.15" customHeight="1">
      <c r="A10" s="17"/>
      <c r="B10" s="28"/>
      <c r="C10" s="18">
        <v>2012</v>
      </c>
      <c r="D10" s="18">
        <v>2013</v>
      </c>
      <c r="E10" s="18">
        <v>2014</v>
      </c>
      <c r="F10" s="18">
        <v>2015</v>
      </c>
      <c r="G10" s="20">
        <v>2016</v>
      </c>
      <c r="H10" s="18">
        <v>2012</v>
      </c>
      <c r="I10" s="18">
        <v>2013</v>
      </c>
      <c r="J10" s="18">
        <v>2014</v>
      </c>
      <c r="K10" s="18">
        <v>2015</v>
      </c>
      <c r="L10" s="20">
        <v>2016</v>
      </c>
    </row>
    <row r="11" spans="1:13" ht="12.75" customHeight="1">
      <c r="A11" s="388" t="s">
        <v>79</v>
      </c>
      <c r="B11" s="389"/>
      <c r="C11" s="389"/>
      <c r="D11" s="389"/>
      <c r="E11" s="389"/>
      <c r="F11" s="389"/>
      <c r="G11" s="389"/>
      <c r="H11" s="389"/>
      <c r="I11" s="389"/>
      <c r="J11" s="389"/>
      <c r="K11" s="389"/>
      <c r="L11" s="390"/>
    </row>
    <row r="12" spans="1:13" ht="9" customHeight="1">
      <c r="A12" s="21" t="s">
        <v>80</v>
      </c>
      <c r="B12" s="120"/>
      <c r="C12" s="42">
        <f t="shared" ref="C12" si="0">SUM(C30,C48,C66)</f>
        <v>436</v>
      </c>
      <c r="D12" s="42">
        <f t="shared" ref="D12:E12" si="1">SUM(D30,D48,D66)</f>
        <v>440</v>
      </c>
      <c r="E12" s="42">
        <f t="shared" si="1"/>
        <v>438</v>
      </c>
      <c r="F12" s="42">
        <f t="shared" ref="F12:G12" si="2">SUM(F30,F48,F66)</f>
        <v>427</v>
      </c>
      <c r="G12" s="44">
        <f t="shared" si="2"/>
        <v>390</v>
      </c>
      <c r="H12" s="153">
        <f>IF('AW Schulen'!$D42=0,"x",C12/'AW Schulen'!$D42)</f>
        <v>0.48123620309050774</v>
      </c>
      <c r="I12" s="153">
        <f>IF('AW Schulen'!$G42=0,"x",D12/'AW Schulen'!$G42)</f>
        <v>0.50691244239631339</v>
      </c>
      <c r="J12" s="153">
        <f>IF('AW Schulen'!$J42=0,"x",E12/'AW Schulen'!$J42)</f>
        <v>0.52962515114873032</v>
      </c>
      <c r="K12" s="153">
        <f>IF('AW Schulen'!$M42=0,"x",F12/'AW Schulen'!$M42)</f>
        <v>0.53982300884955747</v>
      </c>
      <c r="L12" s="154">
        <f>IF('AW Schulen'!$P42=0,"x",G12/'AW Schulen'!$P42)</f>
        <v>0.53719008264462809</v>
      </c>
    </row>
    <row r="13" spans="1:13" ht="9" customHeight="1">
      <c r="A13" s="21" t="s">
        <v>81</v>
      </c>
      <c r="B13" s="120"/>
      <c r="C13" s="42">
        <f t="shared" ref="C13:C28" si="3">SUM(C31,C49,C67)</f>
        <v>758</v>
      </c>
      <c r="D13" s="42">
        <f t="shared" ref="D13:E13" si="4">SUM(D31,D49,D67)</f>
        <v>787</v>
      </c>
      <c r="E13" s="42">
        <f t="shared" si="4"/>
        <v>788</v>
      </c>
      <c r="F13" s="42">
        <f t="shared" ref="F13:G13" si="5">SUM(F31,F49,F67)</f>
        <v>792</v>
      </c>
      <c r="G13" s="44">
        <f t="shared" si="5"/>
        <v>825</v>
      </c>
      <c r="H13" s="153">
        <f>IF('AW Schulen'!$D43=0,"x",C13/'AW Schulen'!$D43)</f>
        <v>0.73378509196515007</v>
      </c>
      <c r="I13" s="153">
        <f>IF('AW Schulen'!$G43=0,"x",D13/'AW Schulen'!$G43)</f>
        <v>0.76930596285434993</v>
      </c>
      <c r="J13" s="153">
        <f>IF('AW Schulen'!$J43=0,"x",E13/'AW Schulen'!$J43)</f>
        <v>0.78407960199004978</v>
      </c>
      <c r="K13" s="153">
        <f>IF('AW Schulen'!$M43=0,"x",F13/'AW Schulen'!$M43)</f>
        <v>0.79438314944834498</v>
      </c>
      <c r="L13" s="154">
        <f>IF('AW Schulen'!$P43=0,"x",G13/'AW Schulen'!$P43)</f>
        <v>0.82499999999999996</v>
      </c>
    </row>
    <row r="14" spans="1:13" ht="9" customHeight="1">
      <c r="A14" s="21" t="s">
        <v>82</v>
      </c>
      <c r="B14" s="120"/>
      <c r="C14" s="149">
        <f t="shared" si="3"/>
        <v>0</v>
      </c>
      <c r="D14" s="149">
        <f t="shared" ref="D14:E14" si="6">SUM(D32,D50,D68)</f>
        <v>0</v>
      </c>
      <c r="E14" s="149">
        <f t="shared" si="6"/>
        <v>0</v>
      </c>
      <c r="F14" s="149">
        <f t="shared" ref="F14:G14" si="7">SUM(F32,F50,F68)</f>
        <v>0</v>
      </c>
      <c r="G14" s="150">
        <f t="shared" si="7"/>
        <v>0</v>
      </c>
      <c r="H14" s="153" t="str">
        <f>IF('AW Schulen'!$D44=0,"x",C14/'AW Schulen'!$D44)</f>
        <v>x</v>
      </c>
      <c r="I14" s="153" t="str">
        <f>IF('AW Schulen'!$G44=0,"x",D14/'AW Schulen'!$G44)</f>
        <v>x</v>
      </c>
      <c r="J14" s="153" t="str">
        <f>IF('AW Schulen'!$J44=0,"x",E14/'AW Schulen'!$J44)</f>
        <v>x</v>
      </c>
      <c r="K14" s="153" t="str">
        <f>IF('AW Schulen'!$M44=0,"x",F14/'AW Schulen'!$M44)</f>
        <v>x</v>
      </c>
      <c r="L14" s="154" t="str">
        <f>IF('AW Schulen'!$P44=0,"x",G14/'AW Schulen'!$P44)</f>
        <v>x</v>
      </c>
      <c r="M14" s="43"/>
    </row>
    <row r="15" spans="1:13" ht="9" customHeight="1">
      <c r="A15" s="21" t="s">
        <v>83</v>
      </c>
      <c r="B15" s="120"/>
      <c r="C15" s="149">
        <f t="shared" si="3"/>
        <v>0</v>
      </c>
      <c r="D15" s="149">
        <f t="shared" ref="D15:E15" si="8">SUM(D33,D51,D69)</f>
        <v>0</v>
      </c>
      <c r="E15" s="149">
        <f t="shared" si="8"/>
        <v>0</v>
      </c>
      <c r="F15" s="149">
        <f t="shared" ref="F15:G15" si="9">SUM(F33,F51,F69)</f>
        <v>0</v>
      </c>
      <c r="G15" s="150">
        <f t="shared" si="9"/>
        <v>0</v>
      </c>
      <c r="H15" s="153" t="str">
        <f>IF('AW Schulen'!$D45=0,"x",C15/'AW Schulen'!$D45)</f>
        <v>x</v>
      </c>
      <c r="I15" s="153" t="str">
        <f>IF('AW Schulen'!$G45=0,"x",D15/'AW Schulen'!$G45)</f>
        <v>x</v>
      </c>
      <c r="J15" s="153" t="str">
        <f>IF('AW Schulen'!$J45=0,"x",E15/'AW Schulen'!$J45)</f>
        <v>x</v>
      </c>
      <c r="K15" s="153" t="str">
        <f>IF('AW Schulen'!$M45=0,"x",F15/'AW Schulen'!$M45)</f>
        <v>x</v>
      </c>
      <c r="L15" s="154" t="str">
        <f>IF('AW Schulen'!$P45=0,"x",G15/'AW Schulen'!$P45)</f>
        <v>x</v>
      </c>
    </row>
    <row r="16" spans="1:13" ht="9" customHeight="1">
      <c r="A16" s="21" t="s">
        <v>84</v>
      </c>
      <c r="B16" s="120"/>
      <c r="C16" s="149">
        <f t="shared" si="3"/>
        <v>0</v>
      </c>
      <c r="D16" s="149">
        <f t="shared" ref="D16:E16" si="10">SUM(D34,D52,D70)</f>
        <v>0</v>
      </c>
      <c r="E16" s="149">
        <f t="shared" si="10"/>
        <v>0</v>
      </c>
      <c r="F16" s="149">
        <f t="shared" ref="F16:G16" si="11">SUM(F34,F52,F70)</f>
        <v>0</v>
      </c>
      <c r="G16" s="150">
        <f t="shared" si="11"/>
        <v>0</v>
      </c>
      <c r="H16" s="153" t="str">
        <f>IF('AW Schulen'!$D46=0,"x",C16/'AW Schulen'!$D46)</f>
        <v>x</v>
      </c>
      <c r="I16" s="153" t="str">
        <f>IF('AW Schulen'!$G46=0,"x",D16/'AW Schulen'!$G46)</f>
        <v>x</v>
      </c>
      <c r="J16" s="153" t="str">
        <f>IF('AW Schulen'!$J46=0,"x",E16/'AW Schulen'!$J46)</f>
        <v>x</v>
      </c>
      <c r="K16" s="153" t="str">
        <f>IF('AW Schulen'!$M46=0,"x",F16/'AW Schulen'!$M46)</f>
        <v>x</v>
      </c>
      <c r="L16" s="154" t="str">
        <f>IF('AW Schulen'!$P46=0,"x",G16/'AW Schulen'!$P46)</f>
        <v>x</v>
      </c>
    </row>
    <row r="17" spans="1:12" ht="9" customHeight="1">
      <c r="A17" s="21" t="s">
        <v>85</v>
      </c>
      <c r="B17" s="120"/>
      <c r="C17" s="149">
        <f t="shared" si="3"/>
        <v>0</v>
      </c>
      <c r="D17" s="149">
        <f t="shared" ref="D17:E17" si="12">SUM(D35,D53,D71)</f>
        <v>0</v>
      </c>
      <c r="E17" s="149">
        <f t="shared" si="12"/>
        <v>0</v>
      </c>
      <c r="F17" s="149">
        <f t="shared" ref="F17:G17" si="13">SUM(F35,F53,F71)</f>
        <v>0</v>
      </c>
      <c r="G17" s="150">
        <f t="shared" si="13"/>
        <v>0</v>
      </c>
      <c r="H17" s="153" t="str">
        <f>IF('AW Schulen'!$D47=0,"x",C17/'AW Schulen'!$D47)</f>
        <v>x</v>
      </c>
      <c r="I17" s="153" t="str">
        <f>IF('AW Schulen'!$G47=0,"x",D17/'AW Schulen'!$G47)</f>
        <v>x</v>
      </c>
      <c r="J17" s="153" t="str">
        <f>IF('AW Schulen'!$J47=0,"x",E17/'AW Schulen'!$J47)</f>
        <v>x</v>
      </c>
      <c r="K17" s="153" t="str">
        <f>IF('AW Schulen'!$M47=0,"x",F17/'AW Schulen'!$M47)</f>
        <v>x</v>
      </c>
      <c r="L17" s="154" t="str">
        <f>IF('AW Schulen'!$P47=0,"x",G17/'AW Schulen'!$P47)</f>
        <v>x</v>
      </c>
    </row>
    <row r="18" spans="1:12" ht="9" customHeight="1">
      <c r="A18" s="21" t="s">
        <v>86</v>
      </c>
      <c r="B18" s="120"/>
      <c r="C18" s="42">
        <f t="shared" si="3"/>
        <v>224</v>
      </c>
      <c r="D18" s="42">
        <f t="shared" ref="D18:E18" si="14">SUM(D36,D54,D72)</f>
        <v>225</v>
      </c>
      <c r="E18" s="42">
        <f t="shared" si="14"/>
        <v>219</v>
      </c>
      <c r="F18" s="42">
        <f t="shared" ref="F18:G18" si="15">SUM(F36,F54,F72)</f>
        <v>205</v>
      </c>
      <c r="G18" s="44">
        <f t="shared" si="15"/>
        <v>201</v>
      </c>
      <c r="H18" s="182">
        <v>0</v>
      </c>
      <c r="I18" s="182">
        <v>0</v>
      </c>
      <c r="J18" s="182">
        <v>0</v>
      </c>
      <c r="K18" s="182">
        <v>0</v>
      </c>
      <c r="L18" s="196">
        <v>0</v>
      </c>
    </row>
    <row r="19" spans="1:12" ht="9" customHeight="1">
      <c r="A19" s="21" t="s">
        <v>87</v>
      </c>
      <c r="B19" s="120"/>
      <c r="C19" s="149">
        <f t="shared" si="3"/>
        <v>0</v>
      </c>
      <c r="D19" s="149">
        <f t="shared" ref="D19:E19" si="16">SUM(D37,D55,D73)</f>
        <v>0</v>
      </c>
      <c r="E19" s="149">
        <f t="shared" si="16"/>
        <v>0</v>
      </c>
      <c r="F19" s="149">
        <f t="shared" ref="F19:G19" si="17">SUM(F37,F55,F73)</f>
        <v>0</v>
      </c>
      <c r="G19" s="150">
        <f t="shared" si="17"/>
        <v>0</v>
      </c>
      <c r="H19" s="153" t="str">
        <f>IF('AW Schulen'!$D49=0,"x",C19/'AW Schulen'!$D49)</f>
        <v>x</v>
      </c>
      <c r="I19" s="153" t="str">
        <f>IF('AW Schulen'!$G49=0,"x",D19/'AW Schulen'!$G49)</f>
        <v>x</v>
      </c>
      <c r="J19" s="153" t="str">
        <f>IF('AW Schulen'!$J49=0,"x",E19/'AW Schulen'!$J49)</f>
        <v>x</v>
      </c>
      <c r="K19" s="153" t="str">
        <f>IF('AW Schulen'!$M49=0,"x",F19/'AW Schulen'!$M49)</f>
        <v>x</v>
      </c>
      <c r="L19" s="154" t="str">
        <f>IF('AW Schulen'!$P49=0,"x",G19/'AW Schulen'!$P49)</f>
        <v>x</v>
      </c>
    </row>
    <row r="20" spans="1:12" ht="9" customHeight="1">
      <c r="A20" s="21" t="s">
        <v>88</v>
      </c>
      <c r="B20" s="120"/>
      <c r="C20" s="42">
        <f t="shared" si="3"/>
        <v>375</v>
      </c>
      <c r="D20" s="42">
        <f t="shared" ref="D20:E20" si="18">SUM(D38,D56,D74)</f>
        <v>374</v>
      </c>
      <c r="E20" s="42">
        <f t="shared" si="18"/>
        <v>359</v>
      </c>
      <c r="F20" s="42">
        <f t="shared" ref="F20:G20" si="19">SUM(F38,F56,F74)</f>
        <v>325</v>
      </c>
      <c r="G20" s="44">
        <f t="shared" si="19"/>
        <v>224</v>
      </c>
      <c r="H20" s="182">
        <v>0</v>
      </c>
      <c r="I20" s="182">
        <v>0</v>
      </c>
      <c r="J20" s="182">
        <v>0</v>
      </c>
      <c r="K20" s="182">
        <v>0</v>
      </c>
      <c r="L20" s="196">
        <v>0</v>
      </c>
    </row>
    <row r="21" spans="1:12" ht="9" customHeight="1">
      <c r="A21" s="21" t="s">
        <v>89</v>
      </c>
      <c r="B21" s="120"/>
      <c r="C21" s="42">
        <f t="shared" si="3"/>
        <v>310</v>
      </c>
      <c r="D21" s="42">
        <f t="shared" ref="D21:E21" si="20">SUM(D39,D57,D75)</f>
        <v>298</v>
      </c>
      <c r="E21" s="42">
        <f t="shared" si="20"/>
        <v>288</v>
      </c>
      <c r="F21" s="42">
        <f t="shared" ref="F21:G21" si="21">SUM(F39,F57,F75)</f>
        <v>267</v>
      </c>
      <c r="G21" s="44">
        <f t="shared" si="21"/>
        <v>235</v>
      </c>
      <c r="H21" s="153">
        <f>IF('AW Schulen'!$D51=0,"x",C21/'AW Schulen'!$D51)</f>
        <v>0.53819444444444442</v>
      </c>
      <c r="I21" s="153">
        <f>IF('AW Schulen'!$G51=0,"x",D21/'AW Schulen'!$G51)</f>
        <v>0.55597014925373134</v>
      </c>
      <c r="J21" s="153">
        <f>IF('AW Schulen'!$J51=0,"x",E21/'AW Schulen'!$J51)</f>
        <v>0.582995951417004</v>
      </c>
      <c r="K21" s="153">
        <f>IF('AW Schulen'!$M51=0,"x",F21/'AW Schulen'!$M51)</f>
        <v>0.58424507658643321</v>
      </c>
      <c r="L21" s="154">
        <f>IF('AW Schulen'!$P51=0,"x",G21/'AW Schulen'!$P51)</f>
        <v>0.58168316831683164</v>
      </c>
    </row>
    <row r="22" spans="1:12" ht="9" customHeight="1">
      <c r="A22" s="21" t="s">
        <v>90</v>
      </c>
      <c r="B22" s="120"/>
      <c r="C22" s="42">
        <f t="shared" si="3"/>
        <v>15</v>
      </c>
      <c r="D22" s="42">
        <f t="shared" ref="D22:E22" si="22">SUM(D40,D58,D76)</f>
        <v>2</v>
      </c>
      <c r="E22" s="42">
        <f t="shared" si="22"/>
        <v>2</v>
      </c>
      <c r="F22" s="42">
        <f t="shared" ref="F22:G22" si="23">SUM(F40,F58,F76)</f>
        <v>2</v>
      </c>
      <c r="G22" s="44">
        <f t="shared" si="23"/>
        <v>2</v>
      </c>
      <c r="H22" s="153">
        <f>IF('AW Schulen'!$D52=0,"x",C22/'AW Schulen'!$D52)</f>
        <v>0.57692307692307687</v>
      </c>
      <c r="I22" s="153">
        <f>IF('AW Schulen'!$G52=0,"x",D22/'AW Schulen'!$G52)</f>
        <v>0.4</v>
      </c>
      <c r="J22" s="153">
        <f>IF('AW Schulen'!$J52=0,"x",E22/'AW Schulen'!$J52)</f>
        <v>0.5</v>
      </c>
      <c r="K22" s="153">
        <f>IF('AW Schulen'!$M52=0,"x",F22/'AW Schulen'!$M52)</f>
        <v>0.5</v>
      </c>
      <c r="L22" s="154">
        <f>IF('AW Schulen'!$P52=0,"x",G22/'AW Schulen'!$P52)</f>
        <v>0.5</v>
      </c>
    </row>
    <row r="23" spans="1:12" ht="9" customHeight="1">
      <c r="A23" s="21" t="s">
        <v>91</v>
      </c>
      <c r="B23" s="120"/>
      <c r="C23" s="42">
        <f t="shared" si="3"/>
        <v>1</v>
      </c>
      <c r="D23" s="42">
        <f t="shared" ref="D23:E23" si="24">SUM(D41,D59,D77)</f>
        <v>1</v>
      </c>
      <c r="E23" s="42">
        <f t="shared" si="24"/>
        <v>1</v>
      </c>
      <c r="F23" s="149">
        <f t="shared" ref="F23:G23" si="25">SUM(F41,F59,F77)</f>
        <v>0</v>
      </c>
      <c r="G23" s="150">
        <f t="shared" si="25"/>
        <v>0</v>
      </c>
      <c r="H23" s="153">
        <f>IF('AW Schulen'!$D53=0,"x",C23/'AW Schulen'!$D53)</f>
        <v>1</v>
      </c>
      <c r="I23" s="153">
        <f>IF('AW Schulen'!$G53=0,"x",D23/'AW Schulen'!$G53)</f>
        <v>1</v>
      </c>
      <c r="J23" s="153">
        <f>IF('AW Schulen'!$J53=0,"x",E23/'AW Schulen'!$J53)</f>
        <v>1</v>
      </c>
      <c r="K23" s="153" t="str">
        <f>IF('AW Schulen'!$M53=0,"x",F23/'AW Schulen'!$M53)</f>
        <v>x</v>
      </c>
      <c r="L23" s="154" t="str">
        <f>IF('AW Schulen'!$P53=0,"x",G23/'AW Schulen'!$P53)</f>
        <v>x</v>
      </c>
    </row>
    <row r="24" spans="1:12" ht="9" customHeight="1">
      <c r="A24" s="21" t="s">
        <v>92</v>
      </c>
      <c r="B24" s="120"/>
      <c r="C24" s="149">
        <f t="shared" si="3"/>
        <v>0</v>
      </c>
      <c r="D24" s="149">
        <f t="shared" ref="D24:E24" si="26">SUM(D42,D60,D78)</f>
        <v>0</v>
      </c>
      <c r="E24" s="149">
        <f t="shared" si="26"/>
        <v>0</v>
      </c>
      <c r="F24" s="149">
        <f t="shared" ref="F24:G24" si="27">SUM(F42,F60,F78)</f>
        <v>0</v>
      </c>
      <c r="G24" s="150">
        <f t="shared" si="27"/>
        <v>0</v>
      </c>
      <c r="H24" s="153" t="str">
        <f>IF('AW Schulen'!$D54=0,"x",C24/'AW Schulen'!$D54)</f>
        <v>x</v>
      </c>
      <c r="I24" s="153" t="str">
        <f>IF('AW Schulen'!$G54=0,"x",D24/'AW Schulen'!$G54)</f>
        <v>x</v>
      </c>
      <c r="J24" s="153" t="str">
        <f>IF('AW Schulen'!$J54=0,"x",E24/'AW Schulen'!$J54)</f>
        <v>x</v>
      </c>
      <c r="K24" s="153" t="str">
        <f>IF('AW Schulen'!$M54=0,"x",F24/'AW Schulen'!$M54)</f>
        <v>x</v>
      </c>
      <c r="L24" s="154" t="str">
        <f>IF('AW Schulen'!$P54=0,"x",G24/'AW Schulen'!$P54)</f>
        <v>x</v>
      </c>
    </row>
    <row r="25" spans="1:12" ht="9" customHeight="1">
      <c r="A25" s="21" t="s">
        <v>93</v>
      </c>
      <c r="B25" s="120"/>
      <c r="C25" s="149">
        <f t="shared" si="3"/>
        <v>0</v>
      </c>
      <c r="D25" s="149">
        <f t="shared" ref="D25:E25" si="28">SUM(D43,D61,D79)</f>
        <v>0</v>
      </c>
      <c r="E25" s="149">
        <f t="shared" si="28"/>
        <v>0</v>
      </c>
      <c r="F25" s="149">
        <f t="shared" ref="F25:G25" si="29">SUM(F43,F61,F79)</f>
        <v>0</v>
      </c>
      <c r="G25" s="150">
        <f t="shared" si="29"/>
        <v>0</v>
      </c>
      <c r="H25" s="153" t="str">
        <f>IF('AW Schulen'!$D55=0,"x",C25/'AW Schulen'!$D55)</f>
        <v>x</v>
      </c>
      <c r="I25" s="153" t="str">
        <f>IF('AW Schulen'!$G55=0,"x",D25/'AW Schulen'!$G55)</f>
        <v>x</v>
      </c>
      <c r="J25" s="153" t="str">
        <f>IF('AW Schulen'!$G55=0,"x",E25/'AW Schulen'!$G55)</f>
        <v>x</v>
      </c>
      <c r="K25" s="153" t="str">
        <f>IF('AW Schulen'!$G55=0,"x",F25/'AW Schulen'!$G55)</f>
        <v>x</v>
      </c>
      <c r="L25" s="154" t="str">
        <f>IF('AW Schulen'!$G55=0,"x",G25/'AW Schulen'!$G55)</f>
        <v>x</v>
      </c>
    </row>
    <row r="26" spans="1:12" ht="9" customHeight="1">
      <c r="A26" s="21" t="s">
        <v>94</v>
      </c>
      <c r="B26" s="120"/>
      <c r="C26" s="42">
        <f t="shared" si="3"/>
        <v>78</v>
      </c>
      <c r="D26" s="42">
        <f t="shared" ref="D26:E26" si="30">SUM(D44,D62,D80)</f>
        <v>27</v>
      </c>
      <c r="E26" s="42">
        <f t="shared" si="30"/>
        <v>6</v>
      </c>
      <c r="F26" s="149">
        <f t="shared" ref="F26:G26" si="31">SUM(F44,F62,F80)</f>
        <v>0</v>
      </c>
      <c r="G26" s="150">
        <f t="shared" si="31"/>
        <v>0</v>
      </c>
      <c r="H26" s="153">
        <f>IF('AW Schulen'!$D56=0,"x",C26/'AW Schulen'!$D56)</f>
        <v>0.84782608695652173</v>
      </c>
      <c r="I26" s="153">
        <f>IF('AW Schulen'!$G56=0,"x",D26/'AW Schulen'!$G56)</f>
        <v>0.87096774193548387</v>
      </c>
      <c r="J26" s="153">
        <f>IF('AW Schulen'!$J56=0,"x",E26/'AW Schulen'!$J56)</f>
        <v>0.8571428571428571</v>
      </c>
      <c r="K26" s="153" t="str">
        <f>IF('AW Schulen'!$M56=0,"x",F26/'AW Schulen'!$M56)</f>
        <v>x</v>
      </c>
      <c r="L26" s="154" t="str">
        <f>IF('AW Schulen'!$P56=0,"x",G26/'AW Schulen'!$P56)</f>
        <v>x</v>
      </c>
    </row>
    <row r="27" spans="1:12" ht="9" customHeight="1">
      <c r="A27" s="21" t="s">
        <v>95</v>
      </c>
      <c r="B27" s="120"/>
      <c r="C27" s="149">
        <f t="shared" si="3"/>
        <v>0</v>
      </c>
      <c r="D27" s="149">
        <f t="shared" ref="D27:E27" si="32">SUM(D45,D63,D81)</f>
        <v>0</v>
      </c>
      <c r="E27" s="149">
        <f t="shared" si="32"/>
        <v>0</v>
      </c>
      <c r="F27" s="149">
        <f t="shared" ref="F27:G27" si="33">SUM(F45,F63,F81)</f>
        <v>0</v>
      </c>
      <c r="G27" s="150">
        <f t="shared" si="33"/>
        <v>0</v>
      </c>
      <c r="H27" s="153" t="str">
        <f>IF('AW Schulen'!$D57=0,"x",C27/'AW Schulen'!$D57)</f>
        <v>x</v>
      </c>
      <c r="I27" s="153" t="str">
        <f>IF('AW Schulen'!$G57=0,"x",D27/'AW Schulen'!$G57)</f>
        <v>x</v>
      </c>
      <c r="J27" s="153" t="str">
        <f>IF('AW Schulen'!$J57=0,"x",E27/'AW Schulen'!$J57)</f>
        <v>x</v>
      </c>
      <c r="K27" s="153" t="str">
        <f>IF('AW Schulen'!$M57=0,"x",F27/'AW Schulen'!$M57)</f>
        <v>x</v>
      </c>
      <c r="L27" s="154" t="str">
        <f>IF('AW Schulen'!$P57=0,"x",G27/'AW Schulen'!$P57)</f>
        <v>x</v>
      </c>
    </row>
    <row r="28" spans="1:12" ht="9" customHeight="1">
      <c r="A28" s="21" t="s">
        <v>96</v>
      </c>
      <c r="B28" s="120"/>
      <c r="C28" s="42">
        <f t="shared" si="3"/>
        <v>2197</v>
      </c>
      <c r="D28" s="42">
        <f t="shared" ref="D28:E28" si="34">SUM(D46,D64,D82)</f>
        <v>2154</v>
      </c>
      <c r="E28" s="42">
        <f t="shared" si="34"/>
        <v>2101</v>
      </c>
      <c r="F28" s="42">
        <f t="shared" ref="F28:G28" si="35">SUM(F46,F64,F82)</f>
        <v>2018</v>
      </c>
      <c r="G28" s="44">
        <f t="shared" si="35"/>
        <v>1877</v>
      </c>
      <c r="H28" s="153">
        <f>IF('AW Schulen'!$D58=0,"x",C28/'AW Schulen'!$D58)</f>
        <v>0.65523411869967196</v>
      </c>
      <c r="I28" s="153">
        <f>IF('AW Schulen'!$G58=0,"x",D28/'AW Schulen'!$G58)</f>
        <v>0.67928098391674552</v>
      </c>
      <c r="J28" s="153">
        <f>IF('AW Schulen'!$J58=0,"x",E28/'AW Schulen'!$J58)</f>
        <v>0.69592580324610798</v>
      </c>
      <c r="K28" s="153">
        <f>IF('AW Schulen'!$M58=0,"x",F28/'AW Schulen'!$M58)</f>
        <v>0.7026462395543176</v>
      </c>
      <c r="L28" s="154">
        <f>IF('AW Schulen'!$P58=0,"x",G28/'AW Schulen'!$P58)</f>
        <v>0.71778202676864244</v>
      </c>
    </row>
    <row r="29" spans="1:12" ht="12.75" customHeight="1">
      <c r="A29" s="391" t="s">
        <v>98</v>
      </c>
      <c r="B29" s="392"/>
      <c r="C29" s="392"/>
      <c r="D29" s="392"/>
      <c r="E29" s="392"/>
      <c r="F29" s="392"/>
      <c r="G29" s="392"/>
      <c r="H29" s="392"/>
      <c r="I29" s="392"/>
      <c r="J29" s="392"/>
      <c r="K29" s="392"/>
      <c r="L29" s="393"/>
    </row>
    <row r="30" spans="1:12" ht="9" customHeight="1">
      <c r="A30" s="21" t="s">
        <v>80</v>
      </c>
      <c r="B30" s="120"/>
      <c r="C30" s="23">
        <f>'2.2.3'!C30+'2.3.3'!C30</f>
        <v>150</v>
      </c>
      <c r="D30" s="23">
        <f>'2.2.3'!D30+'2.3.3'!D30</f>
        <v>147</v>
      </c>
      <c r="E30" s="23">
        <f>'2.2.3'!E30+'2.3.3'!E30</f>
        <v>143</v>
      </c>
      <c r="F30" s="23">
        <f>'2.2.3'!F30+'2.3.3'!F30</f>
        <v>143</v>
      </c>
      <c r="G30" s="34">
        <f>'2.2.3'!G30+'2.3.3'!G30</f>
        <v>136</v>
      </c>
      <c r="H30" s="155">
        <f>IF('AW Schulen'!$D42=0,"x",C30/'AW Schulen'!$D42)</f>
        <v>0.16556291390728478</v>
      </c>
      <c r="I30" s="155">
        <f>IF('AW Schulen'!$G42=0,"x",D30/'AW Schulen'!$G42)</f>
        <v>0.16935483870967741</v>
      </c>
      <c r="J30" s="155">
        <f>IF('AW Schulen'!$J42=0,"x",E30/'AW Schulen'!$J42)</f>
        <v>0.17291414752116083</v>
      </c>
      <c r="K30" s="155">
        <f>IF('AW Schulen'!$M42=0,"x",F30/'AW Schulen'!$M42)</f>
        <v>0.18078381795195955</v>
      </c>
      <c r="L30" s="156">
        <f>IF('AW Schulen'!$P42=0,"x",G30/'AW Schulen'!$P42)</f>
        <v>0.18732782369146006</v>
      </c>
    </row>
    <row r="31" spans="1:12" ht="9" customHeight="1">
      <c r="A31" s="21" t="s">
        <v>81</v>
      </c>
      <c r="B31" s="120"/>
      <c r="C31" s="23">
        <f>'2.2.3'!C31+'2.3.3'!C31</f>
        <v>14</v>
      </c>
      <c r="D31" s="23">
        <f>'2.2.3'!D31+'2.3.3'!D31</f>
        <v>19</v>
      </c>
      <c r="E31" s="23">
        <f>'2.2.3'!E31+'2.3.3'!E31</f>
        <v>22</v>
      </c>
      <c r="F31" s="23">
        <f>'2.2.3'!F31+'2.3.3'!F31</f>
        <v>24</v>
      </c>
      <c r="G31" s="34">
        <f>'2.2.3'!G31+'2.3.3'!G31</f>
        <v>31</v>
      </c>
      <c r="H31" s="155">
        <f>IF('AW Schulen'!$D43=0,"x",C31/'AW Schulen'!$D43)</f>
        <v>1.3552758954501452E-2</v>
      </c>
      <c r="I31" s="155">
        <f>IF('AW Schulen'!$G43=0,"x",D31/'AW Schulen'!$G43)</f>
        <v>1.8572825024437929E-2</v>
      </c>
      <c r="J31" s="155">
        <f>IF('AW Schulen'!$J43=0,"x",E31/'AW Schulen'!$J43)</f>
        <v>2.1890547263681594E-2</v>
      </c>
      <c r="K31" s="155">
        <f>IF('AW Schulen'!$M43=0,"x",F31/'AW Schulen'!$M43)</f>
        <v>2.4072216649949848E-2</v>
      </c>
      <c r="L31" s="156">
        <f>IF('AW Schulen'!$P43=0,"x",G31/'AW Schulen'!$P43)</f>
        <v>3.1E-2</v>
      </c>
    </row>
    <row r="32" spans="1:12" ht="9" customHeight="1">
      <c r="A32" s="21" t="s">
        <v>82</v>
      </c>
      <c r="B32" s="120"/>
      <c r="C32" s="151">
        <f>'2.2.3'!C32+'2.3.3'!C32</f>
        <v>0</v>
      </c>
      <c r="D32" s="151">
        <f>'2.2.3'!D32+'2.3.3'!D32</f>
        <v>0</v>
      </c>
      <c r="E32" s="151">
        <f>'2.2.3'!E32+'2.3.3'!E32</f>
        <v>0</v>
      </c>
      <c r="F32" s="151">
        <f>'2.2.3'!F32+'2.3.3'!F32</f>
        <v>0</v>
      </c>
      <c r="G32" s="152">
        <f>'2.2.3'!G32+'2.3.3'!G32</f>
        <v>0</v>
      </c>
      <c r="H32" s="155" t="str">
        <f>IF('AW Schulen'!$D44=0,"x",C32/'AW Schulen'!$D44)</f>
        <v>x</v>
      </c>
      <c r="I32" s="155" t="str">
        <f>IF('AW Schulen'!$G44=0,"x",D32/'AW Schulen'!$G44)</f>
        <v>x</v>
      </c>
      <c r="J32" s="155" t="str">
        <f>IF('AW Schulen'!$J44=0,"x",E32/'AW Schulen'!$J44)</f>
        <v>x</v>
      </c>
      <c r="K32" s="155" t="str">
        <f>IF('AW Schulen'!$M44=0,"x",F32/'AW Schulen'!$M44)</f>
        <v>x</v>
      </c>
      <c r="L32" s="156" t="str">
        <f>IF('AW Schulen'!$P44=0,"x",G32/'AW Schulen'!$P44)</f>
        <v>x</v>
      </c>
    </row>
    <row r="33" spans="1:12" ht="9" customHeight="1">
      <c r="A33" s="21" t="s">
        <v>83</v>
      </c>
      <c r="B33" s="120"/>
      <c r="C33" s="151">
        <f>'2.2.3'!C33+'2.3.3'!C33</f>
        <v>0</v>
      </c>
      <c r="D33" s="151">
        <f>'2.2.3'!D33+'2.3.3'!D33</f>
        <v>0</v>
      </c>
      <c r="E33" s="151">
        <f>'2.2.3'!E33+'2.3.3'!E33</f>
        <v>0</v>
      </c>
      <c r="F33" s="151">
        <f>'2.2.3'!F33+'2.3.3'!F33</f>
        <v>0</v>
      </c>
      <c r="G33" s="152">
        <f>'2.2.3'!G33+'2.3.3'!G33</f>
        <v>0</v>
      </c>
      <c r="H33" s="155" t="str">
        <f>IF('AW Schulen'!$D45=0,"x",C33/'AW Schulen'!$D45)</f>
        <v>x</v>
      </c>
      <c r="I33" s="155" t="str">
        <f>IF('AW Schulen'!$G45=0,"x",D33/'AW Schulen'!$G45)</f>
        <v>x</v>
      </c>
      <c r="J33" s="155" t="str">
        <f>IF('AW Schulen'!$J45=0,"x",E33/'AW Schulen'!$J45)</f>
        <v>x</v>
      </c>
      <c r="K33" s="155" t="str">
        <f>IF('AW Schulen'!$M45=0,"x",F33/'AW Schulen'!$M45)</f>
        <v>x</v>
      </c>
      <c r="L33" s="156" t="str">
        <f>IF('AW Schulen'!$P45=0,"x",G33/'AW Schulen'!$P45)</f>
        <v>x</v>
      </c>
    </row>
    <row r="34" spans="1:12" ht="9" customHeight="1">
      <c r="A34" s="21" t="s">
        <v>84</v>
      </c>
      <c r="B34" s="120"/>
      <c r="C34" s="151">
        <f>'2.2.3'!C34+'2.3.3'!C34</f>
        <v>0</v>
      </c>
      <c r="D34" s="151">
        <f>'2.2.3'!D34+'2.3.3'!D34</f>
        <v>0</v>
      </c>
      <c r="E34" s="151">
        <f>'2.2.3'!E34+'2.3.3'!E34</f>
        <v>0</v>
      </c>
      <c r="F34" s="151">
        <f>'2.2.3'!F34+'2.3.3'!F34</f>
        <v>0</v>
      </c>
      <c r="G34" s="152">
        <f>'2.2.3'!G34+'2.3.3'!G34</f>
        <v>0</v>
      </c>
      <c r="H34" s="155" t="str">
        <f>IF('AW Schulen'!$D46=0,"x",C34/'AW Schulen'!$D46)</f>
        <v>x</v>
      </c>
      <c r="I34" s="155" t="str">
        <f>IF('AW Schulen'!$G46=0,"x",D34/'AW Schulen'!$G46)</f>
        <v>x</v>
      </c>
      <c r="J34" s="155" t="str">
        <f>IF('AW Schulen'!$J46=0,"x",E34/'AW Schulen'!$J46)</f>
        <v>x</v>
      </c>
      <c r="K34" s="155" t="str">
        <f>IF('AW Schulen'!$M46=0,"x",F34/'AW Schulen'!$M46)</f>
        <v>x</v>
      </c>
      <c r="L34" s="156" t="str">
        <f>IF('AW Schulen'!$P46=0,"x",G34/'AW Schulen'!$P46)</f>
        <v>x</v>
      </c>
    </row>
    <row r="35" spans="1:12" ht="9" customHeight="1">
      <c r="A35" s="21" t="s">
        <v>85</v>
      </c>
      <c r="B35" s="120"/>
      <c r="C35" s="151">
        <f>'2.2.3'!C35+'2.3.3'!C35</f>
        <v>0</v>
      </c>
      <c r="D35" s="151">
        <f>'2.2.3'!D35+'2.3.3'!D35</f>
        <v>0</v>
      </c>
      <c r="E35" s="151">
        <f>'2.2.3'!E35+'2.3.3'!E35</f>
        <v>0</v>
      </c>
      <c r="F35" s="151">
        <f>'2.2.3'!F35+'2.3.3'!F35</f>
        <v>0</v>
      </c>
      <c r="G35" s="152">
        <f>'2.2.3'!G35+'2.3.3'!G35</f>
        <v>0</v>
      </c>
      <c r="H35" s="155" t="str">
        <f>IF('AW Schulen'!$D47=0,"x",C35/'AW Schulen'!$D47)</f>
        <v>x</v>
      </c>
      <c r="I35" s="155" t="str">
        <f>IF('AW Schulen'!$G47=0,"x",D35/'AW Schulen'!$G47)</f>
        <v>x</v>
      </c>
      <c r="J35" s="155" t="str">
        <f>IF('AW Schulen'!$J47=0,"x",E35/'AW Schulen'!$J47)</f>
        <v>x</v>
      </c>
      <c r="K35" s="155" t="str">
        <f>IF('AW Schulen'!$M47=0,"x",F35/'AW Schulen'!$M47)</f>
        <v>x</v>
      </c>
      <c r="L35" s="156" t="str">
        <f>IF('AW Schulen'!$P47=0,"x",G35/'AW Schulen'!$P47)</f>
        <v>x</v>
      </c>
    </row>
    <row r="36" spans="1:12" ht="9" customHeight="1">
      <c r="A36" s="21" t="s">
        <v>86</v>
      </c>
      <c r="B36" s="120"/>
      <c r="C36" s="23">
        <f>'2.2.3'!C36+'2.3.3'!C36</f>
        <v>6</v>
      </c>
      <c r="D36" s="23">
        <f>'2.2.3'!D36+'2.3.3'!D36</f>
        <v>6</v>
      </c>
      <c r="E36" s="23">
        <f>'2.2.3'!E36+'2.3.3'!E36</f>
        <v>6</v>
      </c>
      <c r="F36" s="23">
        <f>'2.2.3'!F36+'2.3.3'!F36</f>
        <v>7</v>
      </c>
      <c r="G36" s="34">
        <f>'2.2.3'!G36+'2.3.3'!G36</f>
        <v>8</v>
      </c>
      <c r="H36" s="183">
        <v>0</v>
      </c>
      <c r="I36" s="183">
        <v>0</v>
      </c>
      <c r="J36" s="183">
        <v>0</v>
      </c>
      <c r="K36" s="183">
        <v>0</v>
      </c>
      <c r="L36" s="197">
        <v>0</v>
      </c>
    </row>
    <row r="37" spans="1:12" ht="9" customHeight="1">
      <c r="A37" s="21" t="s">
        <v>87</v>
      </c>
      <c r="B37" s="120"/>
      <c r="C37" s="151">
        <f>'2.2.3'!C37+'2.3.3'!C37</f>
        <v>0</v>
      </c>
      <c r="D37" s="151">
        <f>'2.2.3'!D37+'2.3.3'!D37</f>
        <v>0</v>
      </c>
      <c r="E37" s="151">
        <f>'2.2.3'!E37+'2.3.3'!E37</f>
        <v>0</v>
      </c>
      <c r="F37" s="151">
        <f>'2.2.3'!F37+'2.3.3'!F37</f>
        <v>0</v>
      </c>
      <c r="G37" s="152">
        <f>'2.2.3'!G37+'2.3.3'!G37</f>
        <v>0</v>
      </c>
      <c r="H37" s="155" t="str">
        <f>IF('AW Schulen'!$D49=0,"x",C37/'AW Schulen'!$D49)</f>
        <v>x</v>
      </c>
      <c r="I37" s="155" t="str">
        <f>IF('AW Schulen'!$G49=0,"x",D37/'AW Schulen'!$G49)</f>
        <v>x</v>
      </c>
      <c r="J37" s="155" t="str">
        <f>IF('AW Schulen'!$J49=0,"x",E37/'AW Schulen'!$J49)</f>
        <v>x</v>
      </c>
      <c r="K37" s="155" t="str">
        <f>IF('AW Schulen'!$M49=0,"x",F37/'AW Schulen'!$M49)</f>
        <v>x</v>
      </c>
      <c r="L37" s="156" t="str">
        <f>IF('AW Schulen'!$P49=0,"x",G37/'AW Schulen'!$P49)</f>
        <v>x</v>
      </c>
    </row>
    <row r="38" spans="1:12" ht="9" customHeight="1">
      <c r="A38" s="21" t="s">
        <v>88</v>
      </c>
      <c r="B38" s="120"/>
      <c r="C38" s="23">
        <f>'2.2.3'!C38+'2.3.3'!C38</f>
        <v>20</v>
      </c>
      <c r="D38" s="23">
        <f>'2.2.3'!D38+'2.3.3'!D38</f>
        <v>23</v>
      </c>
      <c r="E38" s="23">
        <f>'2.2.3'!E38+'2.3.3'!E38</f>
        <v>14</v>
      </c>
      <c r="F38" s="23">
        <f>'2.2.3'!F38+'2.3.3'!F38</f>
        <v>8</v>
      </c>
      <c r="G38" s="34">
        <f>'2.2.3'!G38+'2.3.3'!G38</f>
        <v>8</v>
      </c>
      <c r="H38" s="183">
        <v>0</v>
      </c>
      <c r="I38" s="183">
        <v>0</v>
      </c>
      <c r="J38" s="183">
        <v>0</v>
      </c>
      <c r="K38" s="183">
        <v>0</v>
      </c>
      <c r="L38" s="197">
        <v>0</v>
      </c>
    </row>
    <row r="39" spans="1:12" ht="9" customHeight="1">
      <c r="A39" s="21" t="s">
        <v>89</v>
      </c>
      <c r="B39" s="120"/>
      <c r="C39" s="23">
        <f>'2.2.3'!C39+'2.3.3'!C39</f>
        <v>310</v>
      </c>
      <c r="D39" s="23">
        <f>'2.2.3'!D39+'2.3.3'!D39</f>
        <v>298</v>
      </c>
      <c r="E39" s="23">
        <f>'2.2.3'!E39+'2.3.3'!E39</f>
        <v>288</v>
      </c>
      <c r="F39" s="23">
        <f>'2.2.3'!F39+'2.3.3'!F39</f>
        <v>267</v>
      </c>
      <c r="G39" s="34">
        <f>'2.2.3'!G39+'2.3.3'!G39</f>
        <v>235</v>
      </c>
      <c r="H39" s="155">
        <f>IF('AW Schulen'!$D51=0,"x",C39/'AW Schulen'!$D51)</f>
        <v>0.53819444444444442</v>
      </c>
      <c r="I39" s="155">
        <f>IF('AW Schulen'!$G51=0,"x",D39/'AW Schulen'!$G51)</f>
        <v>0.55597014925373134</v>
      </c>
      <c r="J39" s="155">
        <f>IF('AW Schulen'!$J51=0,"x",E39/'AW Schulen'!$J51)</f>
        <v>0.582995951417004</v>
      </c>
      <c r="K39" s="155">
        <f>IF('AW Schulen'!$M51=0,"x",F39/'AW Schulen'!$M51)</f>
        <v>0.58424507658643321</v>
      </c>
      <c r="L39" s="156">
        <f>IF('AW Schulen'!$P51=0,"x",G39/'AW Schulen'!$P51)</f>
        <v>0.58168316831683164</v>
      </c>
    </row>
    <row r="40" spans="1:12" ht="9" customHeight="1">
      <c r="A40" s="21" t="s">
        <v>90</v>
      </c>
      <c r="B40" s="120"/>
      <c r="C40" s="23">
        <f>'2.2.3'!C40+'2.3.3'!C40</f>
        <v>4</v>
      </c>
      <c r="D40" s="23">
        <f>'2.2.3'!D40+'2.3.3'!D40</f>
        <v>2</v>
      </c>
      <c r="E40" s="23">
        <f>'2.2.3'!E40+'2.3.3'!E40</f>
        <v>2</v>
      </c>
      <c r="F40" s="23">
        <f>'2.2.3'!F40+'2.3.3'!F40</f>
        <v>2</v>
      </c>
      <c r="G40" s="34">
        <f>'2.2.3'!G40+'2.3.3'!G40</f>
        <v>2</v>
      </c>
      <c r="H40" s="155">
        <f>IF('AW Schulen'!$D52=0,"x",C40/'AW Schulen'!$D52)</f>
        <v>0.15384615384615385</v>
      </c>
      <c r="I40" s="155">
        <f>IF('AW Schulen'!$G52=0,"x",D40/'AW Schulen'!$G52)</f>
        <v>0.4</v>
      </c>
      <c r="J40" s="155">
        <f>IF('AW Schulen'!$J52=0,"x",E40/'AW Schulen'!$J52)</f>
        <v>0.5</v>
      </c>
      <c r="K40" s="155">
        <f>IF('AW Schulen'!$M52=0,"x",F40/'AW Schulen'!$M52)</f>
        <v>0.5</v>
      </c>
      <c r="L40" s="156">
        <f>IF('AW Schulen'!$P52=0,"x",G40/'AW Schulen'!$P52)</f>
        <v>0.5</v>
      </c>
    </row>
    <row r="41" spans="1:12" ht="9" customHeight="1">
      <c r="A41" s="21" t="s">
        <v>91</v>
      </c>
      <c r="B41" s="120"/>
      <c r="C41" s="23">
        <f>'2.2.3'!C41+'2.3.3'!C41</f>
        <v>0</v>
      </c>
      <c r="D41" s="23">
        <f>'2.2.3'!D41+'2.3.3'!D41</f>
        <v>0</v>
      </c>
      <c r="E41" s="23">
        <f>'2.2.3'!E41+'2.3.3'!E41</f>
        <v>0</v>
      </c>
      <c r="F41" s="151">
        <f>'2.2.3'!F41+'2.3.3'!F41</f>
        <v>0</v>
      </c>
      <c r="G41" s="152">
        <f>'2.2.3'!G41+'2.3.3'!G41</f>
        <v>0</v>
      </c>
      <c r="H41" s="155">
        <f>IF('AW Schulen'!$D53=0,"x",C41/'AW Schulen'!$D53)</f>
        <v>0</v>
      </c>
      <c r="I41" s="155">
        <f>IF('AW Schulen'!$G53=0,"x",D41/'AW Schulen'!$G53)</f>
        <v>0</v>
      </c>
      <c r="J41" s="155">
        <f>IF('AW Schulen'!$J53=0,"x",E41/'AW Schulen'!$J53)</f>
        <v>0</v>
      </c>
      <c r="K41" s="155" t="str">
        <f>IF('AW Schulen'!$M53=0,"x",F41/'AW Schulen'!$M53)</f>
        <v>x</v>
      </c>
      <c r="L41" s="156" t="str">
        <f>IF('AW Schulen'!$P53=0,"x",G41/'AW Schulen'!$P53)</f>
        <v>x</v>
      </c>
    </row>
    <row r="42" spans="1:12" ht="9" customHeight="1">
      <c r="A42" s="21" t="s">
        <v>92</v>
      </c>
      <c r="B42" s="120"/>
      <c r="C42" s="151">
        <f>'2.2.3'!C42+'2.3.3'!C42</f>
        <v>0</v>
      </c>
      <c r="D42" s="151">
        <f>'2.2.3'!D42+'2.3.3'!D42</f>
        <v>0</v>
      </c>
      <c r="E42" s="151">
        <f>'2.2.3'!E42+'2.3.3'!E42</f>
        <v>0</v>
      </c>
      <c r="F42" s="151">
        <f>'2.2.3'!F42+'2.3.3'!F42</f>
        <v>0</v>
      </c>
      <c r="G42" s="152">
        <f>'2.2.3'!G42+'2.3.3'!G42</f>
        <v>0</v>
      </c>
      <c r="H42" s="155" t="str">
        <f>IF('AW Schulen'!$D54=0,"x",C42/'AW Schulen'!$D54)</f>
        <v>x</v>
      </c>
      <c r="I42" s="155" t="str">
        <f>IF('AW Schulen'!$G54=0,"x",D42/'AW Schulen'!$G54)</f>
        <v>x</v>
      </c>
      <c r="J42" s="155" t="str">
        <f>IF('AW Schulen'!$J54=0,"x",E42/'AW Schulen'!$J54)</f>
        <v>x</v>
      </c>
      <c r="K42" s="155" t="str">
        <f>IF('AW Schulen'!$M54=0,"x",F42/'AW Schulen'!$M54)</f>
        <v>x</v>
      </c>
      <c r="L42" s="156" t="str">
        <f>IF('AW Schulen'!$P54=0,"x",G42/'AW Schulen'!$P54)</f>
        <v>x</v>
      </c>
    </row>
    <row r="43" spans="1:12" ht="9" customHeight="1">
      <c r="A43" s="21" t="s">
        <v>93</v>
      </c>
      <c r="B43" s="120"/>
      <c r="C43" s="151">
        <f>'2.2.3'!C43+'2.3.3'!C43</f>
        <v>0</v>
      </c>
      <c r="D43" s="151">
        <f>'2.2.3'!D43+'2.3.3'!D43</f>
        <v>0</v>
      </c>
      <c r="E43" s="151">
        <f>'2.2.3'!E43+'2.3.3'!E43</f>
        <v>0</v>
      </c>
      <c r="F43" s="151">
        <f>'2.2.3'!F43+'2.3.3'!F43</f>
        <v>0</v>
      </c>
      <c r="G43" s="152">
        <f>'2.2.3'!G43+'2.3.3'!G43</f>
        <v>0</v>
      </c>
      <c r="H43" s="155" t="str">
        <f>IF('AW Schulen'!$D55=0,"x",C43/'AW Schulen'!$D55)</f>
        <v>x</v>
      </c>
      <c r="I43" s="155" t="str">
        <f>IF('AW Schulen'!$G55=0,"x",D43/'AW Schulen'!$G55)</f>
        <v>x</v>
      </c>
      <c r="J43" s="155" t="str">
        <f>IF('AW Schulen'!$G55=0,"x",E43/'AW Schulen'!$G55)</f>
        <v>x</v>
      </c>
      <c r="K43" s="155" t="str">
        <f>IF('AW Schulen'!$G55=0,"x",F43/'AW Schulen'!$G55)</f>
        <v>x</v>
      </c>
      <c r="L43" s="156" t="str">
        <f>IF('AW Schulen'!$G55=0,"x",G43/'AW Schulen'!$G55)</f>
        <v>x</v>
      </c>
    </row>
    <row r="44" spans="1:12" ht="9" customHeight="1">
      <c r="A44" s="21" t="s">
        <v>94</v>
      </c>
      <c r="B44" s="120"/>
      <c r="C44" s="23">
        <f>'2.2.3'!C44+'2.3.3'!C44</f>
        <v>4</v>
      </c>
      <c r="D44" s="23">
        <f>'2.2.3'!D44+'2.3.3'!D44</f>
        <v>1</v>
      </c>
      <c r="E44" s="23">
        <f>'2.2.3'!E44+'2.3.3'!E44</f>
        <v>0</v>
      </c>
      <c r="F44" s="151">
        <f>'2.2.3'!F44+'2.3.3'!F44</f>
        <v>0</v>
      </c>
      <c r="G44" s="152">
        <f>'2.2.3'!G44+'2.3.3'!G44</f>
        <v>0</v>
      </c>
      <c r="H44" s="155">
        <f>IF('AW Schulen'!$D56=0,"x",C44/'AW Schulen'!$D56)</f>
        <v>4.3478260869565216E-2</v>
      </c>
      <c r="I44" s="155">
        <f>IF('AW Schulen'!$G56=0,"x",D44/'AW Schulen'!$G56)</f>
        <v>3.2258064516129031E-2</v>
      </c>
      <c r="J44" s="155">
        <f>IF('AW Schulen'!$J56=0,"x",E44/'AW Schulen'!$J56)</f>
        <v>0</v>
      </c>
      <c r="K44" s="155" t="str">
        <f>IF('AW Schulen'!$M56=0,"x",F44/'AW Schulen'!$M56)</f>
        <v>x</v>
      </c>
      <c r="L44" s="156" t="str">
        <f>IF('AW Schulen'!$P56=0,"x",G44/'AW Schulen'!$P56)</f>
        <v>x</v>
      </c>
    </row>
    <row r="45" spans="1:12" ht="9" customHeight="1">
      <c r="A45" s="21" t="s">
        <v>95</v>
      </c>
      <c r="B45" s="120"/>
      <c r="C45" s="151">
        <f>'2.2.3'!C45+'2.3.3'!C45</f>
        <v>0</v>
      </c>
      <c r="D45" s="151">
        <f>'2.2.3'!D45+'2.3.3'!D45</f>
        <v>0</v>
      </c>
      <c r="E45" s="151">
        <f>'2.2.3'!E45+'2.3.3'!E45</f>
        <v>0</v>
      </c>
      <c r="F45" s="151">
        <f>'2.2.3'!F45+'2.3.3'!F45</f>
        <v>0</v>
      </c>
      <c r="G45" s="152">
        <f>'2.2.3'!G45+'2.3.3'!G45</f>
        <v>0</v>
      </c>
      <c r="H45" s="155" t="str">
        <f>IF('AW Schulen'!$D57=0,"x",C45/'AW Schulen'!$D57)</f>
        <v>x</v>
      </c>
      <c r="I45" s="155" t="str">
        <f>IF('AW Schulen'!$G57=0,"x",D45/'AW Schulen'!$G57)</f>
        <v>x</v>
      </c>
      <c r="J45" s="155" t="str">
        <f>IF('AW Schulen'!$J57=0,"x",E45/'AW Schulen'!$J57)</f>
        <v>x</v>
      </c>
      <c r="K45" s="155" t="str">
        <f>IF('AW Schulen'!$M57=0,"x",F45/'AW Schulen'!$M57)</f>
        <v>x</v>
      </c>
      <c r="L45" s="156" t="str">
        <f>IF('AW Schulen'!$P57=0,"x",G45/'AW Schulen'!$P57)</f>
        <v>x</v>
      </c>
    </row>
    <row r="46" spans="1:12" ht="9" customHeight="1">
      <c r="A46" s="21" t="s">
        <v>96</v>
      </c>
      <c r="B46" s="120"/>
      <c r="C46" s="23">
        <f>'2.2.3'!C46+'2.3.3'!C46</f>
        <v>508</v>
      </c>
      <c r="D46" s="23">
        <f>'2.2.3'!D46+'2.3.3'!D46</f>
        <v>496</v>
      </c>
      <c r="E46" s="23">
        <f>'2.2.3'!E46+'2.3.3'!E46</f>
        <v>475</v>
      </c>
      <c r="F46" s="23">
        <f>'2.2.3'!F46+'2.3.3'!F46</f>
        <v>451</v>
      </c>
      <c r="G46" s="34">
        <f>'2.2.3'!G46+'2.3.3'!G46</f>
        <v>420</v>
      </c>
      <c r="H46" s="155">
        <f>IF('AW Schulen'!$D58=0,"x",C46/'AW Schulen'!$D58)</f>
        <v>0.15150611392782581</v>
      </c>
      <c r="I46" s="155">
        <f>IF('AW Schulen'!$G58=0,"x",D46/'AW Schulen'!$G58)</f>
        <v>0.15641753390097762</v>
      </c>
      <c r="J46" s="155">
        <f>IF('AW Schulen'!$J58=0,"x",E46/'AW Schulen'!$J58)</f>
        <v>0.15733686651209008</v>
      </c>
      <c r="K46" s="155">
        <f>IF('AW Schulen'!$M58=0,"x",F46/'AW Schulen'!$M58)</f>
        <v>0.157033426183844</v>
      </c>
      <c r="L46" s="156">
        <f>IF('AW Schulen'!$P58=0,"x",G46/'AW Schulen'!$P58)</f>
        <v>0.16061185468451242</v>
      </c>
    </row>
    <row r="47" spans="1:12" ht="12.75" customHeight="1">
      <c r="A47" s="391" t="s">
        <v>99</v>
      </c>
      <c r="B47" s="392"/>
      <c r="C47" s="392"/>
      <c r="D47" s="392"/>
      <c r="E47" s="392"/>
      <c r="F47" s="392"/>
      <c r="G47" s="392"/>
      <c r="H47" s="392"/>
      <c r="I47" s="392"/>
      <c r="J47" s="392"/>
      <c r="K47" s="392"/>
      <c r="L47" s="393"/>
    </row>
    <row r="48" spans="1:12" ht="9" customHeight="1">
      <c r="A48" s="21" t="s">
        <v>80</v>
      </c>
      <c r="B48" s="120"/>
      <c r="C48" s="23">
        <f>'2.2.3'!C48+'2.3.3'!C48</f>
        <v>119</v>
      </c>
      <c r="D48" s="23">
        <f>'2.2.3'!D48+'2.3.3'!D48</f>
        <v>121</v>
      </c>
      <c r="E48" s="23">
        <f>'2.2.3'!E48+'2.3.3'!E48</f>
        <v>117</v>
      </c>
      <c r="F48" s="23">
        <f>'2.2.3'!F48+'2.3.3'!F48</f>
        <v>112</v>
      </c>
      <c r="G48" s="34">
        <f>'2.2.3'!G48+'2.3.3'!G48</f>
        <v>95</v>
      </c>
      <c r="H48" s="155">
        <f>IF('AW Schulen'!$D42=0,"x",C48/'AW Schulen'!$D42)</f>
        <v>0.13134657836644592</v>
      </c>
      <c r="I48" s="155">
        <f>IF('AW Schulen'!$G42=0,"x",D48/'AW Schulen'!$G42)</f>
        <v>0.13940092165898618</v>
      </c>
      <c r="J48" s="155">
        <f>IF('AW Schulen'!$J42=0,"x",E48/'AW Schulen'!$J42)</f>
        <v>0.14147521160822249</v>
      </c>
      <c r="K48" s="155">
        <f>IF('AW Schulen'!$M42=0,"x",F48/'AW Schulen'!$M42)</f>
        <v>0.1415929203539823</v>
      </c>
      <c r="L48" s="156">
        <f>IF('AW Schulen'!$P42=0,"x",G48/'AW Schulen'!$P42)</f>
        <v>0.13085399449035812</v>
      </c>
    </row>
    <row r="49" spans="1:15" ht="9" customHeight="1">
      <c r="A49" s="21" t="s">
        <v>81</v>
      </c>
      <c r="B49" s="120"/>
      <c r="C49" s="23">
        <f>'2.2.3'!C49+'2.3.3'!C49</f>
        <v>388</v>
      </c>
      <c r="D49" s="23">
        <f>'2.2.3'!D49+'2.3.3'!D49</f>
        <v>399</v>
      </c>
      <c r="E49" s="23">
        <f>'2.2.3'!E49+'2.3.3'!E49</f>
        <v>388</v>
      </c>
      <c r="F49" s="23">
        <f>'2.2.3'!F49+'2.3.3'!F49</f>
        <v>383</v>
      </c>
      <c r="G49" s="34">
        <f>'2.2.3'!G49+'2.3.3'!G49</f>
        <v>375</v>
      </c>
      <c r="H49" s="155">
        <f>IF('AW Schulen'!$D43=0,"x",C49/'AW Schulen'!$D43)</f>
        <v>0.37560503388189737</v>
      </c>
      <c r="I49" s="155">
        <f>IF('AW Schulen'!$G43=0,"x",D49/'AW Schulen'!$G43)</f>
        <v>0.39002932551319647</v>
      </c>
      <c r="J49" s="155">
        <f>IF('AW Schulen'!$J43=0,"x",E49/'AW Schulen'!$J43)</f>
        <v>0.38606965174129354</v>
      </c>
      <c r="K49" s="155">
        <f>IF('AW Schulen'!$M43=0,"x",F49/'AW Schulen'!$M43)</f>
        <v>0.38415245737211634</v>
      </c>
      <c r="L49" s="156">
        <f>IF('AW Schulen'!$P43=0,"x",G49/'AW Schulen'!$P43)</f>
        <v>0.375</v>
      </c>
    </row>
    <row r="50" spans="1:15" ht="9" customHeight="1">
      <c r="A50" s="21" t="s">
        <v>82</v>
      </c>
      <c r="B50" s="120"/>
      <c r="C50" s="151">
        <f>'2.2.3'!C50+'2.3.3'!C50</f>
        <v>0</v>
      </c>
      <c r="D50" s="151">
        <f>'2.2.3'!D50+'2.3.3'!D50</f>
        <v>0</v>
      </c>
      <c r="E50" s="151">
        <f>'2.2.3'!E50+'2.3.3'!E50</f>
        <v>0</v>
      </c>
      <c r="F50" s="151">
        <f>'2.2.3'!F50+'2.3.3'!F50</f>
        <v>0</v>
      </c>
      <c r="G50" s="152">
        <f>'2.2.3'!G50+'2.3.3'!G50</f>
        <v>0</v>
      </c>
      <c r="H50" s="155" t="str">
        <f>IF('AW Schulen'!$D44=0,"x",C50/'AW Schulen'!$D44)</f>
        <v>x</v>
      </c>
      <c r="I50" s="155" t="str">
        <f>IF('AW Schulen'!$G44=0,"x",D50/'AW Schulen'!$G44)</f>
        <v>x</v>
      </c>
      <c r="J50" s="155" t="str">
        <f>IF('AW Schulen'!$J44=0,"x",E50/'AW Schulen'!$J44)</f>
        <v>x</v>
      </c>
      <c r="K50" s="155" t="str">
        <f>IF('AW Schulen'!$M44=0,"x",F50/'AW Schulen'!$M44)</f>
        <v>x</v>
      </c>
      <c r="L50" s="156" t="str">
        <f>IF('AW Schulen'!$P44=0,"x",G50/'AW Schulen'!$P44)</f>
        <v>x</v>
      </c>
    </row>
    <row r="51" spans="1:15" ht="9" customHeight="1">
      <c r="A51" s="21" t="s">
        <v>83</v>
      </c>
      <c r="B51" s="120"/>
      <c r="C51" s="151">
        <f>'2.2.3'!C51+'2.3.3'!C51</f>
        <v>0</v>
      </c>
      <c r="D51" s="151">
        <f>'2.2.3'!D51+'2.3.3'!D51</f>
        <v>0</v>
      </c>
      <c r="E51" s="151">
        <f>'2.2.3'!E51+'2.3.3'!E51</f>
        <v>0</v>
      </c>
      <c r="F51" s="151">
        <f>'2.2.3'!F51+'2.3.3'!F51</f>
        <v>0</v>
      </c>
      <c r="G51" s="152">
        <f>'2.2.3'!G51+'2.3.3'!G51</f>
        <v>0</v>
      </c>
      <c r="H51" s="155" t="str">
        <f>IF('AW Schulen'!$D45=0,"x",C51/'AW Schulen'!$D45)</f>
        <v>x</v>
      </c>
      <c r="I51" s="155" t="str">
        <f>IF('AW Schulen'!$G45=0,"x",D51/'AW Schulen'!$G45)</f>
        <v>x</v>
      </c>
      <c r="J51" s="155" t="str">
        <f>IF('AW Schulen'!$J45=0,"x",E51/'AW Schulen'!$J45)</f>
        <v>x</v>
      </c>
      <c r="K51" s="155" t="str">
        <f>IF('AW Schulen'!$M45=0,"x",F51/'AW Schulen'!$M45)</f>
        <v>x</v>
      </c>
      <c r="L51" s="156" t="str">
        <f>IF('AW Schulen'!$P45=0,"x",G51/'AW Schulen'!$P45)</f>
        <v>x</v>
      </c>
    </row>
    <row r="52" spans="1:15" ht="9" customHeight="1">
      <c r="A52" s="21" t="s">
        <v>84</v>
      </c>
      <c r="B52" s="120"/>
      <c r="C52" s="151">
        <f>'2.2.3'!C52+'2.3.3'!C52</f>
        <v>0</v>
      </c>
      <c r="D52" s="151">
        <f>'2.2.3'!D52+'2.3.3'!D52</f>
        <v>0</v>
      </c>
      <c r="E52" s="151">
        <f>'2.2.3'!E52+'2.3.3'!E52</f>
        <v>0</v>
      </c>
      <c r="F52" s="151">
        <f>'2.2.3'!F52+'2.3.3'!F52</f>
        <v>0</v>
      </c>
      <c r="G52" s="152">
        <f>'2.2.3'!G52+'2.3.3'!G52</f>
        <v>0</v>
      </c>
      <c r="H52" s="155" t="str">
        <f>IF('AW Schulen'!$D46=0,"x",C52/'AW Schulen'!$D46)</f>
        <v>x</v>
      </c>
      <c r="I52" s="155" t="str">
        <f>IF('AW Schulen'!$G46=0,"x",D52/'AW Schulen'!$G46)</f>
        <v>x</v>
      </c>
      <c r="J52" s="155" t="str">
        <f>IF('AW Schulen'!$J46=0,"x",E52/'AW Schulen'!$J46)</f>
        <v>x</v>
      </c>
      <c r="K52" s="155" t="str">
        <f>IF('AW Schulen'!$M46=0,"x",F52/'AW Schulen'!$M46)</f>
        <v>x</v>
      </c>
      <c r="L52" s="156" t="str">
        <f>IF('AW Schulen'!$P46=0,"x",G52/'AW Schulen'!$P46)</f>
        <v>x</v>
      </c>
    </row>
    <row r="53" spans="1:15" ht="9" customHeight="1">
      <c r="A53" s="21" t="s">
        <v>85</v>
      </c>
      <c r="B53" s="120"/>
      <c r="C53" s="151">
        <f>'2.2.3'!C53+'2.3.3'!C53</f>
        <v>0</v>
      </c>
      <c r="D53" s="151">
        <f>'2.2.3'!D53+'2.3.3'!D53</f>
        <v>0</v>
      </c>
      <c r="E53" s="151">
        <f>'2.2.3'!E53+'2.3.3'!E53</f>
        <v>0</v>
      </c>
      <c r="F53" s="151">
        <f>'2.2.3'!F53+'2.3.3'!F53</f>
        <v>0</v>
      </c>
      <c r="G53" s="152">
        <f>'2.2.3'!G53+'2.3.3'!G53</f>
        <v>0</v>
      </c>
      <c r="H53" s="155" t="str">
        <f>IF('AW Schulen'!$D47=0,"x",C53/'AW Schulen'!$D47)</f>
        <v>x</v>
      </c>
      <c r="I53" s="155" t="str">
        <f>IF('AW Schulen'!$G47=0,"x",D53/'AW Schulen'!$G47)</f>
        <v>x</v>
      </c>
      <c r="J53" s="155" t="str">
        <f>IF('AW Schulen'!$J47=0,"x",E53/'AW Schulen'!$J47)</f>
        <v>x</v>
      </c>
      <c r="K53" s="155" t="str">
        <f>IF('AW Schulen'!$M47=0,"x",F53/'AW Schulen'!$M47)</f>
        <v>x</v>
      </c>
      <c r="L53" s="156" t="str">
        <f>IF('AW Schulen'!$P47=0,"x",G53/'AW Schulen'!$P47)</f>
        <v>x</v>
      </c>
    </row>
    <row r="54" spans="1:15" ht="9" customHeight="1">
      <c r="A54" s="21" t="s">
        <v>86</v>
      </c>
      <c r="B54" s="120"/>
      <c r="C54" s="23">
        <f>'2.2.3'!C54+'2.3.3'!C54</f>
        <v>0</v>
      </c>
      <c r="D54" s="23">
        <f>'2.2.3'!D54+'2.3.3'!D54</f>
        <v>0</v>
      </c>
      <c r="E54" s="23">
        <f>'2.2.3'!E54+'2.3.3'!E54</f>
        <v>0</v>
      </c>
      <c r="F54" s="23">
        <f>'2.2.3'!F54+'2.3.3'!F54</f>
        <v>0</v>
      </c>
      <c r="G54" s="34">
        <f>'2.2.3'!G54+'2.3.3'!G54</f>
        <v>0</v>
      </c>
      <c r="H54" s="183">
        <f>IF('AW Schulen'!$D48=0,"x",C54/'AW Schulen'!$D48)</f>
        <v>0</v>
      </c>
      <c r="I54" s="183">
        <f>IF('AW Schulen'!$G48=0,"x",D54/'AW Schulen'!$G48)</f>
        <v>0</v>
      </c>
      <c r="J54" s="183">
        <f>IF('AW Schulen'!$G48=0,"x",E54/'AW Schulen'!$G48)</f>
        <v>0</v>
      </c>
      <c r="K54" s="183">
        <f>IF('AW Schulen'!$G48=0,"x",F54/'AW Schulen'!$G48)</f>
        <v>0</v>
      </c>
      <c r="L54" s="197">
        <f>IF('AW Schulen'!$G48=0,"x",G54/'AW Schulen'!$G48)</f>
        <v>0</v>
      </c>
    </row>
    <row r="55" spans="1:15" ht="9" customHeight="1">
      <c r="A55" s="21" t="s">
        <v>87</v>
      </c>
      <c r="B55" s="120"/>
      <c r="C55" s="151">
        <f>'2.2.3'!C55+'2.3.3'!C55</f>
        <v>0</v>
      </c>
      <c r="D55" s="151">
        <f>'2.2.3'!D55+'2.3.3'!D55</f>
        <v>0</v>
      </c>
      <c r="E55" s="151">
        <f>'2.2.3'!E55+'2.3.3'!E55</f>
        <v>0</v>
      </c>
      <c r="F55" s="151">
        <f>'2.2.3'!F55+'2.3.3'!F55</f>
        <v>0</v>
      </c>
      <c r="G55" s="152">
        <f>'2.2.3'!G55+'2.3.3'!G55</f>
        <v>0</v>
      </c>
      <c r="H55" s="155" t="str">
        <f>IF('AW Schulen'!$D49=0,"x",C55/'AW Schulen'!$D49)</f>
        <v>x</v>
      </c>
      <c r="I55" s="155" t="str">
        <f>IF('AW Schulen'!$G49=0,"x",D55/'AW Schulen'!$G49)</f>
        <v>x</v>
      </c>
      <c r="J55" s="155" t="str">
        <f>IF('AW Schulen'!$J49=0,"x",E55/'AW Schulen'!$J49)</f>
        <v>x</v>
      </c>
      <c r="K55" s="155" t="str">
        <f>IF('AW Schulen'!$M49=0,"x",F55/'AW Schulen'!$M49)</f>
        <v>x</v>
      </c>
      <c r="L55" s="156" t="str">
        <f>IF('AW Schulen'!$P49=0,"x",G55/'AW Schulen'!$P49)</f>
        <v>x</v>
      </c>
    </row>
    <row r="56" spans="1:15" ht="9" customHeight="1">
      <c r="A56" s="21" t="s">
        <v>88</v>
      </c>
      <c r="B56" s="120"/>
      <c r="C56" s="23">
        <f>'2.2.3'!C56+'2.3.3'!C56</f>
        <v>74</v>
      </c>
      <c r="D56" s="23">
        <f>'2.2.3'!D56+'2.3.3'!D56</f>
        <v>71</v>
      </c>
      <c r="E56" s="23">
        <f>'2.2.3'!E56+'2.3.3'!E56</f>
        <v>84</v>
      </c>
      <c r="F56" s="23">
        <f>'2.2.3'!F56+'2.3.3'!F56</f>
        <v>93</v>
      </c>
      <c r="G56" s="34">
        <f>'2.2.3'!G56+'2.3.3'!G56</f>
        <v>58</v>
      </c>
      <c r="H56" s="183">
        <v>0</v>
      </c>
      <c r="I56" s="183">
        <v>0</v>
      </c>
      <c r="J56" s="183">
        <v>0</v>
      </c>
      <c r="K56" s="183">
        <v>0</v>
      </c>
      <c r="L56" s="197">
        <v>0</v>
      </c>
    </row>
    <row r="57" spans="1:15" ht="9" customHeight="1">
      <c r="A57" s="21" t="s">
        <v>89</v>
      </c>
      <c r="B57" s="120"/>
      <c r="C57" s="23">
        <f>'2.2.3'!C57+'2.3.3'!C57</f>
        <v>0</v>
      </c>
      <c r="D57" s="23">
        <f>'2.2.3'!D57+'2.3.3'!D57</f>
        <v>0</v>
      </c>
      <c r="E57" s="23">
        <f>'2.2.3'!E57+'2.3.3'!E57</f>
        <v>0</v>
      </c>
      <c r="F57" s="23">
        <f>'2.2.3'!F57+'2.3.3'!F57</f>
        <v>0</v>
      </c>
      <c r="G57" s="34">
        <f>'2.2.3'!G57+'2.3.3'!G57</f>
        <v>0</v>
      </c>
      <c r="H57" s="155">
        <f>IF('AW Schulen'!$D51=0,"x",C57/'AW Schulen'!$D51)</f>
        <v>0</v>
      </c>
      <c r="I57" s="155">
        <f>IF('AW Schulen'!$G51=0,"x",D57/'AW Schulen'!$G51)</f>
        <v>0</v>
      </c>
      <c r="J57" s="155">
        <f>IF('AW Schulen'!$J51=0,"x",E57/'AW Schulen'!$J51)</f>
        <v>0</v>
      </c>
      <c r="K57" s="155">
        <f>IF('AW Schulen'!$M51=0,"x",F57/'AW Schulen'!$M51)</f>
        <v>0</v>
      </c>
      <c r="L57" s="156">
        <f>IF('AW Schulen'!$P51=0,"x",G57/'AW Schulen'!$P51)</f>
        <v>0</v>
      </c>
    </row>
    <row r="58" spans="1:15" ht="9" customHeight="1">
      <c r="A58" s="21" t="s">
        <v>90</v>
      </c>
      <c r="B58" s="120"/>
      <c r="C58" s="23">
        <f>'2.2.3'!C58+'2.3.3'!C58</f>
        <v>11</v>
      </c>
      <c r="D58" s="23">
        <f>'2.2.3'!D58+'2.3.3'!D58</f>
        <v>0</v>
      </c>
      <c r="E58" s="23">
        <f>'2.2.3'!E58+'2.3.3'!E58</f>
        <v>0</v>
      </c>
      <c r="F58" s="23">
        <f>'2.2.3'!F58+'2.3.3'!F58</f>
        <v>0</v>
      </c>
      <c r="G58" s="34">
        <f>'2.2.3'!G58+'2.3.3'!G58</f>
        <v>0</v>
      </c>
      <c r="H58" s="155">
        <f>IF('AW Schulen'!$D52=0,"x",C58/'AW Schulen'!$D52)</f>
        <v>0.42307692307692307</v>
      </c>
      <c r="I58" s="155">
        <f>IF('AW Schulen'!$G52=0,"x",D58/'AW Schulen'!$G52)</f>
        <v>0</v>
      </c>
      <c r="J58" s="155">
        <f>IF('AW Schulen'!$J52=0,"x",E58/'AW Schulen'!$J52)</f>
        <v>0</v>
      </c>
      <c r="K58" s="155">
        <f>IF('AW Schulen'!$M52=0,"x",F58/'AW Schulen'!$M52)</f>
        <v>0</v>
      </c>
      <c r="L58" s="156">
        <f>IF('AW Schulen'!$P52=0,"x",G58/'AW Schulen'!$P52)</f>
        <v>0</v>
      </c>
    </row>
    <row r="59" spans="1:15" ht="9" customHeight="1">
      <c r="A59" s="21" t="s">
        <v>91</v>
      </c>
      <c r="B59" s="120"/>
      <c r="C59" s="23">
        <f>'2.2.3'!C59+'2.3.3'!C59</f>
        <v>0</v>
      </c>
      <c r="D59" s="23">
        <f>'2.2.3'!D59+'2.3.3'!D59</f>
        <v>0</v>
      </c>
      <c r="E59" s="23">
        <f>'2.2.3'!E59+'2.3.3'!E59</f>
        <v>0</v>
      </c>
      <c r="F59" s="151">
        <f>'2.2.3'!F59+'2.3.3'!F59</f>
        <v>0</v>
      </c>
      <c r="G59" s="152">
        <f>'2.2.3'!G59+'2.3.3'!G59</f>
        <v>0</v>
      </c>
      <c r="H59" s="155">
        <f>IF('AW Schulen'!$D53=0,"x",C59/'AW Schulen'!$D53)</f>
        <v>0</v>
      </c>
      <c r="I59" s="155">
        <f>IF('AW Schulen'!$G53=0,"x",D59/'AW Schulen'!$G53)</f>
        <v>0</v>
      </c>
      <c r="J59" s="155">
        <f>IF('AW Schulen'!$J53=0,"x",E59/'AW Schulen'!$J53)</f>
        <v>0</v>
      </c>
      <c r="K59" s="155" t="str">
        <f>IF('AW Schulen'!$M53=0,"x",F59/'AW Schulen'!$M53)</f>
        <v>x</v>
      </c>
      <c r="L59" s="156" t="str">
        <f>IF('AW Schulen'!$P53=0,"x",G59/'AW Schulen'!$P53)</f>
        <v>x</v>
      </c>
      <c r="O59" s="209"/>
    </row>
    <row r="60" spans="1:15" ht="9" customHeight="1">
      <c r="A60" s="21" t="s">
        <v>92</v>
      </c>
      <c r="B60" s="120"/>
      <c r="C60" s="151">
        <f>'2.2.3'!C60+'2.3.3'!C60</f>
        <v>0</v>
      </c>
      <c r="D60" s="151">
        <f>'2.2.3'!D60+'2.3.3'!D60</f>
        <v>0</v>
      </c>
      <c r="E60" s="151">
        <f>'2.2.3'!E60+'2.3.3'!E60</f>
        <v>0</v>
      </c>
      <c r="F60" s="151">
        <f>'2.2.3'!F60+'2.3.3'!F60</f>
        <v>0</v>
      </c>
      <c r="G60" s="152">
        <f>'2.2.3'!G60+'2.3.3'!G60</f>
        <v>0</v>
      </c>
      <c r="H60" s="155" t="str">
        <f>IF('AW Schulen'!$D54=0,"x",C60/'AW Schulen'!$D54)</f>
        <v>x</v>
      </c>
      <c r="I60" s="155" t="str">
        <f>IF('AW Schulen'!$G54=0,"x",D60/'AW Schulen'!$G54)</f>
        <v>x</v>
      </c>
      <c r="J60" s="155" t="str">
        <f>IF('AW Schulen'!$J54=0,"x",E60/'AW Schulen'!$J54)</f>
        <v>x</v>
      </c>
      <c r="K60" s="155" t="str">
        <f>IF('AW Schulen'!$M54=0,"x",F60/'AW Schulen'!$M54)</f>
        <v>x</v>
      </c>
      <c r="L60" s="156" t="str">
        <f>IF('AW Schulen'!$P54=0,"x",G60/'AW Schulen'!$P54)</f>
        <v>x</v>
      </c>
    </row>
    <row r="61" spans="1:15" ht="9" customHeight="1">
      <c r="A61" s="21" t="s">
        <v>93</v>
      </c>
      <c r="B61" s="120"/>
      <c r="C61" s="151">
        <f>'2.2.3'!C61+'2.3.3'!C61</f>
        <v>0</v>
      </c>
      <c r="D61" s="151">
        <f>'2.2.3'!D61+'2.3.3'!D61</f>
        <v>0</v>
      </c>
      <c r="E61" s="151">
        <f>'2.2.3'!E61+'2.3.3'!E61</f>
        <v>0</v>
      </c>
      <c r="F61" s="151">
        <f>'2.2.3'!F61+'2.3.3'!F61</f>
        <v>0</v>
      </c>
      <c r="G61" s="152">
        <f>'2.2.3'!G61+'2.3.3'!G61</f>
        <v>0</v>
      </c>
      <c r="H61" s="155" t="str">
        <f>IF('AW Schulen'!$D55=0,"x",C61/'AW Schulen'!$D55)</f>
        <v>x</v>
      </c>
      <c r="I61" s="155" t="str">
        <f>IF('AW Schulen'!$G55=0,"x",D61/'AW Schulen'!$G55)</f>
        <v>x</v>
      </c>
      <c r="J61" s="155" t="str">
        <f>IF('AW Schulen'!$J55=0,"x",E61/'AW Schulen'!$J55)</f>
        <v>x</v>
      </c>
      <c r="K61" s="155" t="str">
        <f>IF('AW Schulen'!$M55=0,"x",F61/'AW Schulen'!$M55)</f>
        <v>x</v>
      </c>
      <c r="L61" s="156" t="str">
        <f>IF('AW Schulen'!$P55=0,"x",G61/'AW Schulen'!$P55)</f>
        <v>x</v>
      </c>
    </row>
    <row r="62" spans="1:15" ht="9" customHeight="1">
      <c r="A62" s="21" t="s">
        <v>94</v>
      </c>
      <c r="B62" s="120"/>
      <c r="C62" s="23">
        <f>'2.2.3'!C62+'2.3.3'!C62</f>
        <v>0</v>
      </c>
      <c r="D62" s="23">
        <f>'2.2.3'!D62+'2.3.3'!D62</f>
        <v>0</v>
      </c>
      <c r="E62" s="23">
        <f>'2.2.3'!E62+'2.3.3'!E62</f>
        <v>0</v>
      </c>
      <c r="F62" s="151">
        <f>'2.2.3'!F62+'2.3.3'!F62</f>
        <v>0</v>
      </c>
      <c r="G62" s="152">
        <f>'2.2.3'!G62+'2.3.3'!G62</f>
        <v>0</v>
      </c>
      <c r="H62" s="155">
        <f>IF('AW Schulen'!$D56=0,"x",C62/'AW Schulen'!$D56)</f>
        <v>0</v>
      </c>
      <c r="I62" s="155">
        <f>IF('AW Schulen'!$G56=0,"x",D62/'AW Schulen'!$G56)</f>
        <v>0</v>
      </c>
      <c r="J62" s="155">
        <f>IF('AW Schulen'!$J56=0,"x",E62/'AW Schulen'!$J56)</f>
        <v>0</v>
      </c>
      <c r="K62" s="155" t="str">
        <f>IF('AW Schulen'!$M56=0,"x",F62/'AW Schulen'!$M56)</f>
        <v>x</v>
      </c>
      <c r="L62" s="156" t="str">
        <f>IF('AW Schulen'!$P56=0,"x",G62/'AW Schulen'!$P56)</f>
        <v>x</v>
      </c>
    </row>
    <row r="63" spans="1:15" ht="9" customHeight="1">
      <c r="A63" s="21" t="s">
        <v>95</v>
      </c>
      <c r="B63" s="120"/>
      <c r="C63" s="151">
        <f>'2.2.3'!C63+'2.3.3'!C63</f>
        <v>0</v>
      </c>
      <c r="D63" s="151">
        <f>'2.2.3'!D63+'2.3.3'!D63</f>
        <v>0</v>
      </c>
      <c r="E63" s="151">
        <f>'2.2.3'!E63+'2.3.3'!E63</f>
        <v>0</v>
      </c>
      <c r="F63" s="151">
        <f>'2.2.3'!F63+'2.3.3'!F63</f>
        <v>0</v>
      </c>
      <c r="G63" s="152">
        <f>'2.2.3'!G63+'2.3.3'!G63</f>
        <v>0</v>
      </c>
      <c r="H63" s="155" t="str">
        <f>IF('AW Schulen'!$D57=0,"x",C63/'AW Schulen'!$D57)</f>
        <v>x</v>
      </c>
      <c r="I63" s="155" t="str">
        <f>IF('AW Schulen'!$G57=0,"x",D63/'AW Schulen'!$G57)</f>
        <v>x</v>
      </c>
      <c r="J63" s="155" t="str">
        <f>IF('AW Schulen'!$J57=0,"x",E63/'AW Schulen'!$J57)</f>
        <v>x</v>
      </c>
      <c r="K63" s="155" t="str">
        <f>IF('AW Schulen'!$M57=0,"x",F63/'AW Schulen'!$M57)</f>
        <v>x</v>
      </c>
      <c r="L63" s="156" t="str">
        <f>IF('AW Schulen'!$P57=0,"x",G63/'AW Schulen'!$P57)</f>
        <v>x</v>
      </c>
    </row>
    <row r="64" spans="1:15" ht="8.65" customHeight="1">
      <c r="A64" s="21" t="s">
        <v>96</v>
      </c>
      <c r="B64" s="120"/>
      <c r="C64" s="23">
        <f>'2.2.3'!C64+'2.3.3'!C64</f>
        <v>592</v>
      </c>
      <c r="D64" s="23">
        <f>'2.2.3'!D64+'2.3.3'!D64</f>
        <v>591</v>
      </c>
      <c r="E64" s="23">
        <f>'2.2.3'!E64+'2.3.3'!E64</f>
        <v>589</v>
      </c>
      <c r="F64" s="23">
        <f>'2.2.3'!F64+'2.3.3'!F64</f>
        <v>588</v>
      </c>
      <c r="G64" s="34">
        <f>'2.2.3'!G64+'2.3.3'!G64</f>
        <v>528</v>
      </c>
      <c r="H64" s="155">
        <f>IF('AW Schulen'!$D58=0,"x",C64/'AW Schulen'!$D58)</f>
        <v>0.17655830599463168</v>
      </c>
      <c r="I64" s="155">
        <f>IF('AW Schulen'!$G58=0,"x",D64/'AW Schulen'!$G58)</f>
        <v>0.18637653736991486</v>
      </c>
      <c r="J64" s="155">
        <f>IF('AW Schulen'!$J58=0,"x",E64/'AW Schulen'!$J58)</f>
        <v>0.19509771447499172</v>
      </c>
      <c r="K64" s="155">
        <f>IF('AW Schulen'!$M58=0,"x",F64/'AW Schulen'!$M58)</f>
        <v>0.20473537604456823</v>
      </c>
      <c r="L64" s="156">
        <f>IF('AW Schulen'!$P58=0,"x",G64/'AW Schulen'!$P58)</f>
        <v>0.20191204588910133</v>
      </c>
    </row>
    <row r="65" spans="1:12" ht="12.6" customHeight="1">
      <c r="A65" s="391" t="s">
        <v>100</v>
      </c>
      <c r="B65" s="392"/>
      <c r="C65" s="392"/>
      <c r="D65" s="392"/>
      <c r="E65" s="392"/>
      <c r="F65" s="392"/>
      <c r="G65" s="392"/>
      <c r="H65" s="392"/>
      <c r="I65" s="392"/>
      <c r="J65" s="392"/>
      <c r="K65" s="392"/>
      <c r="L65" s="393"/>
    </row>
    <row r="66" spans="1:12" ht="10.15" customHeight="1">
      <c r="A66" s="224" t="s">
        <v>80</v>
      </c>
      <c r="B66" s="120"/>
      <c r="C66" s="23">
        <f>'2.2.3'!C66+'2.3.3'!C66</f>
        <v>167</v>
      </c>
      <c r="D66" s="23">
        <f>'2.2.3'!D66+'2.3.3'!D66</f>
        <v>172</v>
      </c>
      <c r="E66" s="23">
        <f>'2.2.3'!E66+'2.3.3'!E66</f>
        <v>178</v>
      </c>
      <c r="F66" s="23">
        <f>'2.2.3'!F66+'2.3.3'!F66</f>
        <v>172</v>
      </c>
      <c r="G66" s="34">
        <f>'2.2.3'!G66+'2.3.3'!G66</f>
        <v>159</v>
      </c>
      <c r="H66" s="155">
        <f>IF('AW Schulen'!$D42=0,"x",C66/'AW Schulen'!$D42)</f>
        <v>0.18432671081677704</v>
      </c>
      <c r="I66" s="155">
        <f>IF('AW Schulen'!$G42=0,"x",D66/'AW Schulen'!$G42)</f>
        <v>0.19815668202764977</v>
      </c>
      <c r="J66" s="155">
        <f>IF('AW Schulen'!$J42=0,"x",E66/'AW Schulen'!$J42)</f>
        <v>0.21523579201934703</v>
      </c>
      <c r="K66" s="155">
        <f>IF('AW Schulen'!$M42=0,"x",F66/'AW Schulen'!$M42)</f>
        <v>0.21744627054361568</v>
      </c>
      <c r="L66" s="156">
        <f>IF('AW Schulen'!$P42=0,"x",G66/'AW Schulen'!$P42)</f>
        <v>0.21900826446280991</v>
      </c>
    </row>
    <row r="67" spans="1:12" ht="10.15" customHeight="1">
      <c r="A67" s="224" t="s">
        <v>81</v>
      </c>
      <c r="B67" s="120"/>
      <c r="C67" s="23">
        <f>'2.2.3'!C67+'2.3.3'!C67</f>
        <v>356</v>
      </c>
      <c r="D67" s="23">
        <f>'2.2.3'!D67+'2.3.3'!D67</f>
        <v>369</v>
      </c>
      <c r="E67" s="23">
        <f>'2.2.3'!E67+'2.3.3'!E67</f>
        <v>378</v>
      </c>
      <c r="F67" s="23">
        <f>'2.2.3'!F67+'2.3.3'!F67</f>
        <v>385</v>
      </c>
      <c r="G67" s="34">
        <f>'2.2.3'!G67+'2.3.3'!G67</f>
        <v>419</v>
      </c>
      <c r="H67" s="155">
        <f>IF('AW Schulen'!$D43=0,"x",C67/'AW Schulen'!$D43)</f>
        <v>0.34462729912875123</v>
      </c>
      <c r="I67" s="155">
        <f>IF('AW Schulen'!$G43=0,"x",D67/'AW Schulen'!$G43)</f>
        <v>0.36070381231671556</v>
      </c>
      <c r="J67" s="155">
        <f>IF('AW Schulen'!$J43=0,"x",E67/'AW Schulen'!$J43)</f>
        <v>0.37611940298507462</v>
      </c>
      <c r="K67" s="155">
        <f>IF('AW Schulen'!$M43=0,"x",F67/'AW Schulen'!$M43)</f>
        <v>0.38615847542627885</v>
      </c>
      <c r="L67" s="156">
        <f>IF('AW Schulen'!$P43=0,"x",G67/'AW Schulen'!$P43)</f>
        <v>0.41899999999999998</v>
      </c>
    </row>
    <row r="68" spans="1:12" ht="10.15" customHeight="1">
      <c r="A68" s="224" t="s">
        <v>82</v>
      </c>
      <c r="B68" s="120"/>
      <c r="C68" s="151">
        <f>'2.2.3'!C68+'2.3.3'!C68</f>
        <v>0</v>
      </c>
      <c r="D68" s="151">
        <f>'2.2.3'!D68+'2.3.3'!D68</f>
        <v>0</v>
      </c>
      <c r="E68" s="151">
        <f>'2.2.3'!E68+'2.3.3'!E68</f>
        <v>0</v>
      </c>
      <c r="F68" s="151">
        <f>'2.2.3'!F68+'2.3.3'!F68</f>
        <v>0</v>
      </c>
      <c r="G68" s="152">
        <f>'2.2.3'!G68+'2.3.3'!G68</f>
        <v>0</v>
      </c>
      <c r="H68" s="155" t="str">
        <f>IF('AW Schulen'!$D44=0,"x",C68/'AW Schulen'!$D44)</f>
        <v>x</v>
      </c>
      <c r="I68" s="155" t="str">
        <f>IF('AW Schulen'!$G44=0,"x",D68/'AW Schulen'!$G44)</f>
        <v>x</v>
      </c>
      <c r="J68" s="155" t="str">
        <f>IF('AW Schulen'!$J44=0,"x",E68/'AW Schulen'!$J44)</f>
        <v>x</v>
      </c>
      <c r="K68" s="155" t="str">
        <f>IF('AW Schulen'!$M44=0,"x",F68/'AW Schulen'!$M44)</f>
        <v>x</v>
      </c>
      <c r="L68" s="156" t="str">
        <f>IF('AW Schulen'!$P44=0,"x",G68/'AW Schulen'!$P44)</f>
        <v>x</v>
      </c>
    </row>
    <row r="69" spans="1:12" ht="9" customHeight="1">
      <c r="A69" s="21" t="s">
        <v>83</v>
      </c>
      <c r="B69" s="120"/>
      <c r="C69" s="151">
        <f>'2.2.3'!C69+'2.3.3'!C69</f>
        <v>0</v>
      </c>
      <c r="D69" s="151">
        <f>'2.2.3'!D69+'2.3.3'!D69</f>
        <v>0</v>
      </c>
      <c r="E69" s="151">
        <f>'2.2.3'!E69+'2.3.3'!E69</f>
        <v>0</v>
      </c>
      <c r="F69" s="151">
        <f>'2.2.3'!F69+'2.3.3'!F69</f>
        <v>0</v>
      </c>
      <c r="G69" s="152">
        <f>'2.2.3'!G69+'2.3.3'!G69</f>
        <v>0</v>
      </c>
      <c r="H69" s="155" t="str">
        <f>IF('AW Schulen'!$D45=0,"x",C69/'AW Schulen'!$D45)</f>
        <v>x</v>
      </c>
      <c r="I69" s="155" t="str">
        <f>IF('AW Schulen'!$G45=0,"x",D69/'AW Schulen'!$G45)</f>
        <v>x</v>
      </c>
      <c r="J69" s="155" t="str">
        <f>IF('AW Schulen'!$J45=0,"x",E69/'AW Schulen'!$J45)</f>
        <v>x</v>
      </c>
      <c r="K69" s="155" t="str">
        <f>IF('AW Schulen'!$M45=0,"x",F69/'AW Schulen'!$M45)</f>
        <v>x</v>
      </c>
      <c r="L69" s="156" t="str">
        <f>IF('AW Schulen'!$P45=0,"x",G69/'AW Schulen'!$P45)</f>
        <v>x</v>
      </c>
    </row>
    <row r="70" spans="1:12" ht="9" customHeight="1">
      <c r="A70" s="21" t="s">
        <v>84</v>
      </c>
      <c r="B70" s="120"/>
      <c r="C70" s="151">
        <f>'2.2.3'!C70+'2.3.3'!C70</f>
        <v>0</v>
      </c>
      <c r="D70" s="151">
        <f>'2.2.3'!D70+'2.3.3'!D70</f>
        <v>0</v>
      </c>
      <c r="E70" s="151">
        <f>'2.2.3'!E70+'2.3.3'!E70</f>
        <v>0</v>
      </c>
      <c r="F70" s="151">
        <f>'2.2.3'!F70+'2.3.3'!F70</f>
        <v>0</v>
      </c>
      <c r="G70" s="152">
        <f>'2.2.3'!G70+'2.3.3'!G70</f>
        <v>0</v>
      </c>
      <c r="H70" s="155" t="str">
        <f>IF('AW Schulen'!$D46=0,"x",C70/'AW Schulen'!$D46)</f>
        <v>x</v>
      </c>
      <c r="I70" s="155" t="str">
        <f>IF('AW Schulen'!$G46=0,"x",D70/'AW Schulen'!$G46)</f>
        <v>x</v>
      </c>
      <c r="J70" s="155" t="str">
        <f>IF('AW Schulen'!$J46=0,"x",E70/'AW Schulen'!$J46)</f>
        <v>x</v>
      </c>
      <c r="K70" s="155" t="str">
        <f>IF('AW Schulen'!$M46=0,"x",F70/'AW Schulen'!$M46)</f>
        <v>x</v>
      </c>
      <c r="L70" s="156" t="str">
        <f>IF('AW Schulen'!$P46=0,"x",G70/'AW Schulen'!$P46)</f>
        <v>x</v>
      </c>
    </row>
    <row r="71" spans="1:12" ht="9" customHeight="1">
      <c r="A71" s="21" t="s">
        <v>85</v>
      </c>
      <c r="B71" s="120"/>
      <c r="C71" s="151">
        <f>'2.2.3'!C71+'2.3.3'!C71</f>
        <v>0</v>
      </c>
      <c r="D71" s="151">
        <f>'2.2.3'!D71+'2.3.3'!D71</f>
        <v>0</v>
      </c>
      <c r="E71" s="151">
        <f>'2.2.3'!E71+'2.3.3'!E71</f>
        <v>0</v>
      </c>
      <c r="F71" s="151">
        <f>'2.2.3'!F71+'2.3.3'!F71</f>
        <v>0</v>
      </c>
      <c r="G71" s="152">
        <f>'2.2.3'!G71+'2.3.3'!G71</f>
        <v>0</v>
      </c>
      <c r="H71" s="155" t="str">
        <f>IF('AW Schulen'!$D47=0,"x",C71/'AW Schulen'!$D47)</f>
        <v>x</v>
      </c>
      <c r="I71" s="155" t="str">
        <f>IF('AW Schulen'!$G47=0,"x",D71/'AW Schulen'!$G47)</f>
        <v>x</v>
      </c>
      <c r="J71" s="155" t="str">
        <f>IF('AW Schulen'!$J47=0,"x",E71/'AW Schulen'!$J47)</f>
        <v>x</v>
      </c>
      <c r="K71" s="155" t="str">
        <f>IF('AW Schulen'!$M47=0,"x",F71/'AW Schulen'!$M47)</f>
        <v>x</v>
      </c>
      <c r="L71" s="156" t="str">
        <f>IF('AW Schulen'!$P47=0,"x",G71/'AW Schulen'!$P47)</f>
        <v>x</v>
      </c>
    </row>
    <row r="72" spans="1:12" ht="9" customHeight="1">
      <c r="A72" s="21" t="s">
        <v>86</v>
      </c>
      <c r="B72" s="120"/>
      <c r="C72" s="23">
        <f>'2.2.3'!C72+'2.3.3'!C72</f>
        <v>218</v>
      </c>
      <c r="D72" s="23">
        <f>'2.2.3'!D72+'2.3.3'!D72</f>
        <v>219</v>
      </c>
      <c r="E72" s="23">
        <f>'2.2.3'!E72+'2.3.3'!E72</f>
        <v>213</v>
      </c>
      <c r="F72" s="23">
        <f>'2.2.3'!F72+'2.3.3'!F72</f>
        <v>198</v>
      </c>
      <c r="G72" s="34">
        <f>'2.2.3'!G72+'2.3.3'!G72</f>
        <v>193</v>
      </c>
      <c r="H72" s="183">
        <v>0</v>
      </c>
      <c r="I72" s="183">
        <v>0</v>
      </c>
      <c r="J72" s="183">
        <v>0</v>
      </c>
      <c r="K72" s="183">
        <v>0</v>
      </c>
      <c r="L72" s="197">
        <v>0</v>
      </c>
    </row>
    <row r="73" spans="1:12" ht="9" customHeight="1">
      <c r="A73" s="21" t="s">
        <v>87</v>
      </c>
      <c r="B73" s="120"/>
      <c r="C73" s="151">
        <f>'2.2.3'!C73+'2.3.3'!C73</f>
        <v>0</v>
      </c>
      <c r="D73" s="151">
        <f>'2.2.3'!D73+'2.3.3'!D73</f>
        <v>0</v>
      </c>
      <c r="E73" s="151">
        <f>'2.2.3'!E73+'2.3.3'!E73</f>
        <v>0</v>
      </c>
      <c r="F73" s="151">
        <f>'2.2.3'!F73+'2.3.3'!F73</f>
        <v>0</v>
      </c>
      <c r="G73" s="152">
        <f>'2.2.3'!G73+'2.3.3'!G73</f>
        <v>0</v>
      </c>
      <c r="H73" s="155" t="str">
        <f>IF('AW Schulen'!$D49=0,"x",C73/'AW Schulen'!$D49)</f>
        <v>x</v>
      </c>
      <c r="I73" s="155" t="str">
        <f>IF('AW Schulen'!$G49=0,"x",D73/'AW Schulen'!$G49)</f>
        <v>x</v>
      </c>
      <c r="J73" s="155" t="str">
        <f>IF('AW Schulen'!$J49=0,"x",E73/'AW Schulen'!$J49)</f>
        <v>x</v>
      </c>
      <c r="K73" s="155" t="str">
        <f>IF('AW Schulen'!$M49=0,"x",F73/'AW Schulen'!$M49)</f>
        <v>x</v>
      </c>
      <c r="L73" s="156" t="str">
        <f>IF('AW Schulen'!$P49=0,"x",G73/'AW Schulen'!$P49)</f>
        <v>x</v>
      </c>
    </row>
    <row r="74" spans="1:12" ht="9" customHeight="1">
      <c r="A74" s="21" t="s">
        <v>88</v>
      </c>
      <c r="B74" s="120"/>
      <c r="C74" s="23">
        <f>'2.2.3'!C74+'2.3.3'!C74</f>
        <v>281</v>
      </c>
      <c r="D74" s="23">
        <f>'2.2.3'!D74+'2.3.3'!D74</f>
        <v>280</v>
      </c>
      <c r="E74" s="23">
        <f>'2.2.3'!E74+'2.3.3'!E74</f>
        <v>261</v>
      </c>
      <c r="F74" s="23">
        <f>'2.2.3'!F74+'2.3.3'!F74</f>
        <v>224</v>
      </c>
      <c r="G74" s="34">
        <f>'2.2.3'!G74+'2.3.3'!G74</f>
        <v>158</v>
      </c>
      <c r="H74" s="183">
        <v>0</v>
      </c>
      <c r="I74" s="183">
        <v>0</v>
      </c>
      <c r="J74" s="183">
        <v>0</v>
      </c>
      <c r="K74" s="183">
        <v>0</v>
      </c>
      <c r="L74" s="197">
        <v>0</v>
      </c>
    </row>
    <row r="75" spans="1:12" ht="9" customHeight="1">
      <c r="A75" s="21" t="s">
        <v>89</v>
      </c>
      <c r="B75" s="120"/>
      <c r="C75" s="23">
        <f>'2.2.3'!C75+'2.3.3'!C75</f>
        <v>0</v>
      </c>
      <c r="D75" s="23">
        <f>'2.2.3'!D75+'2.3.3'!D75</f>
        <v>0</v>
      </c>
      <c r="E75" s="23">
        <f>'2.2.3'!E75+'2.3.3'!E75</f>
        <v>0</v>
      </c>
      <c r="F75" s="23">
        <f>'2.2.3'!F75+'2.3.3'!F75</f>
        <v>0</v>
      </c>
      <c r="G75" s="34">
        <f>'2.2.3'!G75+'2.3.3'!G75</f>
        <v>0</v>
      </c>
      <c r="H75" s="155">
        <f>IF('AW Schulen'!$D51=0,"x",C75/'AW Schulen'!$D51)</f>
        <v>0</v>
      </c>
      <c r="I75" s="155">
        <f>IF('AW Schulen'!$G51=0,"x",D75/'AW Schulen'!$G51)</f>
        <v>0</v>
      </c>
      <c r="J75" s="155">
        <f>IF('AW Schulen'!$J51=0,"x",E75/'AW Schulen'!$J51)</f>
        <v>0</v>
      </c>
      <c r="K75" s="155">
        <f>IF('AW Schulen'!$M51=0,"x",F75/'AW Schulen'!$M51)</f>
        <v>0</v>
      </c>
      <c r="L75" s="156">
        <f>IF('AW Schulen'!$P51=0,"x",G75/'AW Schulen'!$P51)</f>
        <v>0</v>
      </c>
    </row>
    <row r="76" spans="1:12" ht="9" customHeight="1">
      <c r="A76" s="21" t="s">
        <v>90</v>
      </c>
      <c r="B76" s="120"/>
      <c r="C76" s="23">
        <f>'2.2.3'!C76+'2.3.3'!C76</f>
        <v>0</v>
      </c>
      <c r="D76" s="23">
        <f>'2.2.3'!D76+'2.3.3'!D76</f>
        <v>0</v>
      </c>
      <c r="E76" s="23">
        <f>'2.2.3'!E76+'2.3.3'!E76</f>
        <v>0</v>
      </c>
      <c r="F76" s="23">
        <f>'2.2.3'!F76+'2.3.3'!F76</f>
        <v>0</v>
      </c>
      <c r="G76" s="34">
        <f>'2.2.3'!G76+'2.3.3'!G76</f>
        <v>0</v>
      </c>
      <c r="H76" s="155">
        <f>IF('AW Schulen'!$D52=0,"x",C76/'AW Schulen'!$D52)</f>
        <v>0</v>
      </c>
      <c r="I76" s="155">
        <f>IF('AW Schulen'!$G52=0,"x",D76/'AW Schulen'!$G52)</f>
        <v>0</v>
      </c>
      <c r="J76" s="155">
        <f>IF('AW Schulen'!$J52=0,"x",E76/'AW Schulen'!$J52)</f>
        <v>0</v>
      </c>
      <c r="K76" s="155">
        <f>IF('AW Schulen'!$M52=0,"x",F76/'AW Schulen'!$M52)</f>
        <v>0</v>
      </c>
      <c r="L76" s="156">
        <f>IF('AW Schulen'!$P52=0,"x",G76/'AW Schulen'!$P52)</f>
        <v>0</v>
      </c>
    </row>
    <row r="77" spans="1:12" ht="9" customHeight="1">
      <c r="A77" s="21" t="s">
        <v>91</v>
      </c>
      <c r="B77" s="120"/>
      <c r="C77" s="23">
        <f>'2.2.3'!C77+'2.3.3'!C77</f>
        <v>1</v>
      </c>
      <c r="D77" s="23">
        <f>'2.2.3'!D77+'2.3.3'!D77</f>
        <v>1</v>
      </c>
      <c r="E77" s="23">
        <f>'2.2.3'!E77+'2.3.3'!E77</f>
        <v>1</v>
      </c>
      <c r="F77" s="151">
        <f>'2.2.3'!F77+'2.3.3'!F77</f>
        <v>0</v>
      </c>
      <c r="G77" s="152">
        <f>'2.2.3'!G77+'2.3.3'!G77</f>
        <v>0</v>
      </c>
      <c r="H77" s="155">
        <f>IF('AW Schulen'!$D53=0,"x",C77/'AW Schulen'!$D53)</f>
        <v>1</v>
      </c>
      <c r="I77" s="155">
        <f>IF('AW Schulen'!$G53=0,"x",D77/'AW Schulen'!$G53)</f>
        <v>1</v>
      </c>
      <c r="J77" s="155">
        <f>IF('AW Schulen'!$J53=0,"x",E77/'AW Schulen'!$J53)</f>
        <v>1</v>
      </c>
      <c r="K77" s="155" t="str">
        <f>IF('AW Schulen'!$M53=0,"x",F77/'AW Schulen'!$M53)</f>
        <v>x</v>
      </c>
      <c r="L77" s="156" t="str">
        <f>IF('AW Schulen'!$P53=0,"x",G77/'AW Schulen'!$P53)</f>
        <v>x</v>
      </c>
    </row>
    <row r="78" spans="1:12" ht="9" customHeight="1">
      <c r="A78" s="21" t="s">
        <v>92</v>
      </c>
      <c r="B78" s="120"/>
      <c r="C78" s="151">
        <f>'2.2.3'!C78+'2.3.3'!C78</f>
        <v>0</v>
      </c>
      <c r="D78" s="151">
        <f>'2.2.3'!D78+'2.3.3'!D78</f>
        <v>0</v>
      </c>
      <c r="E78" s="151">
        <f>'2.2.3'!E78+'2.3.3'!E78</f>
        <v>0</v>
      </c>
      <c r="F78" s="151">
        <f>'2.2.3'!F78+'2.3.3'!F78</f>
        <v>0</v>
      </c>
      <c r="G78" s="152">
        <f>'2.2.3'!G78+'2.3.3'!G78</f>
        <v>0</v>
      </c>
      <c r="H78" s="155" t="str">
        <f>IF('AW Schulen'!$D54=0,"x",C78/'AW Schulen'!$D54)</f>
        <v>x</v>
      </c>
      <c r="I78" s="155" t="str">
        <f>IF('AW Schulen'!$G54=0,"x",D78/'AW Schulen'!$G54)</f>
        <v>x</v>
      </c>
      <c r="J78" s="155" t="str">
        <f>IF('AW Schulen'!$J54=0,"x",E78/'AW Schulen'!$J54)</f>
        <v>x</v>
      </c>
      <c r="K78" s="155" t="str">
        <f>IF('AW Schulen'!$M54=0,"x",F78/'AW Schulen'!$M54)</f>
        <v>x</v>
      </c>
      <c r="L78" s="156" t="str">
        <f>IF('AW Schulen'!$P54=0,"x",G78/'AW Schulen'!$P54)</f>
        <v>x</v>
      </c>
    </row>
    <row r="79" spans="1:12" ht="9" customHeight="1">
      <c r="A79" s="21" t="s">
        <v>93</v>
      </c>
      <c r="B79" s="120"/>
      <c r="C79" s="151">
        <f>'2.2.3'!C79+'2.3.3'!C79</f>
        <v>0</v>
      </c>
      <c r="D79" s="151">
        <f>'2.2.3'!D79+'2.3.3'!D79</f>
        <v>0</v>
      </c>
      <c r="E79" s="151">
        <f>'2.2.3'!E79+'2.3.3'!E79</f>
        <v>0</v>
      </c>
      <c r="F79" s="151">
        <f>'2.2.3'!F79+'2.3.3'!F79</f>
        <v>0</v>
      </c>
      <c r="G79" s="152">
        <f>'2.2.3'!G79+'2.3.3'!G79</f>
        <v>0</v>
      </c>
      <c r="H79" s="155" t="str">
        <f>IF('AW Schulen'!$D55=0,"x",C79/'AW Schulen'!$D55)</f>
        <v>x</v>
      </c>
      <c r="I79" s="155" t="str">
        <f>IF('AW Schulen'!$G55=0,"x",D79/'AW Schulen'!$G55)</f>
        <v>x</v>
      </c>
      <c r="J79" s="155" t="str">
        <f>IF('AW Schulen'!$G55=0,"x",E79/'AW Schulen'!$G55)</f>
        <v>x</v>
      </c>
      <c r="K79" s="155" t="str">
        <f>IF('AW Schulen'!$G55=0,"x",F79/'AW Schulen'!$G55)</f>
        <v>x</v>
      </c>
      <c r="L79" s="156" t="str">
        <f>IF('AW Schulen'!$G55=0,"x",G79/'AW Schulen'!$G55)</f>
        <v>x</v>
      </c>
    </row>
    <row r="80" spans="1:12" ht="9" customHeight="1">
      <c r="A80" s="21" t="s">
        <v>94</v>
      </c>
      <c r="B80" s="120"/>
      <c r="C80" s="23">
        <f>'2.2.3'!C80+'2.3.3'!C80</f>
        <v>74</v>
      </c>
      <c r="D80" s="23">
        <f>'2.2.3'!D80+'2.3.3'!D80</f>
        <v>26</v>
      </c>
      <c r="E80" s="23">
        <f>'2.2.3'!E80+'2.3.3'!E80</f>
        <v>6</v>
      </c>
      <c r="F80" s="151">
        <f>'2.2.3'!F80+'2.3.3'!F80</f>
        <v>0</v>
      </c>
      <c r="G80" s="152">
        <f>'2.2.3'!G80+'2.3.3'!G80</f>
        <v>0</v>
      </c>
      <c r="H80" s="155">
        <f>IF('AW Schulen'!$D56=0,"x",C80/'AW Schulen'!$D56)</f>
        <v>0.80434782608695654</v>
      </c>
      <c r="I80" s="155">
        <f>IF('AW Schulen'!$G56=0,"x",D80/'AW Schulen'!$G56)</f>
        <v>0.83870967741935487</v>
      </c>
      <c r="J80" s="155">
        <f>IF('AW Schulen'!$J56=0,"x",E80/'AW Schulen'!$J56)</f>
        <v>0.8571428571428571</v>
      </c>
      <c r="K80" s="155" t="str">
        <f>IF('AW Schulen'!$M56=0,"x",F80/'AW Schulen'!$M56)</f>
        <v>x</v>
      </c>
      <c r="L80" s="156" t="str">
        <f>IF('AW Schulen'!$P56=0,"x",G80/'AW Schulen'!$P56)</f>
        <v>x</v>
      </c>
    </row>
    <row r="81" spans="1:12" ht="9" customHeight="1">
      <c r="A81" s="21" t="s">
        <v>95</v>
      </c>
      <c r="B81" s="120"/>
      <c r="C81" s="151">
        <f>'2.2.3'!C81+'2.3.3'!C81</f>
        <v>0</v>
      </c>
      <c r="D81" s="151">
        <f>'2.2.3'!D81+'2.3.3'!D81</f>
        <v>0</v>
      </c>
      <c r="E81" s="151">
        <f>'2.2.3'!E81+'2.3.3'!E81</f>
        <v>0</v>
      </c>
      <c r="F81" s="151">
        <f>'2.2.3'!F81+'2.3.3'!F81</f>
        <v>0</v>
      </c>
      <c r="G81" s="152">
        <f>'2.2.3'!G81+'2.3.3'!G81</f>
        <v>0</v>
      </c>
      <c r="H81" s="155" t="str">
        <f>IF('AW Schulen'!$D57=0,"x",C81/'AW Schulen'!$D57)</f>
        <v>x</v>
      </c>
      <c r="I81" s="155" t="str">
        <f>IF('AW Schulen'!$G57=0,"x",D81/'AW Schulen'!$G57)</f>
        <v>x</v>
      </c>
      <c r="J81" s="155" t="str">
        <f>IF('AW Schulen'!$J57=0,"x",E81/'AW Schulen'!$J57)</f>
        <v>x</v>
      </c>
      <c r="K81" s="155" t="str">
        <f>IF('AW Schulen'!$M57=0,"x",F81/'AW Schulen'!$M57)</f>
        <v>x</v>
      </c>
      <c r="L81" s="156" t="str">
        <f>IF('AW Schulen'!$P57=0,"x",G81/'AW Schulen'!$P57)</f>
        <v>x</v>
      </c>
    </row>
    <row r="82" spans="1:12" ht="9" customHeight="1">
      <c r="A82" s="24" t="s">
        <v>96</v>
      </c>
      <c r="B82" s="121"/>
      <c r="C82" s="26">
        <f>'2.2.3'!C82+'2.3.3'!C82</f>
        <v>1097</v>
      </c>
      <c r="D82" s="26">
        <f>'2.2.3'!D82+'2.3.3'!D82</f>
        <v>1067</v>
      </c>
      <c r="E82" s="26">
        <f>'2.2.3'!E82+'2.3.3'!E82</f>
        <v>1037</v>
      </c>
      <c r="F82" s="26">
        <f>'2.2.3'!F82+'2.3.3'!F82</f>
        <v>979</v>
      </c>
      <c r="G82" s="47">
        <f>'2.2.3'!G82+'2.3.3'!G82</f>
        <v>929</v>
      </c>
      <c r="H82" s="157">
        <f>IF('AW Schulen'!$D58=0,"x",C82/'AW Schulen'!$D58)</f>
        <v>0.32716969877721441</v>
      </c>
      <c r="I82" s="157">
        <f>IF('AW Schulen'!$G58=0,"x",D82/'AW Schulen'!$G58)</f>
        <v>0.33648691264585306</v>
      </c>
      <c r="J82" s="157">
        <f>IF('AW Schulen'!$J58=0,"x",E82/'AW Schulen'!$J58)</f>
        <v>0.34349122225902617</v>
      </c>
      <c r="K82" s="157">
        <f>IF('AW Schulen'!$M58=0,"x",F82/'AW Schulen'!$M58)</f>
        <v>0.34087743732590531</v>
      </c>
      <c r="L82" s="158">
        <f>IF('AW Schulen'!$P58=0,"x",G82/'AW Schulen'!$P58)</f>
        <v>0.35525812619502867</v>
      </c>
    </row>
    <row r="83" spans="1:12" ht="18.75" customHeight="1">
      <c r="A83" s="396" t="s">
        <v>312</v>
      </c>
      <c r="B83" s="396"/>
      <c r="C83" s="396"/>
      <c r="D83" s="396"/>
      <c r="E83" s="396"/>
      <c r="F83" s="396"/>
      <c r="G83" s="396"/>
      <c r="H83" s="396"/>
      <c r="I83" s="396"/>
      <c r="J83" s="396"/>
      <c r="K83" s="396"/>
      <c r="L83" s="396"/>
    </row>
    <row r="84" spans="1:12" ht="18" customHeight="1">
      <c r="A84" s="381" t="s">
        <v>197</v>
      </c>
      <c r="B84" s="398"/>
      <c r="C84" s="398"/>
      <c r="D84" s="398"/>
      <c r="E84" s="398"/>
      <c r="F84" s="398"/>
      <c r="G84" s="398"/>
      <c r="H84" s="398"/>
      <c r="I84" s="395"/>
      <c r="J84" s="395"/>
      <c r="K84" s="395"/>
      <c r="L84" s="395"/>
    </row>
    <row r="85" spans="1:12" ht="10.5" customHeight="1">
      <c r="A85" s="306" t="s">
        <v>101</v>
      </c>
    </row>
  </sheetData>
  <mergeCells count="9">
    <mergeCell ref="A1:L1"/>
    <mergeCell ref="A84:L84"/>
    <mergeCell ref="C9:G9"/>
    <mergeCell ref="H9:L9"/>
    <mergeCell ref="A11:L11"/>
    <mergeCell ref="A29:L29"/>
    <mergeCell ref="A47:L47"/>
    <mergeCell ref="A65:L65"/>
    <mergeCell ref="A83:L83"/>
  </mergeCells>
  <phoneticPr fontId="18" type="noConversion"/>
  <hyperlinks>
    <hyperlink ref="M1" location="Inhalt!A1" display="Inhalt!A1"/>
  </hyperlinks>
  <printOptions horizontalCentered="1"/>
  <pageMargins left="0.78740157480314965" right="0.78740157480314965" top="0.59055118110236227" bottom="0.39370078740157483" header="0.51181102362204722" footer="0.51181102362204722"/>
  <pageSetup paperSize="9" scale="97"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76</vt:i4>
      </vt:variant>
      <vt:variant>
        <vt:lpstr>Benannte Bereiche</vt:lpstr>
      </vt:variant>
      <vt:variant>
        <vt:i4>70</vt:i4>
      </vt:variant>
    </vt:vector>
  </HeadingPairs>
  <TitlesOfParts>
    <vt:vector size="146" baseType="lpstr">
      <vt:lpstr>Deckblatt</vt:lpstr>
      <vt:lpstr>Fußnoten</vt:lpstr>
      <vt:lpstr>Inhalt</vt:lpstr>
      <vt:lpstr>1_1 </vt:lpstr>
      <vt:lpstr>1_2 </vt:lpstr>
      <vt:lpstr>1_3 </vt:lpstr>
      <vt:lpstr>2.1.1</vt:lpstr>
      <vt:lpstr>2.1.2</vt:lpstr>
      <vt:lpstr>2.1.3</vt:lpstr>
      <vt:lpstr>2.1.4</vt:lpstr>
      <vt:lpstr>2.1.5</vt:lpstr>
      <vt:lpstr>2.1.6</vt:lpstr>
      <vt:lpstr>2.1.7</vt:lpstr>
      <vt:lpstr>2.1.7.1</vt:lpstr>
      <vt:lpstr>2.1.8</vt:lpstr>
      <vt:lpstr>2.1.8.1</vt:lpstr>
      <vt:lpstr>2.1.9</vt:lpstr>
      <vt:lpstr>2.2.1</vt:lpstr>
      <vt:lpstr>2.2.2</vt:lpstr>
      <vt:lpstr>2.2.3</vt:lpstr>
      <vt:lpstr>2.2.4</vt:lpstr>
      <vt:lpstr>2.2.5</vt:lpstr>
      <vt:lpstr>2.2.6</vt:lpstr>
      <vt:lpstr>2.2.7</vt:lpstr>
      <vt:lpstr>2.2.7.1</vt:lpstr>
      <vt:lpstr>2.2.8</vt:lpstr>
      <vt:lpstr>2.3.1</vt:lpstr>
      <vt:lpstr>2.3.2</vt:lpstr>
      <vt:lpstr>2.3.3</vt:lpstr>
      <vt:lpstr>2.3.4</vt:lpstr>
      <vt:lpstr>2.3.5</vt:lpstr>
      <vt:lpstr>2.3.6</vt:lpstr>
      <vt:lpstr>2.3.7</vt:lpstr>
      <vt:lpstr>2.3.7.1</vt:lpstr>
      <vt:lpstr>2.3.8</vt:lpstr>
      <vt:lpstr>2.3.8.1</vt:lpstr>
      <vt:lpstr>2.3.9</vt:lpstr>
      <vt:lpstr>3.1.1</vt:lpstr>
      <vt:lpstr>3.1.2</vt:lpstr>
      <vt:lpstr>3.1.3</vt:lpstr>
      <vt:lpstr>3.1.4</vt:lpstr>
      <vt:lpstr>3.1.5</vt:lpstr>
      <vt:lpstr>3.1.6</vt:lpstr>
      <vt:lpstr>3.1.7</vt:lpstr>
      <vt:lpstr>3.1.8</vt:lpstr>
      <vt:lpstr>3.1.8.1</vt:lpstr>
      <vt:lpstr>3.1.9</vt:lpstr>
      <vt:lpstr>3.1.9.1</vt:lpstr>
      <vt:lpstr>3.1.10</vt:lpstr>
      <vt:lpstr>3.2.1</vt:lpstr>
      <vt:lpstr>3.2.2</vt:lpstr>
      <vt:lpstr>3.2.3</vt:lpstr>
      <vt:lpstr>3.2.4</vt:lpstr>
      <vt:lpstr>3.2.5</vt:lpstr>
      <vt:lpstr>3.2.6</vt:lpstr>
      <vt:lpstr>3.2.7</vt:lpstr>
      <vt:lpstr>3.2.8</vt:lpstr>
      <vt:lpstr>3.2.8.1</vt:lpstr>
      <vt:lpstr>3.2.9</vt:lpstr>
      <vt:lpstr>3.3.1</vt:lpstr>
      <vt:lpstr>3.3.2</vt:lpstr>
      <vt:lpstr>3.3.3</vt:lpstr>
      <vt:lpstr>3.3.4</vt:lpstr>
      <vt:lpstr>3.3.5</vt:lpstr>
      <vt:lpstr>3.3.6</vt:lpstr>
      <vt:lpstr>3.3.7</vt:lpstr>
      <vt:lpstr>3.3.8</vt:lpstr>
      <vt:lpstr>3.3.8.1</vt:lpstr>
      <vt:lpstr>3.3.9</vt:lpstr>
      <vt:lpstr>3.3.9.1</vt:lpstr>
      <vt:lpstr>3.3.10</vt:lpstr>
      <vt:lpstr>Plausi Schüler</vt:lpstr>
      <vt:lpstr>Plausi Schulen</vt:lpstr>
      <vt:lpstr>AW Schulen</vt:lpstr>
      <vt:lpstr>AW Schüler</vt:lpstr>
      <vt:lpstr>GtS_VE</vt:lpstr>
      <vt:lpstr>'1_1 '!Druckbereich</vt:lpstr>
      <vt:lpstr>'1_2 '!Druckbereich</vt:lpstr>
      <vt:lpstr>'1_3 '!Druckbereich</vt:lpstr>
      <vt:lpstr>'2.1.1'!Druckbereich</vt:lpstr>
      <vt:lpstr>'2.1.2'!Druckbereich</vt:lpstr>
      <vt:lpstr>'2.1.3'!Druckbereich</vt:lpstr>
      <vt:lpstr>'2.1.4'!Druckbereich</vt:lpstr>
      <vt:lpstr>'2.1.5'!Druckbereich</vt:lpstr>
      <vt:lpstr>'2.1.6'!Druckbereich</vt:lpstr>
      <vt:lpstr>'2.1.7'!Druckbereich</vt:lpstr>
      <vt:lpstr>'2.1.7.1'!Druckbereich</vt:lpstr>
      <vt:lpstr>'2.1.8'!Druckbereich</vt:lpstr>
      <vt:lpstr>'2.1.8.1'!Druckbereich</vt:lpstr>
      <vt:lpstr>'2.1.9'!Druckbereich</vt:lpstr>
      <vt:lpstr>'2.2.1'!Druckbereich</vt:lpstr>
      <vt:lpstr>'2.2.2'!Druckbereich</vt:lpstr>
      <vt:lpstr>'2.2.3'!Druckbereich</vt:lpstr>
      <vt:lpstr>'2.2.4'!Druckbereich</vt:lpstr>
      <vt:lpstr>'2.2.5'!Druckbereich</vt:lpstr>
      <vt:lpstr>'2.2.6'!Druckbereich</vt:lpstr>
      <vt:lpstr>'2.2.7'!Druckbereich</vt:lpstr>
      <vt:lpstr>'2.2.7.1'!Druckbereich</vt:lpstr>
      <vt:lpstr>'2.2.8'!Druckbereich</vt:lpstr>
      <vt:lpstr>'2.3.1'!Druckbereich</vt:lpstr>
      <vt:lpstr>'2.3.2'!Druckbereich</vt:lpstr>
      <vt:lpstr>'2.3.3'!Druckbereich</vt:lpstr>
      <vt:lpstr>'2.3.4'!Druckbereich</vt:lpstr>
      <vt:lpstr>'2.3.5'!Druckbereich</vt:lpstr>
      <vt:lpstr>'2.3.6'!Druckbereich</vt:lpstr>
      <vt:lpstr>'2.3.7'!Druckbereich</vt:lpstr>
      <vt:lpstr>'2.3.7.1'!Druckbereich</vt:lpstr>
      <vt:lpstr>'2.3.8'!Druckbereich</vt:lpstr>
      <vt:lpstr>'2.3.8.1'!Druckbereich</vt:lpstr>
      <vt:lpstr>'2.3.9'!Druckbereich</vt:lpstr>
      <vt:lpstr>'3.1.1'!Druckbereich</vt:lpstr>
      <vt:lpstr>'3.1.10'!Druckbereich</vt:lpstr>
      <vt:lpstr>'3.1.2'!Druckbereich</vt:lpstr>
      <vt:lpstr>'3.1.3'!Druckbereich</vt:lpstr>
      <vt:lpstr>'3.1.4'!Druckbereich</vt:lpstr>
      <vt:lpstr>'3.1.5'!Druckbereich</vt:lpstr>
      <vt:lpstr>'3.1.6'!Druckbereich</vt:lpstr>
      <vt:lpstr>'3.1.7'!Druckbereich</vt:lpstr>
      <vt:lpstr>'3.1.8'!Druckbereich</vt:lpstr>
      <vt:lpstr>'3.1.8.1'!Druckbereich</vt:lpstr>
      <vt:lpstr>'3.1.9'!Druckbereich</vt:lpstr>
      <vt:lpstr>'3.1.9.1'!Druckbereich</vt:lpstr>
      <vt:lpstr>'3.2.1'!Druckbereich</vt:lpstr>
      <vt:lpstr>'3.2.2'!Druckbereich</vt:lpstr>
      <vt:lpstr>'3.2.3'!Druckbereich</vt:lpstr>
      <vt:lpstr>'3.2.4'!Druckbereich</vt:lpstr>
      <vt:lpstr>'3.2.5'!Druckbereich</vt:lpstr>
      <vt:lpstr>'3.2.6'!Druckbereich</vt:lpstr>
      <vt:lpstr>'3.2.7'!Druckbereich</vt:lpstr>
      <vt:lpstr>'3.2.8'!Druckbereich</vt:lpstr>
      <vt:lpstr>'3.2.8.1'!Druckbereich</vt:lpstr>
      <vt:lpstr>'3.2.9'!Druckbereich</vt:lpstr>
      <vt:lpstr>'3.3.1'!Druckbereich</vt:lpstr>
      <vt:lpstr>'3.3.10'!Druckbereich</vt:lpstr>
      <vt:lpstr>'3.3.2'!Druckbereich</vt:lpstr>
      <vt:lpstr>'3.3.3'!Druckbereich</vt:lpstr>
      <vt:lpstr>'3.3.4'!Druckbereich</vt:lpstr>
      <vt:lpstr>'3.3.5'!Druckbereich</vt:lpstr>
      <vt:lpstr>'3.3.6'!Druckbereich</vt:lpstr>
      <vt:lpstr>'3.3.7'!Druckbereich</vt:lpstr>
      <vt:lpstr>'3.3.8'!Druckbereich</vt:lpstr>
      <vt:lpstr>'3.3.8.1'!Druckbereich</vt:lpstr>
      <vt:lpstr>'3.3.9'!Druckbereich</vt:lpstr>
      <vt:lpstr>'3.3.9.1'!Druckbereich</vt:lpstr>
      <vt:lpstr>'AW Schulen'!Druckbereich</vt:lpstr>
      <vt:lpstr>Fußnoten!Druckbereich</vt:lpstr>
    </vt:vector>
  </TitlesOfParts>
  <Company>KMK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IVC</dc:creator>
  <cp:lastModifiedBy>Paula Henselin</cp:lastModifiedBy>
  <cp:lastPrinted>2018-03-13T14:09:56Z</cp:lastPrinted>
  <dcterms:created xsi:type="dcterms:W3CDTF">2004-11-08T06:57:59Z</dcterms:created>
  <dcterms:modified xsi:type="dcterms:W3CDTF">2018-07-02T12:57:36Z</dcterms:modified>
</cp:coreProperties>
</file>